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10.xml" ContentType="application/vnd.openxmlformats-officedocument.drawing+xml"/>
  <Override PartName="/xl/drawings/drawing9.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8.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drawings/drawing4.xml" ContentType="application/vnd.openxmlformats-officedocument.drawing+xml"/>
  <Override PartName="/xl/drawings/drawing3.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3.xml" ContentType="application/vnd.openxmlformats-officedocument.spreadsheetml.comments+xml"/>
  <Override PartName="/xl/comments6.xml" ContentType="application/vnd.openxmlformats-officedocument.spreadsheetml.comment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7.xml" ContentType="application/vnd.openxmlformats-officedocument.spreadsheetml.comments+xml"/>
  <Override PartName="/xl/comments1.xml" ContentType="application/vnd.openxmlformats-officedocument.spreadsheetml.comments+xml"/>
  <Override PartName="/xl/comments9.xml" ContentType="application/vnd.openxmlformats-officedocument.spreadsheetml.comments+xml"/>
  <Override PartName="/xl/comments2.xml" ContentType="application/vnd.openxmlformats-officedocument.spreadsheetml.comment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C:\Users\norela.briceno\Documents\Plan de acción\Plan Acción 2019\"/>
    </mc:Choice>
  </mc:AlternateContent>
  <xr:revisionPtr revIDLastSave="0" documentId="13_ncr:1_{919200D0-5BED-4002-9F1E-408E93B43F2D}" xr6:coauthVersionLast="36" xr6:coauthVersionMax="36" xr10:uidLastSave="{00000000-0000-0000-0000-000000000000}"/>
  <bookViews>
    <workbookView xWindow="0" yWindow="0" windowWidth="20400" windowHeight="7545" xr2:uid="{00000000-000D-0000-FFFF-FFFF00000000}"/>
  </bookViews>
  <sheets>
    <sheet name="Plan de Accion Proyectos estrat" sheetId="27" r:id="rId1"/>
    <sheet name="Plan de Accion Misional" sheetId="29" r:id="rId2"/>
    <sheet name="Plan de Accion apoyo transversa" sheetId="3" r:id="rId3"/>
    <sheet name="Plan de Accion ajustes normativ" sheetId="28" r:id="rId4"/>
    <sheet name="Excepciones presupuestales" sheetId="32" state="hidden" r:id="rId5"/>
    <sheet name="Cuadro Mando Integral Seguimien" sheetId="24" r:id="rId6"/>
    <sheet name="Cuadro Mando Integral Detallado" sheetId="33" r:id="rId7"/>
    <sheet name="Cumplimiento perspectivas Mejor" sheetId="34" r:id="rId8"/>
    <sheet name="Cumplimiento de objetivos Mejor" sheetId="35" r:id="rId9"/>
    <sheet name="Cumplimiento Dependencias Mejor" sheetId="36" r:id="rId10"/>
    <sheet name="Cumplimiento Planes" sheetId="38" r:id="rId11"/>
    <sheet name="Análisis de resultados" sheetId="40" r:id="rId12"/>
    <sheet name="Ejecución Presupuestal" sheetId="37" state="hidden" r:id="rId13"/>
    <sheet name="TAB. REF. PA" sheetId="26" state="hidden" r:id="rId14"/>
    <sheet name="Estadísticas" sheetId="31" state="hidden" r:id="rId15"/>
    <sheet name="Control de Cambios" sheetId="39"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6" hidden="1">'Cuadro Mando Integral Detallado'!$B$14:$CN$345</definedName>
    <definedName name="_xlnm._FilterDatabase" localSheetId="3" hidden="1">'Plan de Accion ajustes normativ'!$A$7:$HT$9</definedName>
    <definedName name="_xlnm._FilterDatabase" localSheetId="2" hidden="1">'Plan de Accion apoyo transversa'!$A$7:$CM$176</definedName>
    <definedName name="_xlnm._FilterDatabase" localSheetId="1" hidden="1">'Plan de Accion Misional'!$A$8:$HU$20</definedName>
    <definedName name="_xlnm._FilterDatabase" localSheetId="0" hidden="1">'Plan de Accion Proyectos estrat'!$A$8:$HU$36</definedName>
    <definedName name="Central_de_Costos" localSheetId="10">#REF!</definedName>
    <definedName name="Central_de_Costos" localSheetId="3">#REF!</definedName>
    <definedName name="Central_de_Costos" localSheetId="0">#REF!</definedName>
    <definedName name="Central_de_Costos" localSheetId="13">'TAB. REF. PA'!$A$4:$A$14</definedName>
    <definedName name="Central_de_Costos">#REF!</definedName>
    <definedName name="CÓDIGO_AREA" localSheetId="13">'TAB. REF. PA'!$A$4:$A$14</definedName>
    <definedName name="Dimensión_MIPG" localSheetId="10">#REF!</definedName>
    <definedName name="Dimensión_MIPG" localSheetId="3">#REF!</definedName>
    <definedName name="Dimensión_MIPG" localSheetId="0">#REF!</definedName>
    <definedName name="Dimensión_MIPG" localSheetId="13">'TAB. REF. PA'!$F$2</definedName>
    <definedName name="Dimensión_MIPG">#REF!</definedName>
    <definedName name="Estrategia_Sectorial" localSheetId="10">#REF!</definedName>
    <definedName name="Estrategia_Sectorial" localSheetId="3">#REF!</definedName>
    <definedName name="Estrategia_Sectorial" localSheetId="0">#REF!</definedName>
    <definedName name="Estrategia_Sectorial" localSheetId="13">'TAB. REF. PA'!$L$2</definedName>
    <definedName name="Estrategia_Sectorial">#REF!</definedName>
    <definedName name="Fuente_de_Recursos" localSheetId="10">#REF!</definedName>
    <definedName name="Fuente_de_Recursos" localSheetId="3">#REF!</definedName>
    <definedName name="Fuente_de_Recursos" localSheetId="0">#REF!</definedName>
    <definedName name="Fuente_de_Recursos" localSheetId="13">'TAB. REF. PA'!$W$2</definedName>
    <definedName name="Fuente_de_Recursos">#REF!</definedName>
    <definedName name="Indicador" localSheetId="10">#REF!</definedName>
    <definedName name="Indicador" localSheetId="3">#REF!</definedName>
    <definedName name="Indicador" localSheetId="0">#REF!</definedName>
    <definedName name="Indicador" localSheetId="13">'TAB. REF. PA'!$S$2</definedName>
    <definedName name="Indicador">#REF!</definedName>
    <definedName name="Indicador_SINERGIA" localSheetId="10">#REF!</definedName>
    <definedName name="Indicador_SINERGIA" localSheetId="3">#REF!</definedName>
    <definedName name="Indicador_SINERGIA" localSheetId="0">#REF!</definedName>
    <definedName name="Indicador_SINERGIA" localSheetId="13">'TAB. REF. PA'!$U$2</definedName>
    <definedName name="Indicador_SINERGIA">#REF!</definedName>
    <definedName name="Objetivo_Especifico_PND" localSheetId="10">#REF!</definedName>
    <definedName name="Objetivo_Especifico_PND" localSheetId="3">#REF!</definedName>
    <definedName name="Objetivo_Especifico_PND" localSheetId="0">#REF!</definedName>
    <definedName name="Objetivo_Especifico_PND" localSheetId="13">'TAB. REF. PA'!$J$2</definedName>
    <definedName name="Objetivo_Especifico_PND">#REF!</definedName>
    <definedName name="OBJETIVO_ESTRATEGICO" localSheetId="10">#REF!</definedName>
    <definedName name="OBJETIVO_ESTRATEGICO" localSheetId="3">#REF!</definedName>
    <definedName name="OBJETIVO_ESTRATEGICO" localSheetId="0">#REF!</definedName>
    <definedName name="OBJETIVO_ESTRATEGICO" localSheetId="13">'TAB. REF. PA'!$D$2</definedName>
    <definedName name="OBJETIVO_ESTRATEGICO">#REF!</definedName>
    <definedName name="Política_MIPG" localSheetId="10">#REF!</definedName>
    <definedName name="Política_MIPG" localSheetId="3">#REF!</definedName>
    <definedName name="Política_MIPG" localSheetId="0">#REF!</definedName>
    <definedName name="Política_MIPG" localSheetId="13">'TAB. REF. PA'!$H$2</definedName>
    <definedName name="Política_MIPG">#REF!</definedName>
    <definedName name="Procedimiento" localSheetId="10">#REF!</definedName>
    <definedName name="Procedimiento" localSheetId="3">#REF!</definedName>
    <definedName name="Procedimiento" localSheetId="0">#REF!</definedName>
    <definedName name="Procedimiento" localSheetId="13">'TAB. REF. PA'!$P$2</definedName>
    <definedName name="Procedimiento">#REF!</definedName>
    <definedName name="Proceso" localSheetId="10">#REF!</definedName>
    <definedName name="Proceso" localSheetId="3">#REF!</definedName>
    <definedName name="Proceso" localSheetId="0">#REF!</definedName>
    <definedName name="Proceso" localSheetId="13">'TAB. REF. PA'!$N$2</definedName>
    <definedName name="Proces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6" i="34" l="1"/>
  <c r="O11" i="34"/>
  <c r="AG17" i="29" l="1"/>
  <c r="AI17" i="29" s="1"/>
  <c r="G189" i="33" l="1"/>
  <c r="G188" i="33"/>
  <c r="G187" i="33"/>
  <c r="G186" i="33"/>
  <c r="G185" i="33"/>
  <c r="G184" i="33"/>
  <c r="G183" i="33"/>
  <c r="G182" i="33"/>
  <c r="G181" i="33"/>
  <c r="G180" i="33"/>
  <c r="G179" i="33"/>
  <c r="G178" i="33"/>
  <c r="G177" i="33"/>
  <c r="G176" i="33"/>
  <c r="G175" i="33"/>
  <c r="G174" i="33"/>
  <c r="G173" i="33"/>
  <c r="G172" i="33"/>
  <c r="G171" i="33"/>
  <c r="G170" i="33"/>
  <c r="G169" i="33"/>
  <c r="G167" i="33"/>
  <c r="G168" i="33"/>
  <c r="J38" i="33" l="1"/>
  <c r="J37" i="33"/>
  <c r="J36" i="33"/>
  <c r="G146" i="33" l="1"/>
  <c r="AE338" i="33" l="1"/>
  <c r="X338" i="33"/>
  <c r="Q338" i="33"/>
  <c r="J338" i="33"/>
  <c r="H338" i="33"/>
  <c r="G338" i="33"/>
  <c r="H171" i="33"/>
  <c r="AE171" i="33"/>
  <c r="X171" i="33"/>
  <c r="Q171" i="33"/>
  <c r="J171" i="33"/>
  <c r="AE170" i="33"/>
  <c r="X170" i="33"/>
  <c r="Q170" i="33"/>
  <c r="J170" i="33"/>
  <c r="H170" i="33"/>
  <c r="AE266" i="33"/>
  <c r="X266" i="33"/>
  <c r="Q266" i="33"/>
  <c r="J266" i="33"/>
  <c r="H266" i="33"/>
  <c r="G266" i="33"/>
  <c r="AT154" i="3" l="1"/>
  <c r="AT153" i="3" l="1"/>
  <c r="CK30" i="3" l="1"/>
  <c r="CI30" i="3"/>
  <c r="CG30" i="3"/>
  <c r="AX30" i="3"/>
  <c r="AV30" i="3"/>
  <c r="AX28" i="3"/>
  <c r="AV28" i="3"/>
  <c r="AT26" i="3"/>
  <c r="AT22" i="3"/>
  <c r="AT40" i="3"/>
  <c r="AT39" i="3"/>
  <c r="AT38" i="3"/>
  <c r="AT37" i="3"/>
  <c r="AT35" i="3"/>
  <c r="AT34" i="3"/>
  <c r="AT33" i="3"/>
  <c r="AT32" i="3"/>
  <c r="AT31" i="3"/>
  <c r="AT30" i="3"/>
  <c r="CE30" i="3" s="1"/>
  <c r="AT29" i="3"/>
  <c r="AT27" i="3"/>
  <c r="AT23" i="3"/>
  <c r="AU55" i="3" l="1"/>
  <c r="AT135" i="3" l="1"/>
  <c r="AU132" i="3"/>
  <c r="AT132" i="3"/>
  <c r="G285" i="33" l="1"/>
  <c r="AE182" i="33"/>
  <c r="X182" i="33"/>
  <c r="Q182" i="33"/>
  <c r="J182" i="33"/>
  <c r="H182" i="33"/>
  <c r="AE181" i="33"/>
  <c r="X181" i="33"/>
  <c r="Q181" i="33"/>
  <c r="J181" i="33"/>
  <c r="H181" i="33"/>
  <c r="AE270" i="33"/>
  <c r="X270" i="33"/>
  <c r="Q270" i="33"/>
  <c r="J270" i="33"/>
  <c r="H270" i="33"/>
  <c r="G270" i="33"/>
  <c r="AX152" i="3"/>
  <c r="AV152" i="3"/>
  <c r="AV151" i="3"/>
  <c r="AV49" i="3"/>
  <c r="AX45" i="3"/>
  <c r="AT17" i="3"/>
  <c r="CE17" i="3" s="1"/>
  <c r="AX13" i="3"/>
  <c r="AX12" i="3"/>
  <c r="AV13" i="3"/>
  <c r="AV12" i="3"/>
  <c r="AG11" i="29"/>
  <c r="AI11" i="29" s="1"/>
  <c r="C9" i="35"/>
  <c r="G9" i="35" s="1"/>
  <c r="BR11" i="29" l="1"/>
  <c r="E9" i="35"/>
  <c r="H9" i="35"/>
  <c r="D9" i="35"/>
  <c r="F9" i="35"/>
  <c r="G28" i="33"/>
  <c r="AB29" i="27"/>
  <c r="BJ29" i="27" s="1"/>
  <c r="P29" i="27"/>
  <c r="P28" i="27"/>
  <c r="AK19" i="27"/>
  <c r="AI10" i="27"/>
  <c r="AG9" i="27"/>
  <c r="AP29" i="27" l="1"/>
  <c r="AZ29" i="27"/>
  <c r="AF29" i="27"/>
  <c r="AT173" i="3"/>
  <c r="AT160" i="3"/>
  <c r="AT19" i="3"/>
  <c r="AG29" i="27" l="1"/>
  <c r="AG28" i="27"/>
  <c r="AG27" i="27"/>
  <c r="AG26" i="27"/>
  <c r="AG24" i="27"/>
  <c r="AG13" i="29" l="1"/>
  <c r="AT169" i="3" l="1"/>
  <c r="AT168" i="3"/>
  <c r="AT167" i="3"/>
  <c r="AG19" i="29" l="1"/>
  <c r="AG18" i="29"/>
  <c r="AG18" i="27" l="1"/>
  <c r="AG17" i="27"/>
  <c r="AG16" i="27"/>
  <c r="AG11" i="27"/>
  <c r="AG10" i="27"/>
  <c r="AH23" i="27" l="1"/>
  <c r="AG23" i="27"/>
  <c r="AG22" i="27"/>
  <c r="AK22" i="27" s="1"/>
  <c r="AG20" i="27"/>
  <c r="AK20" i="27" s="1"/>
  <c r="AH19" i="27"/>
  <c r="AG19" i="27"/>
  <c r="E6" i="32" l="1"/>
  <c r="B19" i="32"/>
  <c r="B24" i="32" l="1"/>
  <c r="AS49" i="3"/>
  <c r="CK13" i="3" l="1"/>
  <c r="CK12" i="3"/>
  <c r="CI13" i="3"/>
  <c r="CI12" i="3"/>
  <c r="CG13" i="3"/>
  <c r="CG12" i="3"/>
  <c r="CE13" i="3"/>
  <c r="CE12" i="3"/>
  <c r="AV155" i="3" l="1"/>
  <c r="AO175" i="3" l="1"/>
  <c r="AO176" i="3"/>
  <c r="CL176" i="3" l="1"/>
  <c r="CL175" i="3"/>
  <c r="CJ176" i="3"/>
  <c r="CJ175" i="3"/>
  <c r="CH176" i="3"/>
  <c r="CH175" i="3"/>
  <c r="CF176" i="3"/>
  <c r="CF175" i="3"/>
  <c r="CL174" i="3"/>
  <c r="CJ174" i="3"/>
  <c r="CH174" i="3"/>
  <c r="CF174" i="3"/>
  <c r="CC174" i="3" l="1"/>
  <c r="CA174" i="3"/>
  <c r="CC153" i="3"/>
  <c r="CA153" i="3"/>
  <c r="BI176" i="3"/>
  <c r="BI175" i="3"/>
  <c r="BG176" i="3"/>
  <c r="BG175" i="3"/>
  <c r="BS176" i="3"/>
  <c r="BS175" i="3"/>
  <c r="BQ176" i="3"/>
  <c r="BQ175" i="3"/>
  <c r="BQ174" i="3"/>
  <c r="BS153" i="3"/>
  <c r="BQ153" i="3"/>
  <c r="BG174" i="3"/>
  <c r="BI153" i="3"/>
  <c r="BG153" i="3"/>
  <c r="AY176" i="3"/>
  <c r="AY175" i="3"/>
  <c r="AW176" i="3"/>
  <c r="AW175" i="3"/>
  <c r="AW174" i="3"/>
  <c r="BP174" i="3"/>
  <c r="AN176" i="3"/>
  <c r="BV176" i="3" s="1"/>
  <c r="AN175" i="3"/>
  <c r="BL175" i="3" s="1"/>
  <c r="CM174" i="3"/>
  <c r="CK174" i="3"/>
  <c r="CI174" i="3"/>
  <c r="CG174" i="3"/>
  <c r="CE174" i="3"/>
  <c r="BZ174" i="3"/>
  <c r="BF174" i="3"/>
  <c r="AV174" i="3"/>
  <c r="CM176" i="3"/>
  <c r="CK176" i="3"/>
  <c r="CI176" i="3"/>
  <c r="CG176" i="3"/>
  <c r="CE176" i="3"/>
  <c r="BZ176" i="3"/>
  <c r="BP176" i="3"/>
  <c r="BF176" i="3"/>
  <c r="AV176" i="3"/>
  <c r="CM175" i="3"/>
  <c r="CK175" i="3"/>
  <c r="CI175" i="3"/>
  <c r="CG175" i="3"/>
  <c r="CE175" i="3"/>
  <c r="BZ175" i="3"/>
  <c r="BP175" i="3"/>
  <c r="BF175" i="3"/>
  <c r="AV175" i="3"/>
  <c r="AO174" i="3"/>
  <c r="AY174" i="3" s="1"/>
  <c r="AN174" i="3"/>
  <c r="BL174" i="3" s="1"/>
  <c r="AM175" i="3"/>
  <c r="CB175" i="3" s="1"/>
  <c r="AM176" i="3"/>
  <c r="CB176" i="3" s="1"/>
  <c r="AM174" i="3"/>
  <c r="CB174" i="3" s="1"/>
  <c r="R181" i="33" l="1"/>
  <c r="R170" i="33"/>
  <c r="K270" i="33"/>
  <c r="L270" i="33" s="1"/>
  <c r="K266" i="33"/>
  <c r="L266" i="33" s="1"/>
  <c r="Y181" i="33"/>
  <c r="Y170" i="33"/>
  <c r="R182" i="33"/>
  <c r="S182" i="33" s="1"/>
  <c r="R171" i="33"/>
  <c r="S171" i="33" s="1"/>
  <c r="R270" i="33"/>
  <c r="R266" i="33"/>
  <c r="AH270" i="33"/>
  <c r="AI270" i="33" s="1"/>
  <c r="AH266" i="33"/>
  <c r="AI266" i="33" s="1"/>
  <c r="Y270" i="33"/>
  <c r="Y266" i="33"/>
  <c r="AH182" i="33"/>
  <c r="AI182" i="33" s="1"/>
  <c r="AH171" i="33"/>
  <c r="AI171" i="33" s="1"/>
  <c r="K182" i="33"/>
  <c r="K171" i="33"/>
  <c r="AF181" i="33"/>
  <c r="AF170" i="33"/>
  <c r="AF270" i="33"/>
  <c r="AF266" i="33"/>
  <c r="AF182" i="33"/>
  <c r="AG182" i="33" s="1"/>
  <c r="AF171" i="33"/>
  <c r="AG171" i="33" s="1"/>
  <c r="K181" i="33"/>
  <c r="L181" i="33" s="1"/>
  <c r="K170" i="33"/>
  <c r="L170" i="33" s="1"/>
  <c r="AH181" i="33"/>
  <c r="AI181" i="33" s="1"/>
  <c r="AH170" i="33"/>
  <c r="AI170" i="33" s="1"/>
  <c r="Y182" i="33"/>
  <c r="Y171" i="33"/>
  <c r="AX175" i="3"/>
  <c r="BH175" i="3"/>
  <c r="AR174" i="3"/>
  <c r="BR174" i="3"/>
  <c r="BV174" i="3"/>
  <c r="AX174" i="3"/>
  <c r="BB174" i="3"/>
  <c r="BH176" i="3"/>
  <c r="BL176" i="3"/>
  <c r="BR176" i="3"/>
  <c r="BH174" i="3"/>
  <c r="BS174" i="3"/>
  <c r="AR175" i="3"/>
  <c r="BB176" i="3"/>
  <c r="BV175" i="3"/>
  <c r="AX176" i="3"/>
  <c r="AR176" i="3"/>
  <c r="BI174" i="3"/>
  <c r="BB175" i="3"/>
  <c r="BR175" i="3"/>
  <c r="AP12" i="38"/>
  <c r="AS12" i="38" s="1"/>
  <c r="AI15" i="38"/>
  <c r="AC17" i="38"/>
  <c r="AH17" i="38" s="1"/>
  <c r="AC15" i="38"/>
  <c r="V15" i="38"/>
  <c r="V12" i="38"/>
  <c r="AA12" i="38" s="1"/>
  <c r="P15" i="38"/>
  <c r="P12" i="38"/>
  <c r="S12" i="38" s="1"/>
  <c r="I17" i="38"/>
  <c r="I15" i="38"/>
  <c r="I12" i="38"/>
  <c r="C17" i="38"/>
  <c r="C15" i="38"/>
  <c r="C12" i="38"/>
  <c r="AA182" i="33" l="1"/>
  <c r="AB182" i="33" s="1"/>
  <c r="AA171" i="33"/>
  <c r="AB171" i="33" s="1"/>
  <c r="T182" i="33"/>
  <c r="U182" i="33" s="1"/>
  <c r="V182" i="33" s="1"/>
  <c r="T171" i="33"/>
  <c r="U171" i="33" s="1"/>
  <c r="V171" i="33" s="1"/>
  <c r="M270" i="33"/>
  <c r="N270" i="33" s="1"/>
  <c r="O270" i="33" s="1"/>
  <c r="M266" i="33"/>
  <c r="N266" i="33" s="1"/>
  <c r="O266" i="33" s="1"/>
  <c r="T270" i="33"/>
  <c r="U270" i="33" s="1"/>
  <c r="T266" i="33"/>
  <c r="U266" i="33" s="1"/>
  <c r="T181" i="33"/>
  <c r="U181" i="33" s="1"/>
  <c r="T170" i="33"/>
  <c r="U170" i="33" s="1"/>
  <c r="M181" i="33"/>
  <c r="N181" i="33" s="1"/>
  <c r="O181" i="33" s="1"/>
  <c r="M170" i="33"/>
  <c r="N170" i="33" s="1"/>
  <c r="O170" i="33" s="1"/>
  <c r="M182" i="33"/>
  <c r="N182" i="33" s="1"/>
  <c r="M171" i="33"/>
  <c r="N171" i="33" s="1"/>
  <c r="AA181" i="33"/>
  <c r="AB181" i="33" s="1"/>
  <c r="AA170" i="33"/>
  <c r="AB170" i="33" s="1"/>
  <c r="AA270" i="33"/>
  <c r="AB270" i="33" s="1"/>
  <c r="AA266" i="33"/>
  <c r="AB266" i="33" s="1"/>
  <c r="F15" i="38"/>
  <c r="E15" i="38"/>
  <c r="D15" i="38"/>
  <c r="H15" i="38"/>
  <c r="G15" i="38"/>
  <c r="J12" i="38"/>
  <c r="M12" i="38"/>
  <c r="N12" i="38"/>
  <c r="L12" i="38"/>
  <c r="K12" i="38"/>
  <c r="H12" i="38"/>
  <c r="G12" i="38"/>
  <c r="F12" i="38"/>
  <c r="E12" i="38"/>
  <c r="D12" i="38"/>
  <c r="K15" i="38"/>
  <c r="J15" i="38"/>
  <c r="N15" i="38"/>
  <c r="M15" i="38"/>
  <c r="L15" i="38"/>
  <c r="D17" i="38"/>
  <c r="G17" i="38"/>
  <c r="H17" i="38"/>
  <c r="F17" i="38"/>
  <c r="E17" i="38"/>
  <c r="L17" i="38"/>
  <c r="N17" i="38"/>
  <c r="M17" i="38"/>
  <c r="K17" i="38"/>
  <c r="J17" i="38"/>
  <c r="T12" i="38"/>
  <c r="AT12" i="38"/>
  <c r="U12" i="38"/>
  <c r="AU12" i="38"/>
  <c r="AD17" i="38"/>
  <c r="AE17" i="38"/>
  <c r="W12" i="38"/>
  <c r="AF17" i="38"/>
  <c r="X12" i="38"/>
  <c r="AG17" i="38"/>
  <c r="Q12" i="38"/>
  <c r="Y12" i="38"/>
  <c r="AQ12" i="38"/>
  <c r="R12" i="38"/>
  <c r="Z12" i="38"/>
  <c r="AR12" i="38"/>
  <c r="AC9" i="35"/>
  <c r="BT10" i="27"/>
  <c r="BM10" i="27"/>
  <c r="BC10" i="27"/>
  <c r="AS10" i="27"/>
  <c r="AE218" i="33"/>
  <c r="X218" i="33"/>
  <c r="Q218" i="33"/>
  <c r="J218" i="33"/>
  <c r="AE217" i="33"/>
  <c r="X217" i="33"/>
  <c r="Q217" i="33"/>
  <c r="J217" i="33"/>
  <c r="AE216" i="33"/>
  <c r="X216" i="33"/>
  <c r="Q216" i="33"/>
  <c r="J216" i="33"/>
  <c r="AE215" i="33"/>
  <c r="X215" i="33"/>
  <c r="Q215" i="33"/>
  <c r="J215" i="33"/>
  <c r="AE214" i="33"/>
  <c r="X214" i="33"/>
  <c r="Q214" i="33"/>
  <c r="J214" i="33"/>
  <c r="AE213" i="33"/>
  <c r="X213" i="33"/>
  <c r="Q213" i="33"/>
  <c r="J213" i="33"/>
  <c r="AE212" i="33"/>
  <c r="X212" i="33"/>
  <c r="Q212" i="33"/>
  <c r="J212" i="33"/>
  <c r="AE211" i="33"/>
  <c r="X211" i="33"/>
  <c r="T211" i="33"/>
  <c r="U211" i="33" s="1"/>
  <c r="Q211" i="33"/>
  <c r="J211" i="33"/>
  <c r="AE210" i="33"/>
  <c r="X210" i="33"/>
  <c r="Q210" i="33"/>
  <c r="J210" i="33"/>
  <c r="AE209" i="33"/>
  <c r="X209" i="33"/>
  <c r="Q209" i="33"/>
  <c r="J209" i="33"/>
  <c r="AE208" i="33"/>
  <c r="X208" i="33"/>
  <c r="Q208" i="33"/>
  <c r="J208" i="33"/>
  <c r="AE207" i="33"/>
  <c r="X207" i="33"/>
  <c r="Q207" i="33"/>
  <c r="J207" i="33"/>
  <c r="H218" i="33"/>
  <c r="H217" i="33"/>
  <c r="H216" i="33"/>
  <c r="H215" i="33"/>
  <c r="H214" i="33"/>
  <c r="H213" i="33"/>
  <c r="H212" i="33"/>
  <c r="H211" i="33"/>
  <c r="H210" i="33"/>
  <c r="H209" i="33"/>
  <c r="H208" i="33"/>
  <c r="H207" i="33"/>
  <c r="G218" i="33"/>
  <c r="G217" i="33"/>
  <c r="G216" i="33"/>
  <c r="G215" i="33"/>
  <c r="G214" i="33"/>
  <c r="G212" i="33"/>
  <c r="G211" i="33"/>
  <c r="G210" i="33"/>
  <c r="G209" i="33"/>
  <c r="G208" i="33"/>
  <c r="G207" i="33"/>
  <c r="AF9" i="35" l="1"/>
  <c r="AE9" i="35"/>
  <c r="AD9" i="35"/>
  <c r="AH9" i="35"/>
  <c r="AG9" i="35"/>
  <c r="R129" i="33"/>
  <c r="AE206" i="33"/>
  <c r="X206" i="33"/>
  <c r="Q206" i="33"/>
  <c r="J206" i="33"/>
  <c r="H206" i="33"/>
  <c r="G206" i="33"/>
  <c r="AE205" i="33"/>
  <c r="X205" i="33"/>
  <c r="Q205" i="33"/>
  <c r="J205" i="33"/>
  <c r="H205" i="33"/>
  <c r="G205" i="33"/>
  <c r="AE152" i="33"/>
  <c r="X152" i="33"/>
  <c r="Q152" i="33"/>
  <c r="J152" i="33"/>
  <c r="H152" i="33"/>
  <c r="G152" i="33"/>
  <c r="AE151" i="33"/>
  <c r="X151" i="33"/>
  <c r="Q151" i="33"/>
  <c r="J151" i="33"/>
  <c r="H151" i="33"/>
  <c r="G151" i="33"/>
  <c r="AE150" i="33"/>
  <c r="X150" i="33"/>
  <c r="Q150" i="33"/>
  <c r="J150" i="33"/>
  <c r="H150" i="33"/>
  <c r="G150" i="33"/>
  <c r="AE38" i="33"/>
  <c r="X38" i="33"/>
  <c r="Q38" i="33"/>
  <c r="G38" i="33"/>
  <c r="AE37" i="33"/>
  <c r="X37" i="33"/>
  <c r="Q37" i="33"/>
  <c r="G37" i="33"/>
  <c r="AE36" i="33"/>
  <c r="X36" i="33"/>
  <c r="Q36" i="33"/>
  <c r="G36" i="33"/>
  <c r="AE35" i="33"/>
  <c r="X35" i="33"/>
  <c r="Q35" i="33"/>
  <c r="J35" i="33"/>
  <c r="G35" i="33"/>
  <c r="I9" i="35"/>
  <c r="F29" i="37"/>
  <c r="N28" i="37"/>
  <c r="J28" i="37"/>
  <c r="N27" i="37"/>
  <c r="N29" i="37" s="1"/>
  <c r="J27" i="37"/>
  <c r="J29" i="37" s="1"/>
  <c r="J24" i="37"/>
  <c r="F24" i="37"/>
  <c r="C23" i="37"/>
  <c r="N22" i="37"/>
  <c r="N24" i="37" s="1"/>
  <c r="C22" i="37"/>
  <c r="J19" i="37"/>
  <c r="F19" i="37"/>
  <c r="C18" i="37"/>
  <c r="N17" i="37"/>
  <c r="N19" i="37" s="1"/>
  <c r="C17" i="37"/>
  <c r="AG15" i="35"/>
  <c r="K9" i="35" l="1"/>
  <c r="J9" i="35"/>
  <c r="N9" i="35"/>
  <c r="M9" i="35"/>
  <c r="L9" i="35"/>
  <c r="C24" i="37"/>
  <c r="C28" i="37"/>
  <c r="C27" i="37"/>
  <c r="C19" i="37"/>
  <c r="C29" i="37" l="1"/>
  <c r="AE285" i="33"/>
  <c r="X285" i="33"/>
  <c r="Q285" i="33"/>
  <c r="AE287" i="33"/>
  <c r="AE286" i="33"/>
  <c r="J285" i="33"/>
  <c r="H285" i="33"/>
  <c r="X287" i="33"/>
  <c r="Q287" i="33"/>
  <c r="J287" i="33"/>
  <c r="H287" i="33"/>
  <c r="G287" i="33"/>
  <c r="X286" i="33"/>
  <c r="Q286" i="33"/>
  <c r="J286" i="33"/>
  <c r="H286" i="33"/>
  <c r="G286" i="33"/>
  <c r="AE190" i="33"/>
  <c r="X190" i="33"/>
  <c r="Q190" i="33"/>
  <c r="J190" i="33"/>
  <c r="H190" i="33"/>
  <c r="G190" i="33"/>
  <c r="AE191" i="33"/>
  <c r="X191" i="33"/>
  <c r="Q191" i="33"/>
  <c r="J191" i="33"/>
  <c r="H191" i="33"/>
  <c r="G191" i="33"/>
  <c r="AE236" i="33"/>
  <c r="X236" i="33"/>
  <c r="Q236" i="33"/>
  <c r="J236" i="33"/>
  <c r="H236" i="33"/>
  <c r="G236" i="33"/>
  <c r="AE189" i="33"/>
  <c r="X189" i="33"/>
  <c r="Q189" i="33"/>
  <c r="J189" i="33"/>
  <c r="H189" i="33"/>
  <c r="AE188" i="33"/>
  <c r="X188" i="33"/>
  <c r="Q188" i="33"/>
  <c r="J188" i="33"/>
  <c r="H188" i="33"/>
  <c r="AE187" i="33"/>
  <c r="X187" i="33"/>
  <c r="Q187" i="33"/>
  <c r="J187" i="33"/>
  <c r="H187" i="33"/>
  <c r="AE186" i="33"/>
  <c r="X186" i="33"/>
  <c r="Q186" i="33"/>
  <c r="J186" i="33"/>
  <c r="H186" i="33"/>
  <c r="AE185" i="33"/>
  <c r="X185" i="33"/>
  <c r="Q185" i="33"/>
  <c r="J185" i="33"/>
  <c r="H185" i="33"/>
  <c r="AE284" i="33"/>
  <c r="X284" i="33"/>
  <c r="Q284" i="33"/>
  <c r="J284" i="33"/>
  <c r="H284" i="33"/>
  <c r="AE283" i="33"/>
  <c r="X283" i="33"/>
  <c r="Q283" i="33"/>
  <c r="J283" i="33"/>
  <c r="H283" i="33"/>
  <c r="G283" i="33"/>
  <c r="AE341" i="33"/>
  <c r="X341" i="33"/>
  <c r="Q341" i="33"/>
  <c r="J341" i="33"/>
  <c r="H341" i="33"/>
  <c r="G341" i="33"/>
  <c r="AE340" i="33"/>
  <c r="X340" i="33"/>
  <c r="Q340" i="33"/>
  <c r="J340" i="33"/>
  <c r="H340" i="33"/>
  <c r="G340" i="33"/>
  <c r="AE184" i="33"/>
  <c r="X184" i="33"/>
  <c r="Q184" i="33"/>
  <c r="J184" i="33"/>
  <c r="H184" i="33"/>
  <c r="AE282" i="33"/>
  <c r="X282" i="33"/>
  <c r="Q282" i="33"/>
  <c r="J282" i="33"/>
  <c r="H282" i="33"/>
  <c r="G282" i="33"/>
  <c r="G281" i="33"/>
  <c r="H281" i="33"/>
  <c r="AE337" i="33"/>
  <c r="X337" i="33"/>
  <c r="Q337" i="33"/>
  <c r="J337" i="33"/>
  <c r="H337" i="33"/>
  <c r="G337" i="33"/>
  <c r="AE336" i="33"/>
  <c r="X336" i="33"/>
  <c r="Q336" i="33"/>
  <c r="J336" i="33"/>
  <c r="H336" i="33"/>
  <c r="G336" i="33"/>
  <c r="AE335" i="33"/>
  <c r="X335" i="33"/>
  <c r="Q335" i="33"/>
  <c r="J335" i="33"/>
  <c r="H335" i="33"/>
  <c r="G335" i="33"/>
  <c r="AE275" i="33"/>
  <c r="X275" i="33"/>
  <c r="Q275" i="33"/>
  <c r="J275" i="33"/>
  <c r="H275" i="33"/>
  <c r="G275" i="33"/>
  <c r="AE274" i="33"/>
  <c r="X274" i="33"/>
  <c r="Q274" i="33"/>
  <c r="J274" i="33"/>
  <c r="H274" i="33"/>
  <c r="G274" i="33"/>
  <c r="AE273" i="33"/>
  <c r="X273" i="33"/>
  <c r="Q273" i="33"/>
  <c r="J273" i="33"/>
  <c r="H273" i="33"/>
  <c r="G273" i="33"/>
  <c r="AE272" i="33"/>
  <c r="X272" i="33"/>
  <c r="Q272" i="33"/>
  <c r="J272" i="33"/>
  <c r="H272" i="33"/>
  <c r="G272" i="33"/>
  <c r="G271" i="33"/>
  <c r="AE281" i="33"/>
  <c r="X281" i="33"/>
  <c r="Q281" i="33"/>
  <c r="J281" i="33"/>
  <c r="AE280" i="33"/>
  <c r="X280" i="33"/>
  <c r="Q280" i="33"/>
  <c r="J280" i="33"/>
  <c r="H280" i="33"/>
  <c r="G280" i="33"/>
  <c r="AE183" i="33"/>
  <c r="X183" i="33"/>
  <c r="Q183" i="33"/>
  <c r="J183" i="33"/>
  <c r="H183" i="33"/>
  <c r="AE279" i="33"/>
  <c r="X279" i="33"/>
  <c r="Q279" i="33"/>
  <c r="J279" i="33"/>
  <c r="H279" i="33"/>
  <c r="G279" i="33"/>
  <c r="AE277" i="33"/>
  <c r="X277" i="33"/>
  <c r="Q277" i="33"/>
  <c r="J277" i="33"/>
  <c r="H277" i="33"/>
  <c r="G277" i="33"/>
  <c r="AE278" i="33"/>
  <c r="X278" i="33"/>
  <c r="Q278" i="33"/>
  <c r="J278" i="33"/>
  <c r="H278" i="33"/>
  <c r="G278" i="33"/>
  <c r="AE276" i="33"/>
  <c r="X276" i="33"/>
  <c r="Q276" i="33"/>
  <c r="J276" i="33"/>
  <c r="H276" i="33"/>
  <c r="G276" i="33"/>
  <c r="AE271" i="33"/>
  <c r="X271" i="33"/>
  <c r="Q271" i="33"/>
  <c r="J271" i="33"/>
  <c r="H271" i="33"/>
  <c r="AE269" i="33"/>
  <c r="X269" i="33"/>
  <c r="Q269" i="33"/>
  <c r="J269" i="33"/>
  <c r="H269" i="33"/>
  <c r="G269" i="33"/>
  <c r="AE268" i="33"/>
  <c r="X268" i="33"/>
  <c r="Q268" i="33"/>
  <c r="J268" i="33"/>
  <c r="H268" i="33"/>
  <c r="G268" i="33"/>
  <c r="AE180" i="33"/>
  <c r="X180" i="33"/>
  <c r="Q180" i="33"/>
  <c r="J180" i="33"/>
  <c r="H180" i="33"/>
  <c r="G126" i="33"/>
  <c r="G125" i="33"/>
  <c r="G124" i="33"/>
  <c r="G123" i="33"/>
  <c r="G122" i="33"/>
  <c r="G121" i="33"/>
  <c r="AE267" i="33"/>
  <c r="X267" i="33"/>
  <c r="Q267" i="33"/>
  <c r="J267" i="33"/>
  <c r="H267" i="33"/>
  <c r="G267" i="33"/>
  <c r="AE265" i="33"/>
  <c r="X265" i="33"/>
  <c r="Q265" i="33"/>
  <c r="J265" i="33"/>
  <c r="H265" i="33"/>
  <c r="G265" i="33"/>
  <c r="AE264" i="33"/>
  <c r="X264" i="33"/>
  <c r="Q264" i="33"/>
  <c r="J264" i="33"/>
  <c r="H264" i="33"/>
  <c r="G264" i="33"/>
  <c r="AE263" i="33"/>
  <c r="X263" i="33"/>
  <c r="Q263" i="33"/>
  <c r="J263" i="33"/>
  <c r="H263" i="33"/>
  <c r="G263" i="33"/>
  <c r="AE262" i="33"/>
  <c r="X262" i="33"/>
  <c r="Q262" i="33"/>
  <c r="J262" i="33"/>
  <c r="H262" i="33"/>
  <c r="G262" i="33"/>
  <c r="AE179" i="33"/>
  <c r="X179" i="33"/>
  <c r="Q179" i="33"/>
  <c r="J179" i="33"/>
  <c r="H179" i="33"/>
  <c r="AE178" i="33"/>
  <c r="X178" i="33"/>
  <c r="Q178" i="33"/>
  <c r="J178" i="33"/>
  <c r="H178" i="33"/>
  <c r="AE177" i="33"/>
  <c r="X177" i="33"/>
  <c r="Q177" i="33"/>
  <c r="J177" i="33"/>
  <c r="H177" i="33"/>
  <c r="AE176" i="33"/>
  <c r="X176" i="33"/>
  <c r="Q176" i="33"/>
  <c r="J176" i="33"/>
  <c r="H176" i="33"/>
  <c r="AE175" i="33"/>
  <c r="X175" i="33"/>
  <c r="Q175" i="33"/>
  <c r="J175" i="33"/>
  <c r="H175" i="33"/>
  <c r="AE174" i="33"/>
  <c r="X174" i="33"/>
  <c r="Q174" i="33"/>
  <c r="J174" i="33"/>
  <c r="H174" i="33"/>
  <c r="AE173" i="33"/>
  <c r="X173" i="33"/>
  <c r="Q173" i="33"/>
  <c r="J173" i="33"/>
  <c r="H173" i="33"/>
  <c r="AE172" i="33"/>
  <c r="X172" i="33"/>
  <c r="Q172" i="33"/>
  <c r="J172" i="33"/>
  <c r="H172" i="33"/>
  <c r="AE169" i="33"/>
  <c r="X169" i="33"/>
  <c r="Q169" i="33"/>
  <c r="J169" i="33"/>
  <c r="H169" i="33"/>
  <c r="AE334" i="33"/>
  <c r="X334" i="33"/>
  <c r="Q334" i="33"/>
  <c r="J334" i="33"/>
  <c r="H334" i="33"/>
  <c r="G334" i="33"/>
  <c r="AE261" i="33"/>
  <c r="AE260" i="33"/>
  <c r="AE259" i="33"/>
  <c r="AE258" i="33"/>
  <c r="X261" i="33"/>
  <c r="Q261" i="33"/>
  <c r="J261" i="33"/>
  <c r="H261" i="33"/>
  <c r="G261" i="33"/>
  <c r="AE168" i="33"/>
  <c r="X168" i="33"/>
  <c r="Q168" i="33"/>
  <c r="J168" i="33"/>
  <c r="H168" i="33"/>
  <c r="X260" i="33"/>
  <c r="Q260" i="33"/>
  <c r="J260" i="33"/>
  <c r="H260" i="33"/>
  <c r="G260" i="33"/>
  <c r="X259" i="33"/>
  <c r="Q259" i="33"/>
  <c r="J259" i="33"/>
  <c r="H259" i="33"/>
  <c r="G259" i="33"/>
  <c r="X258" i="33"/>
  <c r="Q258" i="33"/>
  <c r="J258" i="33"/>
  <c r="H258" i="33"/>
  <c r="G258" i="33"/>
  <c r="AE333" i="33"/>
  <c r="X333" i="33"/>
  <c r="Q333" i="33"/>
  <c r="J333" i="33"/>
  <c r="H333" i="33"/>
  <c r="G333" i="33"/>
  <c r="AE332" i="33"/>
  <c r="X332" i="33"/>
  <c r="Q332" i="33"/>
  <c r="J332" i="33"/>
  <c r="H332" i="33"/>
  <c r="G332" i="33"/>
  <c r="AE331" i="33"/>
  <c r="X331" i="33"/>
  <c r="Q331" i="33"/>
  <c r="J331" i="33"/>
  <c r="H331" i="33"/>
  <c r="G331" i="33"/>
  <c r="AE330" i="33"/>
  <c r="X330" i="33"/>
  <c r="Q330" i="33"/>
  <c r="J330" i="33"/>
  <c r="H330" i="33"/>
  <c r="G330" i="33"/>
  <c r="AE329" i="33"/>
  <c r="X329" i="33"/>
  <c r="Q329" i="33"/>
  <c r="J329" i="33"/>
  <c r="H329" i="33"/>
  <c r="G329" i="33"/>
  <c r="AE328" i="33"/>
  <c r="X328" i="33"/>
  <c r="Q328" i="33"/>
  <c r="J328" i="33"/>
  <c r="H328" i="33"/>
  <c r="G328" i="33"/>
  <c r="AE327" i="33"/>
  <c r="X327" i="33"/>
  <c r="Q327" i="33"/>
  <c r="J327" i="33"/>
  <c r="H327" i="33"/>
  <c r="G327" i="33"/>
  <c r="AE326" i="33"/>
  <c r="X326" i="33"/>
  <c r="Q326" i="33"/>
  <c r="J326" i="33"/>
  <c r="H326" i="33"/>
  <c r="G326" i="33"/>
  <c r="AE325" i="33"/>
  <c r="X325" i="33"/>
  <c r="Q325" i="33"/>
  <c r="J325" i="33"/>
  <c r="H325" i="33"/>
  <c r="G325" i="33"/>
  <c r="AE324" i="33"/>
  <c r="X324" i="33"/>
  <c r="Q324" i="33"/>
  <c r="J324" i="33"/>
  <c r="H324" i="33"/>
  <c r="G324" i="33"/>
  <c r="AE323" i="33"/>
  <c r="X323" i="33"/>
  <c r="Q323" i="33"/>
  <c r="J323" i="33"/>
  <c r="H323" i="33"/>
  <c r="G323" i="33"/>
  <c r="AE322" i="33"/>
  <c r="X322" i="33"/>
  <c r="Q322" i="33"/>
  <c r="J322" i="33"/>
  <c r="H322" i="33"/>
  <c r="G322" i="33"/>
  <c r="AE321" i="33"/>
  <c r="X321" i="33"/>
  <c r="Q321" i="33"/>
  <c r="J321" i="33"/>
  <c r="H321" i="33"/>
  <c r="G321" i="33"/>
  <c r="AE320" i="33"/>
  <c r="X320" i="33"/>
  <c r="Q320" i="33"/>
  <c r="J320" i="33"/>
  <c r="H320" i="33"/>
  <c r="G320" i="33"/>
  <c r="AE319" i="33"/>
  <c r="X319" i="33"/>
  <c r="Q319" i="33"/>
  <c r="J319" i="33"/>
  <c r="H319" i="33"/>
  <c r="G319" i="33"/>
  <c r="AE318" i="33"/>
  <c r="X318" i="33"/>
  <c r="Q318" i="33"/>
  <c r="J318" i="33"/>
  <c r="H318" i="33"/>
  <c r="G318" i="33"/>
  <c r="AE317" i="33"/>
  <c r="X317" i="33"/>
  <c r="Q317" i="33"/>
  <c r="J317" i="33"/>
  <c r="H317" i="33"/>
  <c r="G317" i="33"/>
  <c r="AE316" i="33"/>
  <c r="X316" i="33"/>
  <c r="Q316" i="33"/>
  <c r="J316" i="33"/>
  <c r="H316" i="33"/>
  <c r="G316" i="33"/>
  <c r="AE315" i="33"/>
  <c r="X315" i="33"/>
  <c r="Q315" i="33"/>
  <c r="J315" i="33"/>
  <c r="H315" i="33"/>
  <c r="G315" i="33"/>
  <c r="AE314" i="33"/>
  <c r="X314" i="33"/>
  <c r="Q314" i="33"/>
  <c r="J314" i="33"/>
  <c r="H314" i="33"/>
  <c r="G314" i="33"/>
  <c r="AE313" i="33"/>
  <c r="X313" i="33"/>
  <c r="Q313" i="33"/>
  <c r="J313" i="33"/>
  <c r="H313" i="33"/>
  <c r="G313" i="33"/>
  <c r="AE312" i="33"/>
  <c r="X312" i="33"/>
  <c r="Q312" i="33"/>
  <c r="J312" i="33"/>
  <c r="H312" i="33"/>
  <c r="G312" i="33"/>
  <c r="AE311" i="33"/>
  <c r="X311" i="33"/>
  <c r="Q311" i="33"/>
  <c r="J311" i="33"/>
  <c r="H311" i="33"/>
  <c r="G311" i="33"/>
  <c r="AE310" i="33"/>
  <c r="X310" i="33"/>
  <c r="Q310" i="33"/>
  <c r="J310" i="33"/>
  <c r="H310" i="33"/>
  <c r="G310" i="33"/>
  <c r="AE309" i="33"/>
  <c r="X309" i="33"/>
  <c r="Q309" i="33"/>
  <c r="J309" i="33"/>
  <c r="H309" i="33"/>
  <c r="G309" i="33"/>
  <c r="AE308" i="33"/>
  <c r="X308" i="33"/>
  <c r="Q308" i="33"/>
  <c r="J308" i="33"/>
  <c r="H308" i="33"/>
  <c r="G308" i="33"/>
  <c r="AE307" i="33"/>
  <c r="X307" i="33"/>
  <c r="Q307" i="33"/>
  <c r="J307" i="33"/>
  <c r="H307" i="33"/>
  <c r="G307" i="33"/>
  <c r="AE306" i="33"/>
  <c r="X306" i="33"/>
  <c r="Q306" i="33"/>
  <c r="J306" i="33"/>
  <c r="H306" i="33"/>
  <c r="G306" i="33"/>
  <c r="AE305" i="33"/>
  <c r="X305" i="33"/>
  <c r="Q305" i="33"/>
  <c r="J305" i="33"/>
  <c r="H305" i="33"/>
  <c r="G305" i="33"/>
  <c r="AE304" i="33"/>
  <c r="X304" i="33"/>
  <c r="Q304" i="33"/>
  <c r="J304" i="33"/>
  <c r="H304" i="33"/>
  <c r="G304" i="33"/>
  <c r="AE303" i="33"/>
  <c r="X303" i="33"/>
  <c r="Q303" i="33"/>
  <c r="J303" i="33"/>
  <c r="H303" i="33"/>
  <c r="G303" i="33"/>
  <c r="AE302" i="33"/>
  <c r="X302" i="33"/>
  <c r="Q302" i="33"/>
  <c r="J302" i="33"/>
  <c r="H302" i="33"/>
  <c r="G302" i="33"/>
  <c r="AE301" i="33"/>
  <c r="X301" i="33"/>
  <c r="Q301" i="33"/>
  <c r="J301" i="33"/>
  <c r="H301" i="33"/>
  <c r="G301" i="33"/>
  <c r="AE300" i="33"/>
  <c r="X300" i="33"/>
  <c r="Q300" i="33"/>
  <c r="J300" i="33"/>
  <c r="H300" i="33"/>
  <c r="G300" i="33"/>
  <c r="AE299" i="33"/>
  <c r="X299" i="33"/>
  <c r="Q299" i="33"/>
  <c r="J299" i="33"/>
  <c r="H299" i="33"/>
  <c r="G299" i="33"/>
  <c r="AE298" i="33"/>
  <c r="X298" i="33"/>
  <c r="Q298" i="33"/>
  <c r="J298" i="33"/>
  <c r="H298" i="33"/>
  <c r="G298" i="33"/>
  <c r="AE297" i="33"/>
  <c r="X297" i="33"/>
  <c r="Q297" i="33"/>
  <c r="J297" i="33"/>
  <c r="H297" i="33"/>
  <c r="G297" i="33"/>
  <c r="AE296" i="33"/>
  <c r="X296" i="33"/>
  <c r="Q296" i="33"/>
  <c r="J296" i="33"/>
  <c r="H296" i="33"/>
  <c r="G296" i="33"/>
  <c r="AE295" i="33"/>
  <c r="X295" i="33"/>
  <c r="Q295" i="33"/>
  <c r="J295" i="33"/>
  <c r="H295" i="33"/>
  <c r="G295" i="33"/>
  <c r="AE294" i="33"/>
  <c r="X294" i="33"/>
  <c r="Q294" i="33"/>
  <c r="J294" i="33"/>
  <c r="H294" i="33"/>
  <c r="G294" i="33"/>
  <c r="AE293" i="33"/>
  <c r="X293" i="33"/>
  <c r="Q293" i="33"/>
  <c r="J293" i="33"/>
  <c r="H293" i="33"/>
  <c r="G293" i="33"/>
  <c r="AE292" i="33"/>
  <c r="X292" i="33"/>
  <c r="Q292" i="33"/>
  <c r="J292" i="33"/>
  <c r="H292" i="33"/>
  <c r="G292" i="33"/>
  <c r="AE257" i="33"/>
  <c r="X257" i="33"/>
  <c r="Q257" i="33"/>
  <c r="J257" i="33"/>
  <c r="H257" i="33"/>
  <c r="G257" i="33"/>
  <c r="AE256" i="33"/>
  <c r="X256" i="33"/>
  <c r="Q256" i="33"/>
  <c r="J256" i="33"/>
  <c r="H256" i="33"/>
  <c r="G256" i="33"/>
  <c r="AE255" i="33"/>
  <c r="X255" i="33"/>
  <c r="Q255" i="33"/>
  <c r="J255" i="33"/>
  <c r="H255" i="33"/>
  <c r="G255" i="33"/>
  <c r="AE254" i="33"/>
  <c r="X254" i="33"/>
  <c r="Q254" i="33"/>
  <c r="J254" i="33"/>
  <c r="H254" i="33"/>
  <c r="G254" i="33"/>
  <c r="AE253" i="33"/>
  <c r="X253" i="33"/>
  <c r="Q253" i="33"/>
  <c r="J253" i="33"/>
  <c r="H253" i="33"/>
  <c r="G253" i="33"/>
  <c r="AE252" i="33"/>
  <c r="X252" i="33"/>
  <c r="Q252" i="33"/>
  <c r="J252" i="33"/>
  <c r="H252" i="33"/>
  <c r="G252" i="33"/>
  <c r="AE251" i="33"/>
  <c r="X251" i="33"/>
  <c r="Q251" i="33"/>
  <c r="J251" i="33"/>
  <c r="H251" i="33"/>
  <c r="G251" i="33"/>
  <c r="AE250" i="33"/>
  <c r="X250" i="33"/>
  <c r="Q250" i="33"/>
  <c r="J250" i="33"/>
  <c r="H250" i="33"/>
  <c r="G250" i="33"/>
  <c r="AE249" i="33"/>
  <c r="X249" i="33"/>
  <c r="Q249" i="33"/>
  <c r="J249" i="33"/>
  <c r="H249" i="33"/>
  <c r="G249" i="33"/>
  <c r="AE167" i="33"/>
  <c r="X167" i="33"/>
  <c r="Q167" i="33"/>
  <c r="J167" i="33"/>
  <c r="H167" i="33"/>
  <c r="AE248" i="33"/>
  <c r="X248" i="33"/>
  <c r="Q248" i="33"/>
  <c r="J248" i="33"/>
  <c r="H248" i="33"/>
  <c r="G248" i="33"/>
  <c r="AE247" i="33"/>
  <c r="X247" i="33"/>
  <c r="Q247" i="33"/>
  <c r="J247" i="33"/>
  <c r="H247" i="33"/>
  <c r="G247" i="33"/>
  <c r="AE246" i="33"/>
  <c r="X246" i="33"/>
  <c r="Q246" i="33"/>
  <c r="J246" i="33"/>
  <c r="H246" i="33"/>
  <c r="G246" i="33"/>
  <c r="AE245" i="33"/>
  <c r="X245" i="33"/>
  <c r="Q245" i="33"/>
  <c r="J245" i="33"/>
  <c r="H245" i="33"/>
  <c r="G245" i="33"/>
  <c r="AE244" i="33"/>
  <c r="X244" i="33"/>
  <c r="Q244" i="33"/>
  <c r="J244" i="33"/>
  <c r="H244" i="33"/>
  <c r="G244" i="33"/>
  <c r="AE243" i="33"/>
  <c r="X243" i="33"/>
  <c r="Q243" i="33"/>
  <c r="J243" i="33"/>
  <c r="H243" i="33"/>
  <c r="G243" i="33"/>
  <c r="AE291" i="33"/>
  <c r="X291" i="33"/>
  <c r="Q291" i="33"/>
  <c r="J291" i="33"/>
  <c r="H291" i="33"/>
  <c r="G291" i="33"/>
  <c r="AE290" i="33"/>
  <c r="X290" i="33"/>
  <c r="Q290" i="33"/>
  <c r="J290" i="33"/>
  <c r="H290" i="33"/>
  <c r="G290" i="33"/>
  <c r="AE289" i="33"/>
  <c r="X289" i="33"/>
  <c r="Q289" i="33"/>
  <c r="J289" i="33"/>
  <c r="H289" i="33"/>
  <c r="G289" i="33"/>
  <c r="G120" i="33" l="1"/>
  <c r="G119" i="33"/>
  <c r="G118" i="33"/>
  <c r="CC112" i="3"/>
  <c r="AH114" i="33" s="1"/>
  <c r="AI114" i="33" s="1"/>
  <c r="CC111" i="3"/>
  <c r="AH113" i="33" s="1"/>
  <c r="AI113" i="33" s="1"/>
  <c r="CC110" i="3"/>
  <c r="AH112" i="33" s="1"/>
  <c r="AI112" i="33" s="1"/>
  <c r="CC113" i="3"/>
  <c r="AH115" i="33" s="1"/>
  <c r="AI115" i="33" s="1"/>
  <c r="BS113" i="3"/>
  <c r="AA115" i="33" s="1"/>
  <c r="AB115" i="33" s="1"/>
  <c r="AC115" i="33" s="1"/>
  <c r="BS112" i="3"/>
  <c r="AA114" i="33" s="1"/>
  <c r="AB114" i="33" s="1"/>
  <c r="BS111" i="3"/>
  <c r="AA113" i="33" s="1"/>
  <c r="AB113" i="33" s="1"/>
  <c r="BS110" i="3"/>
  <c r="AA112" i="33" s="1"/>
  <c r="AB112" i="33" s="1"/>
  <c r="BI113" i="3"/>
  <c r="T115" i="33" s="1"/>
  <c r="U115" i="33" s="1"/>
  <c r="V115" i="33" s="1"/>
  <c r="BI112" i="3"/>
  <c r="T114" i="33" s="1"/>
  <c r="U114" i="33" s="1"/>
  <c r="BI111" i="3"/>
  <c r="T113" i="33" s="1"/>
  <c r="U113" i="33" s="1"/>
  <c r="BI110" i="3"/>
  <c r="T112" i="33" s="1"/>
  <c r="U112" i="33" s="1"/>
  <c r="AY113" i="3"/>
  <c r="M115" i="33" s="1"/>
  <c r="AY112" i="3"/>
  <c r="M114" i="33" s="1"/>
  <c r="N114" i="33" s="1"/>
  <c r="AY111" i="3"/>
  <c r="M113" i="33" s="1"/>
  <c r="N113" i="33" s="1"/>
  <c r="AY110" i="3"/>
  <c r="M112" i="33" s="1"/>
  <c r="N112" i="33" s="1"/>
  <c r="CC97" i="3"/>
  <c r="AH99" i="33" s="1"/>
  <c r="AI99" i="33" s="1"/>
  <c r="CC96" i="3"/>
  <c r="AH98" i="33" s="1"/>
  <c r="AI98" i="33" s="1"/>
  <c r="CC95" i="3"/>
  <c r="AH97" i="33" s="1"/>
  <c r="AI97" i="33" s="1"/>
  <c r="CC94" i="3"/>
  <c r="AH96" i="33" s="1"/>
  <c r="AI96" i="33" s="1"/>
  <c r="BS97" i="3"/>
  <c r="AA99" i="33" s="1"/>
  <c r="AB99" i="33" s="1"/>
  <c r="BS96" i="3"/>
  <c r="AA98" i="33" s="1"/>
  <c r="AB98" i="33" s="1"/>
  <c r="AC98" i="33" s="1"/>
  <c r="BS95" i="3"/>
  <c r="AA97" i="33" s="1"/>
  <c r="AB97" i="33" s="1"/>
  <c r="AC97" i="33" s="1"/>
  <c r="BS94" i="3"/>
  <c r="AA96" i="33" s="1"/>
  <c r="AB96" i="33" s="1"/>
  <c r="AC96" i="33" s="1"/>
  <c r="BI97" i="3"/>
  <c r="T99" i="33" s="1"/>
  <c r="U99" i="33" s="1"/>
  <c r="BI96" i="3"/>
  <c r="T98" i="33" s="1"/>
  <c r="U98" i="33" s="1"/>
  <c r="BI95" i="3"/>
  <c r="T97" i="33" s="1"/>
  <c r="U97" i="33" s="1"/>
  <c r="BI94" i="3"/>
  <c r="T96" i="33" s="1"/>
  <c r="U96" i="33" s="1"/>
  <c r="V96" i="33" s="1"/>
  <c r="AY97" i="3"/>
  <c r="M99" i="33" s="1"/>
  <c r="N99" i="33" s="1"/>
  <c r="AY96" i="3"/>
  <c r="M98" i="33" s="1"/>
  <c r="N98" i="33" s="1"/>
  <c r="AY95" i="3"/>
  <c r="M97" i="33" s="1"/>
  <c r="N97" i="33" s="1"/>
  <c r="AW95" i="3"/>
  <c r="J97" i="33" s="1"/>
  <c r="AY94" i="3"/>
  <c r="M96" i="33" s="1"/>
  <c r="N96" i="33" s="1"/>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AE242" i="33"/>
  <c r="X242" i="33"/>
  <c r="Q242" i="33"/>
  <c r="J242" i="33"/>
  <c r="H242" i="33"/>
  <c r="G242" i="33"/>
  <c r="G64" i="33"/>
  <c r="AE241" i="33"/>
  <c r="X241" i="33"/>
  <c r="Q241" i="33"/>
  <c r="J241" i="33"/>
  <c r="H241" i="33"/>
  <c r="G241" i="33"/>
  <c r="AE240" i="33"/>
  <c r="X240" i="33"/>
  <c r="Q240" i="33"/>
  <c r="J240" i="33"/>
  <c r="H240" i="33"/>
  <c r="G240" i="33"/>
  <c r="AE239" i="33"/>
  <c r="X239" i="33"/>
  <c r="Q239" i="33"/>
  <c r="J239" i="33"/>
  <c r="H239" i="33"/>
  <c r="G239" i="33"/>
  <c r="AE238" i="33"/>
  <c r="X238" i="33"/>
  <c r="Q238" i="33"/>
  <c r="J238" i="33"/>
  <c r="H238" i="33"/>
  <c r="G238" i="33"/>
  <c r="AE237" i="33"/>
  <c r="X237" i="33"/>
  <c r="Q237" i="33"/>
  <c r="J237" i="33"/>
  <c r="H237" i="33"/>
  <c r="G237" i="33"/>
  <c r="AE235" i="33"/>
  <c r="X235" i="33"/>
  <c r="Q235" i="33"/>
  <c r="J235" i="33"/>
  <c r="H235" i="33"/>
  <c r="G235" i="33"/>
  <c r="AE339" i="33"/>
  <c r="X339" i="33"/>
  <c r="Q339" i="33"/>
  <c r="J339" i="33"/>
  <c r="H339" i="33"/>
  <c r="G339" i="33"/>
  <c r="AE234" i="33"/>
  <c r="X234" i="33"/>
  <c r="Q234" i="33"/>
  <c r="J234" i="33"/>
  <c r="H234" i="33"/>
  <c r="G234" i="33"/>
  <c r="AE166" i="33"/>
  <c r="X166" i="33"/>
  <c r="Q166" i="33"/>
  <c r="J166" i="33"/>
  <c r="H166" i="33"/>
  <c r="G166" i="33"/>
  <c r="AE233" i="33"/>
  <c r="X233" i="33"/>
  <c r="Q233" i="33"/>
  <c r="J233" i="33"/>
  <c r="H233" i="33"/>
  <c r="G233" i="33"/>
  <c r="AE232" i="33"/>
  <c r="X232" i="33"/>
  <c r="Q232" i="33"/>
  <c r="J232" i="33"/>
  <c r="H232" i="33"/>
  <c r="G232" i="33"/>
  <c r="AE231" i="33"/>
  <c r="X231" i="33"/>
  <c r="Q231" i="33"/>
  <c r="J231" i="33"/>
  <c r="H231" i="33"/>
  <c r="G231" i="33"/>
  <c r="H39" i="33"/>
  <c r="AE230" i="33"/>
  <c r="X230" i="33"/>
  <c r="Q230" i="33"/>
  <c r="J230" i="33"/>
  <c r="H230" i="33"/>
  <c r="G230" i="33"/>
  <c r="AE158" i="33"/>
  <c r="X158" i="33"/>
  <c r="Q158" i="33"/>
  <c r="J158" i="33"/>
  <c r="H158" i="33"/>
  <c r="G158" i="33"/>
  <c r="AE157" i="33"/>
  <c r="X157" i="33"/>
  <c r="Q157" i="33"/>
  <c r="J157" i="33"/>
  <c r="H157" i="33"/>
  <c r="G157" i="33"/>
  <c r="AE156" i="33"/>
  <c r="X156" i="33"/>
  <c r="Q156" i="33"/>
  <c r="J156" i="33"/>
  <c r="H156" i="33"/>
  <c r="G156" i="33"/>
  <c r="N115" i="33" l="1"/>
  <c r="O115" i="33" s="1"/>
  <c r="AE155" i="33"/>
  <c r="X155" i="33"/>
  <c r="Q155" i="33"/>
  <c r="J155" i="33"/>
  <c r="H155" i="33"/>
  <c r="G155" i="33"/>
  <c r="AE154" i="33"/>
  <c r="X154" i="33"/>
  <c r="Q154" i="33"/>
  <c r="J154" i="33"/>
  <c r="H154" i="33"/>
  <c r="G154" i="33"/>
  <c r="AE153" i="33"/>
  <c r="X153" i="33"/>
  <c r="Q153" i="33"/>
  <c r="J153" i="33"/>
  <c r="H153" i="33"/>
  <c r="G153" i="33"/>
  <c r="AE229" i="33"/>
  <c r="X229" i="33"/>
  <c r="Q229" i="33"/>
  <c r="J229" i="33"/>
  <c r="H229" i="33"/>
  <c r="G229" i="33"/>
  <c r="AE228" i="33"/>
  <c r="X228" i="33"/>
  <c r="Q228" i="33"/>
  <c r="J228" i="33"/>
  <c r="H228" i="33"/>
  <c r="G228" i="33"/>
  <c r="AE227" i="33"/>
  <c r="X227" i="33"/>
  <c r="Q227" i="33"/>
  <c r="J227" i="33"/>
  <c r="H227" i="33"/>
  <c r="G227" i="33"/>
  <c r="AE226" i="33"/>
  <c r="X226" i="33"/>
  <c r="Q226" i="33"/>
  <c r="J226" i="33"/>
  <c r="H226" i="33"/>
  <c r="G226" i="33"/>
  <c r="AE225" i="33"/>
  <c r="X225" i="33"/>
  <c r="Q225" i="33"/>
  <c r="J225" i="33"/>
  <c r="H225" i="33"/>
  <c r="G225" i="33"/>
  <c r="AV41" i="3"/>
  <c r="G57" i="33"/>
  <c r="G56" i="33"/>
  <c r="G55" i="33"/>
  <c r="G54" i="33"/>
  <c r="G40" i="33"/>
  <c r="G53" i="33"/>
  <c r="G52" i="33"/>
  <c r="G51" i="33"/>
  <c r="G50" i="33"/>
  <c r="G49" i="33"/>
  <c r="G48" i="33"/>
  <c r="G46" i="33"/>
  <c r="G45" i="33"/>
  <c r="G44" i="33"/>
  <c r="G43" i="33"/>
  <c r="G42" i="33"/>
  <c r="G41" i="33"/>
  <c r="G39" i="33"/>
  <c r="AE165" i="33"/>
  <c r="X165" i="33"/>
  <c r="Q165" i="33"/>
  <c r="J165" i="33"/>
  <c r="H165" i="33"/>
  <c r="G165" i="33"/>
  <c r="AE164" i="33"/>
  <c r="X164" i="33"/>
  <c r="Q164" i="33"/>
  <c r="J164" i="33"/>
  <c r="H164" i="33"/>
  <c r="G164" i="33"/>
  <c r="AE163" i="33"/>
  <c r="X163" i="33"/>
  <c r="Q163" i="33"/>
  <c r="J163" i="33"/>
  <c r="H163" i="33"/>
  <c r="G163" i="33"/>
  <c r="AE162" i="33"/>
  <c r="X162" i="33"/>
  <c r="Q162" i="33"/>
  <c r="J162" i="33"/>
  <c r="H162" i="33"/>
  <c r="G162" i="33"/>
  <c r="AE161" i="33"/>
  <c r="X161" i="33"/>
  <c r="Q161" i="33"/>
  <c r="J161" i="33"/>
  <c r="H161" i="33"/>
  <c r="G161" i="33"/>
  <c r="AE160" i="33"/>
  <c r="AE224" i="33"/>
  <c r="AE223" i="33"/>
  <c r="AE222" i="33"/>
  <c r="AE221" i="33"/>
  <c r="X160" i="33"/>
  <c r="Q160" i="33"/>
  <c r="J160" i="33"/>
  <c r="X224" i="33"/>
  <c r="Q224" i="33"/>
  <c r="J224" i="33"/>
  <c r="X223" i="33"/>
  <c r="Q223" i="33"/>
  <c r="J223" i="33"/>
  <c r="X222" i="33"/>
  <c r="Q222" i="33"/>
  <c r="J222" i="33"/>
  <c r="X221" i="33"/>
  <c r="Q221" i="33"/>
  <c r="J221" i="33"/>
  <c r="AE159" i="33"/>
  <c r="X159" i="33"/>
  <c r="Q159" i="33"/>
  <c r="J159" i="33"/>
  <c r="G160" i="33"/>
  <c r="G222" i="33"/>
  <c r="G221" i="33"/>
  <c r="G159" i="33"/>
  <c r="H160" i="33"/>
  <c r="H224" i="33"/>
  <c r="H223" i="33"/>
  <c r="H222" i="33"/>
  <c r="H221" i="33"/>
  <c r="H159" i="33"/>
  <c r="G63" i="33"/>
  <c r="G60" i="33"/>
  <c r="G59" i="33"/>
  <c r="G58" i="33"/>
  <c r="G32" i="33" l="1"/>
  <c r="G31" i="33"/>
  <c r="G30" i="33"/>
  <c r="G29" i="33"/>
  <c r="G33" i="33"/>
  <c r="AF220" i="33"/>
  <c r="AE220" i="33"/>
  <c r="Y220" i="33"/>
  <c r="X220" i="33"/>
  <c r="R220" i="33"/>
  <c r="Q220" i="33"/>
  <c r="J220" i="33"/>
  <c r="H220" i="33"/>
  <c r="G220" i="33"/>
  <c r="R219" i="33"/>
  <c r="Y219" i="33"/>
  <c r="AF219" i="33"/>
  <c r="AE219" i="33"/>
  <c r="X219" i="33"/>
  <c r="Q219" i="33"/>
  <c r="J219" i="33"/>
  <c r="H219" i="33"/>
  <c r="G219" i="33"/>
  <c r="AE34" i="33"/>
  <c r="X34" i="33"/>
  <c r="Q34" i="33"/>
  <c r="J34" i="33"/>
  <c r="H34" i="33"/>
  <c r="G34" i="33"/>
  <c r="AE149" i="33"/>
  <c r="X149" i="33"/>
  <c r="Q149" i="33"/>
  <c r="J149" i="33"/>
  <c r="H149" i="33"/>
  <c r="G149" i="33"/>
  <c r="AE204" i="33"/>
  <c r="X204" i="33"/>
  <c r="Q204" i="33"/>
  <c r="J204" i="33"/>
  <c r="H204" i="33"/>
  <c r="G204" i="33"/>
  <c r="AE203" i="33"/>
  <c r="X203" i="33"/>
  <c r="Q203" i="33"/>
  <c r="J203" i="33"/>
  <c r="H203" i="33"/>
  <c r="G203" i="33"/>
  <c r="AE202" i="33"/>
  <c r="X202" i="33"/>
  <c r="Q202" i="33"/>
  <c r="J202" i="33"/>
  <c r="H202" i="33"/>
  <c r="G202" i="33"/>
  <c r="AE148" i="33"/>
  <c r="X148" i="33"/>
  <c r="Q148" i="33"/>
  <c r="J148" i="33"/>
  <c r="H148" i="33"/>
  <c r="G148" i="33"/>
  <c r="AE147" i="33"/>
  <c r="X147" i="33"/>
  <c r="Q147" i="33"/>
  <c r="J147" i="33"/>
  <c r="H147" i="33"/>
  <c r="G147" i="33"/>
  <c r="AE201" i="33" l="1"/>
  <c r="X201" i="33"/>
  <c r="Q201" i="33"/>
  <c r="J201" i="33"/>
  <c r="H201" i="33"/>
  <c r="G201" i="33"/>
  <c r="AE200" i="33"/>
  <c r="X200" i="33"/>
  <c r="Q200" i="33"/>
  <c r="J200" i="33"/>
  <c r="H200" i="33"/>
  <c r="G200" i="33"/>
  <c r="AE199" i="33"/>
  <c r="X199" i="33"/>
  <c r="Q199" i="33"/>
  <c r="J199" i="33"/>
  <c r="H199" i="33"/>
  <c r="G199" i="33"/>
  <c r="AE146" i="33"/>
  <c r="X146" i="33"/>
  <c r="R146" i="33"/>
  <c r="S146" i="33" s="1"/>
  <c r="P13" i="35" s="1"/>
  <c r="Q13" i="35" s="1"/>
  <c r="Q146" i="33"/>
  <c r="J146" i="33"/>
  <c r="H146" i="33"/>
  <c r="AE198" i="33"/>
  <c r="X198" i="33"/>
  <c r="Q198" i="33"/>
  <c r="AI32" i="27"/>
  <c r="J198" i="33"/>
  <c r="H198" i="33"/>
  <c r="G198" i="33"/>
  <c r="AE197" i="33"/>
  <c r="X197" i="33"/>
  <c r="Q197" i="33"/>
  <c r="J197" i="33"/>
  <c r="H197" i="33"/>
  <c r="G197" i="33"/>
  <c r="AE196" i="33"/>
  <c r="X196" i="33"/>
  <c r="Q196" i="33"/>
  <c r="J196" i="33"/>
  <c r="H196" i="33"/>
  <c r="G196" i="33"/>
  <c r="BN13" i="27"/>
  <c r="BO20" i="27"/>
  <c r="BO22" i="27"/>
  <c r="BE22" i="27"/>
  <c r="BE20" i="27"/>
  <c r="AA137" i="33" s="1"/>
  <c r="AB137" i="33" s="1"/>
  <c r="AC137" i="33" s="1"/>
  <c r="AU20" i="27"/>
  <c r="AU22" i="27"/>
  <c r="AI20" i="27"/>
  <c r="AE145" i="33"/>
  <c r="X145" i="33"/>
  <c r="Q145" i="33"/>
  <c r="J145" i="33"/>
  <c r="H145" i="33"/>
  <c r="G145" i="33"/>
  <c r="AE144" i="33"/>
  <c r="X144" i="33"/>
  <c r="Q144" i="33"/>
  <c r="J144" i="33"/>
  <c r="H144" i="33"/>
  <c r="G144" i="33"/>
  <c r="AE143" i="33"/>
  <c r="X143" i="33"/>
  <c r="Q143" i="33"/>
  <c r="J143" i="33"/>
  <c r="H143" i="33"/>
  <c r="G143" i="33"/>
  <c r="AE142" i="33"/>
  <c r="X142" i="33"/>
  <c r="Q142" i="33"/>
  <c r="J142" i="33"/>
  <c r="H142" i="33"/>
  <c r="G142" i="33"/>
  <c r="AE141" i="33"/>
  <c r="X141" i="33"/>
  <c r="Q141" i="33"/>
  <c r="J141" i="33"/>
  <c r="H141" i="33"/>
  <c r="G141" i="33"/>
  <c r="AE140" i="33"/>
  <c r="X140" i="33"/>
  <c r="Q140" i="33"/>
  <c r="J140" i="33"/>
  <c r="H140" i="33"/>
  <c r="G140" i="33"/>
  <c r="G27" i="33"/>
  <c r="G26" i="33"/>
  <c r="G25" i="33"/>
  <c r="G24" i="33"/>
  <c r="G23" i="33"/>
  <c r="AE195" i="33"/>
  <c r="X195" i="33"/>
  <c r="Q195" i="33"/>
  <c r="J195" i="33"/>
  <c r="H195" i="33"/>
  <c r="G195" i="33"/>
  <c r="AE139" i="33"/>
  <c r="X139" i="33"/>
  <c r="Q139" i="33"/>
  <c r="J139" i="33"/>
  <c r="H139" i="33"/>
  <c r="G139" i="33"/>
  <c r="G138" i="33"/>
  <c r="AE137" i="33"/>
  <c r="X137" i="33"/>
  <c r="Q137" i="33"/>
  <c r="J137" i="33"/>
  <c r="H137" i="33"/>
  <c r="G137" i="33"/>
  <c r="AE136" i="33"/>
  <c r="X136" i="33"/>
  <c r="Q136" i="33"/>
  <c r="J136" i="33"/>
  <c r="H136" i="33"/>
  <c r="G136" i="33"/>
  <c r="G22" i="33"/>
  <c r="G21" i="33"/>
  <c r="G20" i="33"/>
  <c r="G19" i="33"/>
  <c r="G18" i="33"/>
  <c r="AE135" i="33"/>
  <c r="X135" i="33"/>
  <c r="Q135" i="33"/>
  <c r="J135" i="33"/>
  <c r="AE134" i="33"/>
  <c r="X134" i="33"/>
  <c r="Q134" i="33"/>
  <c r="J134" i="33"/>
  <c r="AE133" i="33"/>
  <c r="X133" i="33"/>
  <c r="Q133" i="33"/>
  <c r="J133" i="33"/>
  <c r="AE132" i="33"/>
  <c r="X132" i="33"/>
  <c r="Q132" i="33"/>
  <c r="J132" i="33"/>
  <c r="AE131" i="33"/>
  <c r="X131" i="33"/>
  <c r="Q131" i="33"/>
  <c r="J131" i="33"/>
  <c r="H135" i="33"/>
  <c r="G135" i="33"/>
  <c r="H134" i="33"/>
  <c r="G134" i="33"/>
  <c r="H133" i="33"/>
  <c r="G133" i="33"/>
  <c r="H132" i="33"/>
  <c r="H131" i="33"/>
  <c r="G131" i="33"/>
  <c r="AE130" i="33"/>
  <c r="X130" i="33"/>
  <c r="Q130" i="33"/>
  <c r="J130" i="33"/>
  <c r="H130" i="33"/>
  <c r="G130" i="33"/>
  <c r="AE194" i="33"/>
  <c r="X194" i="33"/>
  <c r="Q194" i="33"/>
  <c r="J194" i="33"/>
  <c r="AE193" i="33"/>
  <c r="X193" i="33"/>
  <c r="Q193" i="33"/>
  <c r="J193" i="33"/>
  <c r="H194" i="33"/>
  <c r="G194" i="33"/>
  <c r="H193" i="33"/>
  <c r="G193" i="33"/>
  <c r="G17" i="33"/>
  <c r="G16" i="33"/>
  <c r="AE129" i="33"/>
  <c r="X129" i="33"/>
  <c r="Q129" i="33"/>
  <c r="J129" i="33"/>
  <c r="AE128" i="33"/>
  <c r="X128" i="33"/>
  <c r="Q128" i="33"/>
  <c r="J128" i="33"/>
  <c r="K137" i="33" l="1"/>
  <c r="L137" i="33" s="1"/>
  <c r="M137" i="33"/>
  <c r="N137" i="33" s="1"/>
  <c r="O137" i="33" s="1"/>
  <c r="M139" i="33"/>
  <c r="N139" i="33" s="1"/>
  <c r="O139" i="33" s="1"/>
  <c r="T139" i="33"/>
  <c r="U139" i="33" s="1"/>
  <c r="V139" i="33" s="1"/>
  <c r="T137" i="33"/>
  <c r="U137" i="33" s="1"/>
  <c r="V137" i="33" s="1"/>
  <c r="AH137" i="33"/>
  <c r="AI137" i="33" s="1"/>
  <c r="AA139" i="33"/>
  <c r="AB139" i="33" s="1"/>
  <c r="AC139" i="33" s="1"/>
  <c r="AH139" i="33"/>
  <c r="AI139" i="33" s="1"/>
  <c r="R13" i="35"/>
  <c r="S13" i="35"/>
  <c r="U13" i="35"/>
  <c r="T13" i="35"/>
  <c r="H129" i="33"/>
  <c r="H128" i="33"/>
  <c r="G128" i="33"/>
  <c r="G15" i="33"/>
  <c r="E191" i="33"/>
  <c r="J343" i="33"/>
  <c r="J344" i="33" s="1"/>
  <c r="J345" i="33" s="1"/>
  <c r="Q343" i="33"/>
  <c r="Q344" i="33" s="1"/>
  <c r="Q345" i="33" s="1"/>
  <c r="X343" i="33"/>
  <c r="X344" i="33" s="1"/>
  <c r="X345" i="33" s="1"/>
  <c r="AE343" i="33"/>
  <c r="AE344" i="33" s="1"/>
  <c r="AE345" i="33" s="1"/>
  <c r="CB162" i="3" l="1"/>
  <c r="AH191" i="33" s="1"/>
  <c r="AI191" i="33" s="1"/>
  <c r="BZ162" i="3"/>
  <c r="CB170" i="3"/>
  <c r="AH190" i="33" s="1"/>
  <c r="AI190" i="33" s="1"/>
  <c r="BZ170" i="3"/>
  <c r="BR162" i="3"/>
  <c r="AA191" i="33" s="1"/>
  <c r="AB191" i="33" s="1"/>
  <c r="AC191" i="33" s="1"/>
  <c r="BP162" i="3"/>
  <c r="BR170" i="3"/>
  <c r="AA190" i="33" s="1"/>
  <c r="AB190" i="33" s="1"/>
  <c r="AC190" i="33" s="1"/>
  <c r="BP170" i="3"/>
  <c r="BH162" i="3"/>
  <c r="T191" i="33" s="1"/>
  <c r="U191" i="33" s="1"/>
  <c r="V191" i="33" s="1"/>
  <c r="BF162" i="3"/>
  <c r="BH170" i="3"/>
  <c r="T190" i="33" s="1"/>
  <c r="U190" i="33" s="1"/>
  <c r="V190" i="33" s="1"/>
  <c r="BF170" i="3"/>
  <c r="AX162" i="3"/>
  <c r="M191" i="33" s="1"/>
  <c r="N191" i="33" s="1"/>
  <c r="O191" i="33" s="1"/>
  <c r="AV162" i="3"/>
  <c r="AX170" i="3"/>
  <c r="M190" i="33" s="1"/>
  <c r="AV170" i="3"/>
  <c r="B16" i="32" l="1"/>
  <c r="B15" i="32"/>
  <c r="E7" i="32"/>
  <c r="B6" i="32"/>
  <c r="E5" i="32"/>
  <c r="E4" i="32"/>
  <c r="B4" i="32"/>
  <c r="E8" i="32" l="1"/>
  <c r="E10" i="32" s="1"/>
  <c r="E12" i="32" s="1"/>
  <c r="B26" i="32"/>
  <c r="G12" i="32"/>
  <c r="BM138" i="3"/>
  <c r="BW138" i="3"/>
  <c r="CB135" i="3"/>
  <c r="AH271" i="33" s="1"/>
  <c r="AI271" i="33" s="1"/>
  <c r="CA135" i="3"/>
  <c r="BZ135" i="3"/>
  <c r="BM137" i="3"/>
  <c r="BW137" i="3"/>
  <c r="BR135" i="3"/>
  <c r="AA271" i="33" s="1"/>
  <c r="AB271" i="33" s="1"/>
  <c r="AC271" i="33" s="1"/>
  <c r="BQ135" i="3"/>
  <c r="BP135" i="3"/>
  <c r="BH135" i="3"/>
  <c r="T271" i="33" s="1"/>
  <c r="U271" i="33" s="1"/>
  <c r="V271" i="33" s="1"/>
  <c r="BG135" i="3"/>
  <c r="BF135" i="3"/>
  <c r="AX135" i="3"/>
  <c r="M271" i="33" s="1"/>
  <c r="N271" i="33" s="1"/>
  <c r="O271" i="33" s="1"/>
  <c r="AW135" i="3"/>
  <c r="AV135" i="3"/>
  <c r="CL135" i="3"/>
  <c r="CK135" i="3"/>
  <c r="AF271" i="33" s="1"/>
  <c r="AG271" i="33" s="1"/>
  <c r="CJ135" i="3"/>
  <c r="CI135" i="3"/>
  <c r="Y271" i="33" s="1"/>
  <c r="Z271" i="33" s="1"/>
  <c r="CH135" i="3"/>
  <c r="CG135" i="3"/>
  <c r="R271" i="33" s="1"/>
  <c r="S271" i="33" s="1"/>
  <c r="CF135" i="3"/>
  <c r="CE135" i="3"/>
  <c r="K271" i="33" s="1"/>
  <c r="L271" i="33" s="1"/>
  <c r="AO135" i="3"/>
  <c r="CC135" i="3" s="1"/>
  <c r="AY135" i="3" l="1"/>
  <c r="BI135" i="3"/>
  <c r="BS135" i="3"/>
  <c r="AO162" i="3"/>
  <c r="AN162" i="3"/>
  <c r="CM94" i="3"/>
  <c r="CM93" i="3"/>
  <c r="BB162" i="3" l="1"/>
  <c r="AR162" i="3"/>
  <c r="BV162" i="3"/>
  <c r="BL162" i="3"/>
  <c r="CC162" i="3"/>
  <c r="AS162" i="3"/>
  <c r="AW162" i="3" s="1"/>
  <c r="BS162" i="3"/>
  <c r="BW162" i="3"/>
  <c r="CA162" i="3" s="1"/>
  <c r="BI162" i="3"/>
  <c r="BM162" i="3"/>
  <c r="BQ162" i="3" s="1"/>
  <c r="AY162" i="3"/>
  <c r="BC162" i="3"/>
  <c r="BG162" i="3" s="1"/>
  <c r="AO40" i="3"/>
  <c r="CM11" i="3"/>
  <c r="CM12" i="3"/>
  <c r="CM13" i="3"/>
  <c r="CM27" i="3"/>
  <c r="CM28" i="3"/>
  <c r="CM30" i="3"/>
  <c r="CM32" i="3"/>
  <c r="CM33" i="3"/>
  <c r="CM34" i="3"/>
  <c r="CM36" i="3"/>
  <c r="CM39" i="3"/>
  <c r="CM42" i="3"/>
  <c r="CM43" i="3"/>
  <c r="CM44" i="3"/>
  <c r="CM45" i="3"/>
  <c r="CM46" i="3"/>
  <c r="CM47" i="3"/>
  <c r="CM50" i="3"/>
  <c r="CM51" i="3"/>
  <c r="CM52" i="3"/>
  <c r="CM53" i="3"/>
  <c r="CM54" i="3"/>
  <c r="CM56" i="3"/>
  <c r="CM57" i="3"/>
  <c r="CM58" i="3"/>
  <c r="CM59" i="3"/>
  <c r="CM60" i="3"/>
  <c r="CM61" i="3"/>
  <c r="CM62" i="3"/>
  <c r="CM63" i="3"/>
  <c r="CM64" i="3"/>
  <c r="CM65" i="3"/>
  <c r="CM66" i="3"/>
  <c r="CM67" i="3"/>
  <c r="CM68" i="3"/>
  <c r="CM69" i="3"/>
  <c r="CM70" i="3"/>
  <c r="CM71" i="3"/>
  <c r="CM85" i="3"/>
  <c r="CM86" i="3"/>
  <c r="CM87" i="3"/>
  <c r="CM88" i="3"/>
  <c r="CM89" i="3"/>
  <c r="CM90" i="3"/>
  <c r="CM110" i="3"/>
  <c r="CM111" i="3"/>
  <c r="CM112" i="3"/>
  <c r="CM116" i="3"/>
  <c r="CM117" i="3"/>
  <c r="CM118" i="3"/>
  <c r="CM121" i="3"/>
  <c r="CM122" i="3"/>
  <c r="CM123" i="3"/>
  <c r="CM124" i="3"/>
  <c r="CM125" i="3"/>
  <c r="CM126" i="3"/>
  <c r="CM127" i="3"/>
  <c r="CM128" i="3"/>
  <c r="CM129" i="3"/>
  <c r="CM130" i="3"/>
  <c r="CM140" i="3"/>
  <c r="CM152" i="3"/>
  <c r="CM154" i="3"/>
  <c r="CM155" i="3"/>
  <c r="CM161" i="3"/>
  <c r="CK170" i="3"/>
  <c r="AF190" i="33" s="1"/>
  <c r="CI170" i="3"/>
  <c r="Y190" i="33" s="1"/>
  <c r="CG170" i="3"/>
  <c r="R190" i="33" s="1"/>
  <c r="S190" i="33" s="1"/>
  <c r="CE170" i="3"/>
  <c r="CK162" i="3"/>
  <c r="AF191" i="33" s="1"/>
  <c r="CI162" i="3"/>
  <c r="Y191" i="33" s="1"/>
  <c r="CG162" i="3"/>
  <c r="R191" i="33" s="1"/>
  <c r="CE162" i="3"/>
  <c r="K191" i="33" s="1"/>
  <c r="L191" i="33" s="1"/>
  <c r="CI138" i="3"/>
  <c r="Y277" i="33" s="1"/>
  <c r="Z277" i="33" s="1"/>
  <c r="CG138" i="3"/>
  <c r="R277" i="33" s="1"/>
  <c r="CK172" i="3"/>
  <c r="AF287" i="33" s="1"/>
  <c r="AG287" i="33" s="1"/>
  <c r="CI172" i="3"/>
  <c r="Y287" i="33" s="1"/>
  <c r="Z287" i="33" s="1"/>
  <c r="CG172" i="3"/>
  <c r="R287" i="33" s="1"/>
  <c r="S287" i="33" s="1"/>
  <c r="CE172" i="3"/>
  <c r="K287" i="33" s="1"/>
  <c r="CB172" i="3"/>
  <c r="AH287" i="33" s="1"/>
  <c r="AI287" i="33" s="1"/>
  <c r="BZ172" i="3"/>
  <c r="BR172" i="3"/>
  <c r="AA287" i="33" s="1"/>
  <c r="AB287" i="33" s="1"/>
  <c r="AC287" i="33" s="1"/>
  <c r="BP172" i="3"/>
  <c r="BH172" i="3"/>
  <c r="T287" i="33" s="1"/>
  <c r="U287" i="33" s="1"/>
  <c r="V287" i="33" s="1"/>
  <c r="BF172" i="3"/>
  <c r="AX172" i="3"/>
  <c r="M287" i="33" s="1"/>
  <c r="N287" i="33" s="1"/>
  <c r="AV172" i="3"/>
  <c r="AO172" i="3"/>
  <c r="CC172" i="3" s="1"/>
  <c r="AN172" i="3"/>
  <c r="BB172" i="3" s="1"/>
  <c r="CK171" i="3"/>
  <c r="AF286" i="33" s="1"/>
  <c r="AG286" i="33" s="1"/>
  <c r="CI171" i="3"/>
  <c r="Y286" i="33" s="1"/>
  <c r="Z286" i="33" s="1"/>
  <c r="CG171" i="3"/>
  <c r="R286" i="33" s="1"/>
  <c r="S286" i="33" s="1"/>
  <c r="CE171" i="3"/>
  <c r="K286" i="33" s="1"/>
  <c r="CB171" i="3"/>
  <c r="AH286" i="33" s="1"/>
  <c r="AI286" i="33" s="1"/>
  <c r="BZ171" i="3"/>
  <c r="BR171" i="3"/>
  <c r="AA286" i="33" s="1"/>
  <c r="AB286" i="33" s="1"/>
  <c r="AC286" i="33" s="1"/>
  <c r="BP171" i="3"/>
  <c r="BH171" i="3"/>
  <c r="T286" i="33" s="1"/>
  <c r="U286" i="33" s="1"/>
  <c r="V286" i="33" s="1"/>
  <c r="BF171" i="3"/>
  <c r="AX171" i="3"/>
  <c r="M286" i="33" s="1"/>
  <c r="N286" i="33" s="1"/>
  <c r="AV171" i="3"/>
  <c r="AO171" i="3"/>
  <c r="BM171" i="3" s="1"/>
  <c r="AN171" i="3"/>
  <c r="BB171" i="3" s="1"/>
  <c r="BZ11" i="29"/>
  <c r="BZ12" i="29"/>
  <c r="BZ15" i="29"/>
  <c r="BZ10" i="27"/>
  <c r="BZ15" i="27"/>
  <c r="BZ20" i="27"/>
  <c r="BZ21" i="27"/>
  <c r="BZ22" i="27"/>
  <c r="BZ29" i="27"/>
  <c r="BM22" i="27"/>
  <c r="BM20" i="27"/>
  <c r="BC22" i="27"/>
  <c r="BC20" i="27"/>
  <c r="AS22" i="27"/>
  <c r="AS20" i="27"/>
  <c r="BX22" i="27"/>
  <c r="BV22" i="27"/>
  <c r="BT22" i="27"/>
  <c r="BR22" i="27"/>
  <c r="BX20" i="27"/>
  <c r="BV20" i="27"/>
  <c r="BT20" i="27"/>
  <c r="BR20" i="27"/>
  <c r="AO173" i="3"/>
  <c r="BW173" i="3" s="1"/>
  <c r="AN173" i="3"/>
  <c r="BV173" i="3" s="1"/>
  <c r="CK173" i="3"/>
  <c r="AF285" i="33" s="1"/>
  <c r="AG285" i="33" s="1"/>
  <c r="CI173" i="3"/>
  <c r="Y285" i="33" s="1"/>
  <c r="Z285" i="33" s="1"/>
  <c r="CG173" i="3"/>
  <c r="R285" i="33" s="1"/>
  <c r="S285" i="33" s="1"/>
  <c r="CE173" i="3"/>
  <c r="K285" i="33" s="1"/>
  <c r="L285" i="33" s="1"/>
  <c r="CB173" i="3"/>
  <c r="AH285" i="33" s="1"/>
  <c r="AI285" i="33" s="1"/>
  <c r="BZ173" i="3"/>
  <c r="BR173" i="3"/>
  <c r="AA285" i="33" s="1"/>
  <c r="AB285" i="33" s="1"/>
  <c r="AC285" i="33" s="1"/>
  <c r="BP173" i="3"/>
  <c r="BH173" i="3"/>
  <c r="T285" i="33" s="1"/>
  <c r="U285" i="33" s="1"/>
  <c r="V285" i="33" s="1"/>
  <c r="BF173" i="3"/>
  <c r="AX173" i="3"/>
  <c r="M285" i="33" s="1"/>
  <c r="N285" i="33" s="1"/>
  <c r="O285" i="33" s="1"/>
  <c r="AV173" i="3"/>
  <c r="AS19" i="27"/>
  <c r="AU19" i="27"/>
  <c r="BX19" i="27"/>
  <c r="BV19" i="27"/>
  <c r="BT19" i="27"/>
  <c r="BR19" i="27"/>
  <c r="BO19" i="27"/>
  <c r="BM19" i="27"/>
  <c r="BE19" i="27"/>
  <c r="BC19" i="27"/>
  <c r="AI19" i="27"/>
  <c r="AB19" i="27"/>
  <c r="BJ19" i="27" s="1"/>
  <c r="BN19" i="27" s="1"/>
  <c r="AA19" i="27"/>
  <c r="AY19" i="27" s="1"/>
  <c r="BX9" i="27"/>
  <c r="BV9" i="27"/>
  <c r="BT9" i="27"/>
  <c r="BR9" i="27"/>
  <c r="BO9" i="27"/>
  <c r="BM9" i="27"/>
  <c r="BE9" i="27"/>
  <c r="BC9" i="27"/>
  <c r="AU9" i="27"/>
  <c r="AS9" i="27"/>
  <c r="AK9" i="27"/>
  <c r="AI9" i="27"/>
  <c r="K128" i="33" s="1"/>
  <c r="BX10" i="27"/>
  <c r="BV10" i="27"/>
  <c r="BR10" i="27"/>
  <c r="BO10" i="27"/>
  <c r="AF129" i="33"/>
  <c r="AG129" i="33" s="1"/>
  <c r="BE10" i="27"/>
  <c r="Y129" i="33"/>
  <c r="Z129" i="33" s="1"/>
  <c r="AU10" i="27"/>
  <c r="S129" i="33"/>
  <c r="AK10" i="27"/>
  <c r="AB9" i="27"/>
  <c r="BP9" i="27" s="1"/>
  <c r="AA9" i="27"/>
  <c r="BI9" i="27" s="1"/>
  <c r="K190" i="33" l="1"/>
  <c r="K129" i="33"/>
  <c r="L129" i="33" s="1"/>
  <c r="AF139" i="33"/>
  <c r="AG139" i="33" s="1"/>
  <c r="AF128" i="33"/>
  <c r="AG128" i="33" s="1"/>
  <c r="K136" i="33"/>
  <c r="L136" i="33" s="1"/>
  <c r="M129" i="33"/>
  <c r="N129" i="33" s="1"/>
  <c r="O129" i="33" s="1"/>
  <c r="AH128" i="33"/>
  <c r="AI128" i="33" s="1"/>
  <c r="M136" i="33"/>
  <c r="N136" i="33" s="1"/>
  <c r="O136" i="33" s="1"/>
  <c r="T128" i="33"/>
  <c r="Y128" i="33"/>
  <c r="Z128" i="33" s="1"/>
  <c r="T129" i="33"/>
  <c r="U129" i="33" s="1"/>
  <c r="V129" i="33" s="1"/>
  <c r="Y136" i="33"/>
  <c r="Z136" i="33" s="1"/>
  <c r="T136" i="33"/>
  <c r="U136" i="33" s="1"/>
  <c r="V136" i="33" s="1"/>
  <c r="R137" i="33"/>
  <c r="S137" i="33" s="1"/>
  <c r="AH129" i="33"/>
  <c r="AI129" i="33" s="1"/>
  <c r="AF137" i="33"/>
  <c r="AG137" i="33" s="1"/>
  <c r="AA128" i="33"/>
  <c r="AB128" i="33" s="1"/>
  <c r="M128" i="33"/>
  <c r="N128" i="33" s="1"/>
  <c r="AA136" i="33"/>
  <c r="AB136" i="33" s="1"/>
  <c r="AC136" i="33" s="1"/>
  <c r="AH15" i="33"/>
  <c r="AI15" i="33" s="1"/>
  <c r="R136" i="33"/>
  <c r="S136" i="33" s="1"/>
  <c r="R139" i="33"/>
  <c r="S139" i="33" s="1"/>
  <c r="AA129" i="33"/>
  <c r="AB129" i="33" s="1"/>
  <c r="AC129" i="33" s="1"/>
  <c r="R128" i="33"/>
  <c r="R345" i="33" s="1"/>
  <c r="AF136" i="33"/>
  <c r="AG136" i="33" s="1"/>
  <c r="Y137" i="33"/>
  <c r="Z137" i="33" s="1"/>
  <c r="AH136" i="33"/>
  <c r="AI136" i="33" s="1"/>
  <c r="Y139" i="33"/>
  <c r="Z139" i="33" s="1"/>
  <c r="CF162" i="3"/>
  <c r="CH162" i="3"/>
  <c r="CJ162" i="3"/>
  <c r="CL162" i="3"/>
  <c r="CM162" i="3"/>
  <c r="AV19" i="27"/>
  <c r="AO9" i="27"/>
  <c r="AF19" i="27"/>
  <c r="AJ19" i="27" s="1"/>
  <c r="AZ9" i="27"/>
  <c r="AF9" i="27"/>
  <c r="AV9" i="27"/>
  <c r="BJ9" i="27"/>
  <c r="AP9" i="27"/>
  <c r="BU9" i="27" s="1"/>
  <c r="AY9" i="27"/>
  <c r="AL19" i="27"/>
  <c r="BI19" i="27"/>
  <c r="BF19" i="27"/>
  <c r="AO19" i="27"/>
  <c r="AP19" i="27"/>
  <c r="BU19" i="27" s="1"/>
  <c r="AZ19" i="27"/>
  <c r="BW19" i="27" s="1"/>
  <c r="BF9" i="27"/>
  <c r="AE9" i="27"/>
  <c r="AL9" i="27"/>
  <c r="AR172" i="3"/>
  <c r="CC171" i="3"/>
  <c r="BS172" i="3"/>
  <c r="BW172" i="3"/>
  <c r="CL172" i="3" s="1"/>
  <c r="AS172" i="3"/>
  <c r="BI172" i="3"/>
  <c r="BV172" i="3"/>
  <c r="BL172" i="3"/>
  <c r="AY172" i="3"/>
  <c r="BM172" i="3"/>
  <c r="BC172" i="3"/>
  <c r="CJ171" i="3"/>
  <c r="BQ171" i="3"/>
  <c r="BC171" i="3"/>
  <c r="AR171" i="3"/>
  <c r="AS171" i="3"/>
  <c r="BS171" i="3"/>
  <c r="BV171" i="3"/>
  <c r="BI171" i="3"/>
  <c r="BW171" i="3"/>
  <c r="BL171" i="3"/>
  <c r="AY171" i="3"/>
  <c r="AY173" i="3"/>
  <c r="BC173" i="3"/>
  <c r="CH173" i="3" s="1"/>
  <c r="BM173" i="3"/>
  <c r="CJ173" i="3" s="1"/>
  <c r="CC173" i="3"/>
  <c r="BY19" i="27"/>
  <c r="CA173" i="3"/>
  <c r="CL173" i="3"/>
  <c r="BB173" i="3"/>
  <c r="BL173" i="3"/>
  <c r="AR173" i="3"/>
  <c r="BS173" i="3"/>
  <c r="AS173" i="3"/>
  <c r="BI173" i="3"/>
  <c r="BP19" i="27"/>
  <c r="AE19" i="27"/>
  <c r="AC132" i="3"/>
  <c r="AS132" i="3" s="1"/>
  <c r="AT19" i="27" l="1"/>
  <c r="Q18" i="33" s="1"/>
  <c r="L128" i="33"/>
  <c r="T345" i="33"/>
  <c r="AF192" i="33"/>
  <c r="AG192" i="33" s="1"/>
  <c r="Y192" i="33"/>
  <c r="Z192" i="33" s="1"/>
  <c r="AE7" i="34" s="1"/>
  <c r="AJ7" i="34" s="1"/>
  <c r="AF345" i="33"/>
  <c r="Y345" i="33"/>
  <c r="BS19" i="27"/>
  <c r="K18" i="33" s="1"/>
  <c r="L18" i="33" s="1"/>
  <c r="R192" i="33"/>
  <c r="S192" i="33" s="1"/>
  <c r="Q7" i="34" s="1"/>
  <c r="U7" i="34" s="1"/>
  <c r="U128" i="33"/>
  <c r="U345" i="33" s="1"/>
  <c r="J18" i="33"/>
  <c r="T192" i="33"/>
  <c r="U192" i="33" s="1"/>
  <c r="T18" i="33"/>
  <c r="U18" i="33" s="1"/>
  <c r="V18" i="33" s="1"/>
  <c r="AA192" i="33"/>
  <c r="AB192" i="33" s="1"/>
  <c r="S128" i="33"/>
  <c r="AF18" i="33"/>
  <c r="AG18" i="33" s="1"/>
  <c r="AH18" i="33"/>
  <c r="AI18" i="33" s="1"/>
  <c r="Y18" i="33"/>
  <c r="Z18" i="33" s="1"/>
  <c r="R15" i="33"/>
  <c r="S15" i="33" s="1"/>
  <c r="AA345" i="33"/>
  <c r="AH345" i="33"/>
  <c r="T15" i="33"/>
  <c r="U15" i="33" s="1"/>
  <c r="V15" i="33" s="1"/>
  <c r="R18" i="33"/>
  <c r="S18" i="33" s="1"/>
  <c r="AH192" i="33"/>
  <c r="AP6" i="38"/>
  <c r="AP9" i="36"/>
  <c r="AC6" i="38"/>
  <c r="AC9" i="36"/>
  <c r="AV6" i="35"/>
  <c r="AW6" i="35" s="1"/>
  <c r="AV9" i="36"/>
  <c r="AV6" i="38"/>
  <c r="Z345" i="33"/>
  <c r="AE13" i="34" s="1"/>
  <c r="AC6" i="35"/>
  <c r="AG345" i="33"/>
  <c r="AS13" i="34" s="1"/>
  <c r="AP6" i="35"/>
  <c r="AE18" i="33"/>
  <c r="AB345" i="33"/>
  <c r="AC128" i="33"/>
  <c r="AI345" i="33"/>
  <c r="AY13" i="34" s="1"/>
  <c r="AI192" i="33"/>
  <c r="AY7" i="34" s="1"/>
  <c r="O128" i="33"/>
  <c r="M18" i="33"/>
  <c r="N18" i="33" s="1"/>
  <c r="O18" i="33" s="1"/>
  <c r="AA18" i="33"/>
  <c r="AB18" i="33" s="1"/>
  <c r="AC18" i="33" s="1"/>
  <c r="AA15" i="33"/>
  <c r="AB15" i="33" s="1"/>
  <c r="AC15" i="33" s="1"/>
  <c r="M15" i="33"/>
  <c r="N15" i="33" s="1"/>
  <c r="O15" i="33" s="1"/>
  <c r="BD19" i="27"/>
  <c r="AT9" i="27"/>
  <c r="BZ19" i="27"/>
  <c r="AJ9" i="27"/>
  <c r="BS9" i="27"/>
  <c r="K15" i="33" s="1"/>
  <c r="BN9" i="27"/>
  <c r="BY9" i="27"/>
  <c r="BZ9" i="27"/>
  <c r="BW9" i="27"/>
  <c r="BD9" i="27"/>
  <c r="CM171" i="3"/>
  <c r="CM173" i="3"/>
  <c r="CF172" i="3"/>
  <c r="CM172" i="3"/>
  <c r="CA172" i="3"/>
  <c r="AW172" i="3"/>
  <c r="BQ173" i="3"/>
  <c r="BG172" i="3"/>
  <c r="CH172" i="3"/>
  <c r="BQ172" i="3"/>
  <c r="CJ172" i="3"/>
  <c r="CH171" i="3"/>
  <c r="BG171" i="3"/>
  <c r="AW171" i="3"/>
  <c r="CF171" i="3"/>
  <c r="CA171" i="3"/>
  <c r="CL171" i="3"/>
  <c r="BG173" i="3"/>
  <c r="CF173" i="3"/>
  <c r="AW173" i="3"/>
  <c r="P23" i="27"/>
  <c r="P6" i="38" l="1"/>
  <c r="S6" i="38" s="1"/>
  <c r="P9" i="36"/>
  <c r="R9" i="36" s="1"/>
  <c r="AG7" i="34"/>
  <c r="AI7" i="34"/>
  <c r="AH7" i="34"/>
  <c r="AF7" i="34"/>
  <c r="P6" i="35"/>
  <c r="R6" i="35" s="1"/>
  <c r="S345" i="33"/>
  <c r="Q13" i="34" s="1"/>
  <c r="V128" i="33"/>
  <c r="V6" i="38" s="1"/>
  <c r="R7" i="34"/>
  <c r="T7" i="34"/>
  <c r="V7" i="34"/>
  <c r="S7" i="34"/>
  <c r="AS7" i="34"/>
  <c r="AU7" i="34" s="1"/>
  <c r="L15" i="33"/>
  <c r="J15" i="33"/>
  <c r="X15" i="33"/>
  <c r="Y15" i="33"/>
  <c r="Z15" i="33" s="1"/>
  <c r="X18" i="33"/>
  <c r="AF15" i="33"/>
  <c r="AG15" i="33" s="1"/>
  <c r="AZ6" i="35"/>
  <c r="AY6" i="35"/>
  <c r="BA6" i="38"/>
  <c r="AX6" i="38"/>
  <c r="AY6" i="38"/>
  <c r="AZ6" i="38"/>
  <c r="AW6" i="38"/>
  <c r="BA6" i="35"/>
  <c r="AZ9" i="36"/>
  <c r="AY9" i="36"/>
  <c r="AW9" i="36"/>
  <c r="BA9" i="36"/>
  <c r="AX9" i="36"/>
  <c r="AX6" i="35"/>
  <c r="AG9" i="36"/>
  <c r="AF9" i="36"/>
  <c r="AH9" i="36"/>
  <c r="AE9" i="36"/>
  <c r="AD9" i="36"/>
  <c r="AI6" i="35"/>
  <c r="AN6" i="35" s="1"/>
  <c r="AI9" i="36"/>
  <c r="AI6" i="38"/>
  <c r="AH6" i="38"/>
  <c r="AD6" i="38"/>
  <c r="AF6" i="38"/>
  <c r="AG6" i="38"/>
  <c r="AE6" i="38"/>
  <c r="AR9" i="36"/>
  <c r="AT9" i="36"/>
  <c r="AS9" i="36"/>
  <c r="AU9" i="36"/>
  <c r="AQ9" i="36"/>
  <c r="AS6" i="38"/>
  <c r="AT6" i="38"/>
  <c r="AU6" i="38"/>
  <c r="AQ6" i="38"/>
  <c r="AR6" i="38"/>
  <c r="AU6" i="35"/>
  <c r="AS6" i="35"/>
  <c r="AR6" i="35"/>
  <c r="AQ6" i="35"/>
  <c r="AT6" i="35"/>
  <c r="AE6" i="35"/>
  <c r="AD6" i="35"/>
  <c r="AH6" i="35"/>
  <c r="AF6" i="35"/>
  <c r="AG6" i="35"/>
  <c r="BD7" i="34"/>
  <c r="BC7" i="34"/>
  <c r="BA7" i="34"/>
  <c r="BB7" i="34"/>
  <c r="AZ7" i="34"/>
  <c r="AE15" i="33"/>
  <c r="Q15" i="33"/>
  <c r="AC345" i="33"/>
  <c r="AK13" i="34" s="1"/>
  <c r="AC192" i="33"/>
  <c r="AK7" i="34" s="1"/>
  <c r="AO170" i="3"/>
  <c r="AN170" i="3"/>
  <c r="R6" i="38" l="1"/>
  <c r="T6" i="38"/>
  <c r="Q6" i="38"/>
  <c r="U6" i="38"/>
  <c r="V192" i="33"/>
  <c r="W7" i="34" s="1"/>
  <c r="Y7" i="34" s="1"/>
  <c r="V345" i="33"/>
  <c r="W13" i="34" s="1"/>
  <c r="V6" i="35"/>
  <c r="AA6" i="35" s="1"/>
  <c r="V9" i="36"/>
  <c r="X9" i="36" s="1"/>
  <c r="Q9" i="36"/>
  <c r="U6" i="35"/>
  <c r="Q6" i="35"/>
  <c r="T9" i="36"/>
  <c r="S9" i="36"/>
  <c r="U9" i="36"/>
  <c r="S6" i="35"/>
  <c r="T6" i="35"/>
  <c r="AV7" i="34"/>
  <c r="AW7" i="34"/>
  <c r="AT7" i="34"/>
  <c r="AX7" i="34"/>
  <c r="AL6" i="35"/>
  <c r="AA6" i="38"/>
  <c r="W6" i="38"/>
  <c r="X6" i="38"/>
  <c r="Z6" i="38"/>
  <c r="Y6" i="38"/>
  <c r="AK9" i="36"/>
  <c r="AN9" i="36"/>
  <c r="AM9" i="36"/>
  <c r="AL9" i="36"/>
  <c r="AJ9" i="36"/>
  <c r="AK6" i="35"/>
  <c r="AM6" i="35"/>
  <c r="AJ6" i="35"/>
  <c r="AJ6" i="38"/>
  <c r="AL6" i="38"/>
  <c r="AK6" i="38"/>
  <c r="AN6" i="38"/>
  <c r="AM6" i="38"/>
  <c r="AP7" i="34"/>
  <c r="AM7" i="34"/>
  <c r="AL7" i="34"/>
  <c r="AO7" i="34"/>
  <c r="AN7" i="34"/>
  <c r="BW170" i="3"/>
  <c r="BI170" i="3"/>
  <c r="BM170" i="3"/>
  <c r="BC170" i="3"/>
  <c r="AY170" i="3"/>
  <c r="CC170" i="3"/>
  <c r="AS170" i="3"/>
  <c r="BS170" i="3"/>
  <c r="BV170" i="3"/>
  <c r="AR170" i="3"/>
  <c r="BL170" i="3"/>
  <c r="BB170" i="3"/>
  <c r="CK169" i="3"/>
  <c r="AF267" i="33" s="1"/>
  <c r="AG267" i="33" s="1"/>
  <c r="AP18" i="38" s="1"/>
  <c r="CI169" i="3"/>
  <c r="Y267" i="33" s="1"/>
  <c r="Z267" i="33" s="1"/>
  <c r="AC18" i="38" s="1"/>
  <c r="CG169" i="3"/>
  <c r="R267" i="33" s="1"/>
  <c r="S267" i="33" s="1"/>
  <c r="P18" i="38" s="1"/>
  <c r="CE169" i="3"/>
  <c r="K267" i="33" s="1"/>
  <c r="L267" i="33" s="1"/>
  <c r="C18" i="38" s="1"/>
  <c r="CB169" i="3"/>
  <c r="AH267" i="33" s="1"/>
  <c r="AI267" i="33" s="1"/>
  <c r="AV18" i="38" s="1"/>
  <c r="BZ169" i="3"/>
  <c r="BR169" i="3"/>
  <c r="AA267" i="33" s="1"/>
  <c r="AB267" i="33" s="1"/>
  <c r="AC267" i="33" s="1"/>
  <c r="AI18" i="38" s="1"/>
  <c r="BP169" i="3"/>
  <c r="BH169" i="3"/>
  <c r="T267" i="33" s="1"/>
  <c r="U267" i="33" s="1"/>
  <c r="V267" i="33" s="1"/>
  <c r="V18" i="38" s="1"/>
  <c r="BF169" i="3"/>
  <c r="AX169" i="3"/>
  <c r="M267" i="33" s="1"/>
  <c r="AV169" i="3"/>
  <c r="CK168" i="3"/>
  <c r="AF265" i="33" s="1"/>
  <c r="AG265" i="33" s="1"/>
  <c r="CI168" i="3"/>
  <c r="Y265" i="33" s="1"/>
  <c r="Z265" i="33" s="1"/>
  <c r="CG168" i="3"/>
  <c r="R265" i="33" s="1"/>
  <c r="S265" i="33" s="1"/>
  <c r="CE168" i="3"/>
  <c r="K265" i="33" s="1"/>
  <c r="L265" i="33" s="1"/>
  <c r="CB168" i="3"/>
  <c r="AH265" i="33" s="1"/>
  <c r="AI265" i="33" s="1"/>
  <c r="BZ168" i="3"/>
  <c r="BR168" i="3"/>
  <c r="AA265" i="33" s="1"/>
  <c r="AB265" i="33" s="1"/>
  <c r="AC265" i="33" s="1"/>
  <c r="BP168" i="3"/>
  <c r="BH168" i="3"/>
  <c r="T265" i="33" s="1"/>
  <c r="U265" i="33" s="1"/>
  <c r="V265" i="33" s="1"/>
  <c r="BF168" i="3"/>
  <c r="AX168" i="3"/>
  <c r="M265" i="33" s="1"/>
  <c r="AV168" i="3"/>
  <c r="CK167" i="3"/>
  <c r="AF264" i="33" s="1"/>
  <c r="AG264" i="33" s="1"/>
  <c r="CI167" i="3"/>
  <c r="Y264" i="33" s="1"/>
  <c r="Z264" i="33" s="1"/>
  <c r="CG167" i="3"/>
  <c r="R264" i="33" s="1"/>
  <c r="S264" i="33" s="1"/>
  <c r="CE167" i="3"/>
  <c r="K264" i="33" s="1"/>
  <c r="L264" i="33" s="1"/>
  <c r="CB167" i="3"/>
  <c r="AH264" i="33" s="1"/>
  <c r="AI264" i="33" s="1"/>
  <c r="BZ167" i="3"/>
  <c r="BR167" i="3"/>
  <c r="AA264" i="33" s="1"/>
  <c r="AB264" i="33" s="1"/>
  <c r="AC264" i="33" s="1"/>
  <c r="BP167" i="3"/>
  <c r="BH167" i="3"/>
  <c r="T264" i="33" s="1"/>
  <c r="U264" i="33" s="1"/>
  <c r="V264" i="33" s="1"/>
  <c r="BF167" i="3"/>
  <c r="AX167" i="3"/>
  <c r="M264" i="33" s="1"/>
  <c r="AV167" i="3"/>
  <c r="AO169" i="3"/>
  <c r="BS169" i="3" s="1"/>
  <c r="AA120" i="33" s="1"/>
  <c r="AB120" i="33" s="1"/>
  <c r="AC120" i="33" s="1"/>
  <c r="AN169" i="3"/>
  <c r="AR169" i="3" s="1"/>
  <c r="AO168" i="3"/>
  <c r="BW168" i="3" s="1"/>
  <c r="CL168" i="3" s="1"/>
  <c r="AN168" i="3"/>
  <c r="AR168" i="3" s="1"/>
  <c r="AO167" i="3"/>
  <c r="BW167" i="3" s="1"/>
  <c r="CL167" i="3" s="1"/>
  <c r="AN167" i="3"/>
  <c r="BB167" i="3" s="1"/>
  <c r="AO166" i="3"/>
  <c r="CC166" i="3" s="1"/>
  <c r="AN166" i="3"/>
  <c r="BL166" i="3" s="1"/>
  <c r="CK166" i="3"/>
  <c r="AF263" i="33" s="1"/>
  <c r="AG263" i="33" s="1"/>
  <c r="CI166" i="3"/>
  <c r="Y263" i="33" s="1"/>
  <c r="Z263" i="33" s="1"/>
  <c r="CG166" i="3"/>
  <c r="R263" i="33" s="1"/>
  <c r="S263" i="33" s="1"/>
  <c r="CE166" i="3"/>
  <c r="K263" i="33" s="1"/>
  <c r="L263" i="33" s="1"/>
  <c r="CB166" i="3"/>
  <c r="AH263" i="33" s="1"/>
  <c r="AI263" i="33" s="1"/>
  <c r="BZ166" i="3"/>
  <c r="BR166" i="3"/>
  <c r="AA263" i="33" s="1"/>
  <c r="AB263" i="33" s="1"/>
  <c r="AC263" i="33" s="1"/>
  <c r="BP166" i="3"/>
  <c r="BH166" i="3"/>
  <c r="T263" i="33" s="1"/>
  <c r="U263" i="33" s="1"/>
  <c r="V263" i="33" s="1"/>
  <c r="BF166" i="3"/>
  <c r="AX166" i="3"/>
  <c r="M263" i="33" s="1"/>
  <c r="AV166" i="3"/>
  <c r="CK139" i="3"/>
  <c r="AF279" i="33" s="1"/>
  <c r="AG279" i="33" s="1"/>
  <c r="CI139" i="3"/>
  <c r="Y279" i="33" s="1"/>
  <c r="Z279" i="33" s="1"/>
  <c r="CG139" i="3"/>
  <c r="R279" i="33" s="1"/>
  <c r="S279" i="33" s="1"/>
  <c r="CE139" i="3"/>
  <c r="K279" i="33" s="1"/>
  <c r="CB139" i="3"/>
  <c r="AH279" i="33" s="1"/>
  <c r="AI279" i="33" s="1"/>
  <c r="BZ139" i="3"/>
  <c r="BR139" i="3"/>
  <c r="AA279" i="33" s="1"/>
  <c r="AB279" i="33" s="1"/>
  <c r="AC279" i="33" s="1"/>
  <c r="BP139" i="3"/>
  <c r="BH139" i="3"/>
  <c r="T279" i="33" s="1"/>
  <c r="U279" i="33" s="1"/>
  <c r="V279" i="33" s="1"/>
  <c r="BF139" i="3"/>
  <c r="AX139" i="3"/>
  <c r="M279" i="33" s="1"/>
  <c r="N279" i="33" s="1"/>
  <c r="AV139" i="3"/>
  <c r="AO139" i="3"/>
  <c r="CC139" i="3" s="1"/>
  <c r="AN139" i="3"/>
  <c r="BB139" i="3" s="1"/>
  <c r="CK131" i="3"/>
  <c r="AF262" i="33" s="1"/>
  <c r="AG262" i="33" s="1"/>
  <c r="CI131" i="3"/>
  <c r="Y262" i="33" s="1"/>
  <c r="Z262" i="33" s="1"/>
  <c r="CG131" i="3"/>
  <c r="R262" i="33" s="1"/>
  <c r="S262" i="33" s="1"/>
  <c r="CE131" i="3"/>
  <c r="K262" i="33" s="1"/>
  <c r="CB131" i="3"/>
  <c r="AH262" i="33" s="1"/>
  <c r="AI262" i="33" s="1"/>
  <c r="BZ131" i="3"/>
  <c r="BR131" i="3"/>
  <c r="AA262" i="33" s="1"/>
  <c r="AB262" i="33" s="1"/>
  <c r="AC262" i="33" s="1"/>
  <c r="BP131" i="3"/>
  <c r="BH131" i="3"/>
  <c r="T262" i="33" s="1"/>
  <c r="U262" i="33" s="1"/>
  <c r="V262" i="33" s="1"/>
  <c r="BF131" i="3"/>
  <c r="AX131" i="3"/>
  <c r="M262" i="33" s="1"/>
  <c r="N262" i="33" s="1"/>
  <c r="AV131" i="3"/>
  <c r="AO131" i="3"/>
  <c r="CC131" i="3" s="1"/>
  <c r="AN131" i="3"/>
  <c r="BB131" i="3" s="1"/>
  <c r="CK48" i="3"/>
  <c r="AF235" i="33" s="1"/>
  <c r="AG235" i="33" s="1"/>
  <c r="CI48" i="3"/>
  <c r="Y235" i="33" s="1"/>
  <c r="Z235" i="33" s="1"/>
  <c r="CG48" i="3"/>
  <c r="R235" i="33" s="1"/>
  <c r="S235" i="33" s="1"/>
  <c r="CE48" i="3"/>
  <c r="K235" i="33" s="1"/>
  <c r="CB48" i="3"/>
  <c r="AH235" i="33" s="1"/>
  <c r="AI235" i="33" s="1"/>
  <c r="BZ48" i="3"/>
  <c r="BR48" i="3"/>
  <c r="AA235" i="33" s="1"/>
  <c r="AB235" i="33" s="1"/>
  <c r="AC235" i="33" s="1"/>
  <c r="BP48" i="3"/>
  <c r="BH48" i="3"/>
  <c r="T235" i="33" s="1"/>
  <c r="U235" i="33" s="1"/>
  <c r="V235" i="33" s="1"/>
  <c r="BF48" i="3"/>
  <c r="AX48" i="3"/>
  <c r="M235" i="33" s="1"/>
  <c r="N235" i="33" s="1"/>
  <c r="AV48" i="3"/>
  <c r="AO48" i="3"/>
  <c r="BM48" i="3" s="1"/>
  <c r="AN48" i="3"/>
  <c r="BL48" i="3" s="1"/>
  <c r="F18" i="38" l="1"/>
  <c r="E18" i="38"/>
  <c r="D18" i="38"/>
  <c r="H18" i="38"/>
  <c r="G18" i="38"/>
  <c r="W6" i="35"/>
  <c r="Z6" i="35"/>
  <c r="X6" i="35"/>
  <c r="X7" i="34"/>
  <c r="Z7" i="34"/>
  <c r="AB7" i="34"/>
  <c r="AA7" i="34"/>
  <c r="Y6" i="35"/>
  <c r="Y9" i="36"/>
  <c r="AA9" i="36"/>
  <c r="W9" i="36"/>
  <c r="Z9" i="36"/>
  <c r="AV13" i="38"/>
  <c r="BA13" i="38" s="1"/>
  <c r="C13" i="38"/>
  <c r="P13" i="38"/>
  <c r="U13" i="38" s="1"/>
  <c r="AJ18" i="38"/>
  <c r="AK18" i="38"/>
  <c r="AL18" i="38"/>
  <c r="AN18" i="38"/>
  <c r="AM18" i="38"/>
  <c r="AC13" i="38"/>
  <c r="AS18" i="38"/>
  <c r="AQ18" i="38"/>
  <c r="AT18" i="38"/>
  <c r="AU18" i="38"/>
  <c r="AR18" i="38"/>
  <c r="V13" i="38"/>
  <c r="AP13" i="38"/>
  <c r="AY18" i="38"/>
  <c r="AX18" i="38"/>
  <c r="BA18" i="38"/>
  <c r="AW18" i="38"/>
  <c r="AZ18" i="38"/>
  <c r="AH18" i="38"/>
  <c r="AF18" i="38"/>
  <c r="AE18" i="38"/>
  <c r="AG18" i="38"/>
  <c r="AD18" i="38"/>
  <c r="Y18" i="38"/>
  <c r="W18" i="38"/>
  <c r="AA18" i="38" s="1"/>
  <c r="Z18" i="38"/>
  <c r="X18" i="38"/>
  <c r="AI13" i="38"/>
  <c r="S18" i="38"/>
  <c r="Q18" i="38"/>
  <c r="R18" i="38"/>
  <c r="U18" i="38"/>
  <c r="T18" i="38"/>
  <c r="N263" i="33"/>
  <c r="O263" i="33" s="1"/>
  <c r="N265" i="33"/>
  <c r="O265" i="33" s="1"/>
  <c r="N267" i="33"/>
  <c r="O267" i="33" s="1"/>
  <c r="I18" i="38" s="1"/>
  <c r="N264" i="33"/>
  <c r="O264" i="33" s="1"/>
  <c r="AW170" i="3"/>
  <c r="CF170" i="3"/>
  <c r="CM170" i="3"/>
  <c r="BG170" i="3"/>
  <c r="CH170" i="3"/>
  <c r="BQ170" i="3"/>
  <c r="CJ170" i="3"/>
  <c r="CA170" i="3"/>
  <c r="CL170" i="3"/>
  <c r="AS166" i="3"/>
  <c r="BM166" i="3"/>
  <c r="CJ166" i="3" s="1"/>
  <c r="AY166" i="3"/>
  <c r="BS166" i="3"/>
  <c r="BC166" i="3"/>
  <c r="CH166" i="3" s="1"/>
  <c r="BW166" i="3"/>
  <c r="CL166" i="3" s="1"/>
  <c r="AR167" i="3"/>
  <c r="BI166" i="3"/>
  <c r="BC167" i="3"/>
  <c r="CH167" i="3" s="1"/>
  <c r="CC167" i="3"/>
  <c r="AY167" i="3"/>
  <c r="BL168" i="3"/>
  <c r="BV169" i="3"/>
  <c r="BM167" i="3"/>
  <c r="BV168" i="3"/>
  <c r="BM168" i="3"/>
  <c r="AS167" i="3"/>
  <c r="BS167" i="3"/>
  <c r="AY168" i="3"/>
  <c r="CC168" i="3"/>
  <c r="BL169" i="3"/>
  <c r="BI169" i="3"/>
  <c r="T120" i="33" s="1"/>
  <c r="U120" i="33" s="1"/>
  <c r="V120" i="33" s="1"/>
  <c r="BV167" i="3"/>
  <c r="BB168" i="3"/>
  <c r="AY169" i="3"/>
  <c r="M120" i="33" s="1"/>
  <c r="BM169" i="3"/>
  <c r="AS169" i="3"/>
  <c r="BW169" i="3"/>
  <c r="CL169" i="3" s="1"/>
  <c r="AF120" i="33" s="1"/>
  <c r="AG120" i="33" s="1"/>
  <c r="BI167" i="3"/>
  <c r="BC168" i="3"/>
  <c r="CH168" i="3" s="1"/>
  <c r="BB169" i="3"/>
  <c r="CC169" i="3"/>
  <c r="AH120" i="33" s="1"/>
  <c r="AI120" i="33" s="1"/>
  <c r="BL167" i="3"/>
  <c r="BS168" i="3"/>
  <c r="BC169" i="3"/>
  <c r="AS168" i="3"/>
  <c r="BI168" i="3"/>
  <c r="CA168" i="3"/>
  <c r="CA167" i="3"/>
  <c r="BB166" i="3"/>
  <c r="AR166" i="3"/>
  <c r="BV166" i="3"/>
  <c r="BS139" i="3"/>
  <c r="AS139" i="3"/>
  <c r="BW139" i="3"/>
  <c r="CL139" i="3" s="1"/>
  <c r="BI139" i="3"/>
  <c r="AR139" i="3"/>
  <c r="BV139" i="3"/>
  <c r="BL139" i="3"/>
  <c r="AY139" i="3"/>
  <c r="BM139" i="3"/>
  <c r="BC139" i="3"/>
  <c r="AR131" i="3"/>
  <c r="BS131" i="3"/>
  <c r="BV131" i="3"/>
  <c r="BI131" i="3"/>
  <c r="BW131" i="3"/>
  <c r="BL131" i="3"/>
  <c r="AS131" i="3"/>
  <c r="AY131" i="3"/>
  <c r="BM131" i="3"/>
  <c r="BC131" i="3"/>
  <c r="CJ48" i="3"/>
  <c r="BQ48" i="3"/>
  <c r="AS48" i="3"/>
  <c r="BS48" i="3"/>
  <c r="BV48" i="3"/>
  <c r="BB48" i="3"/>
  <c r="BC48" i="3"/>
  <c r="CC48" i="3"/>
  <c r="AR48" i="3"/>
  <c r="BI48" i="3"/>
  <c r="BW48" i="3"/>
  <c r="AY48" i="3"/>
  <c r="N18" i="38" l="1"/>
  <c r="M18" i="38"/>
  <c r="L18" i="38"/>
  <c r="K18" i="38"/>
  <c r="J18" i="38"/>
  <c r="E13" i="38"/>
  <c r="H13" i="38"/>
  <c r="F13" i="38"/>
  <c r="G13" i="38"/>
  <c r="D13" i="38"/>
  <c r="S13" i="38"/>
  <c r="Q13" i="38"/>
  <c r="T13" i="38"/>
  <c r="R13" i="38"/>
  <c r="AY13" i="38"/>
  <c r="AW13" i="38"/>
  <c r="AZ13" i="38"/>
  <c r="AX13" i="38"/>
  <c r="AJ13" i="38"/>
  <c r="AM13" i="38"/>
  <c r="AN13" i="38"/>
  <c r="AL13" i="38"/>
  <c r="AK13" i="38"/>
  <c r="I13" i="38"/>
  <c r="AH13" i="38"/>
  <c r="AD13" i="38"/>
  <c r="AF13" i="38"/>
  <c r="AE13" i="38"/>
  <c r="AG13" i="38"/>
  <c r="AA13" i="38"/>
  <c r="Y13" i="38"/>
  <c r="W13" i="38"/>
  <c r="X13" i="38"/>
  <c r="Z13" i="38"/>
  <c r="AS13" i="38"/>
  <c r="AT13" i="38"/>
  <c r="AQ13" i="38"/>
  <c r="AR13" i="38"/>
  <c r="AU13" i="38"/>
  <c r="N120" i="33"/>
  <c r="O120" i="33" s="1"/>
  <c r="AW139" i="3"/>
  <c r="CM139" i="3"/>
  <c r="CM168" i="3"/>
  <c r="CM131" i="3"/>
  <c r="CM169" i="3"/>
  <c r="CM48" i="3"/>
  <c r="CM167" i="3"/>
  <c r="CF166" i="3"/>
  <c r="CM166" i="3"/>
  <c r="AW166" i="3"/>
  <c r="BG166" i="3"/>
  <c r="CA166" i="3"/>
  <c r="BQ166" i="3"/>
  <c r="BG167" i="3"/>
  <c r="CA139" i="3"/>
  <c r="CF139" i="3"/>
  <c r="CJ167" i="3"/>
  <c r="BQ167" i="3"/>
  <c r="CA169" i="3"/>
  <c r="AE120" i="33" s="1"/>
  <c r="CF168" i="3"/>
  <c r="AW168" i="3"/>
  <c r="CH169" i="3"/>
  <c r="R120" i="33" s="1"/>
  <c r="S120" i="33" s="1"/>
  <c r="BG169" i="3"/>
  <c r="Q120" i="33" s="1"/>
  <c r="AW169" i="3"/>
  <c r="J120" i="33" s="1"/>
  <c r="CF169" i="3"/>
  <c r="K120" i="33" s="1"/>
  <c r="L120" i="33" s="1"/>
  <c r="CJ169" i="3"/>
  <c r="Y120" i="33" s="1"/>
  <c r="Z120" i="33" s="1"/>
  <c r="BQ169" i="3"/>
  <c r="X120" i="33" s="1"/>
  <c r="CF167" i="3"/>
  <c r="AW167" i="3"/>
  <c r="BG168" i="3"/>
  <c r="CJ168" i="3"/>
  <c r="BQ168" i="3"/>
  <c r="CH139" i="3"/>
  <c r="BG139" i="3"/>
  <c r="BQ139" i="3"/>
  <c r="CJ139" i="3"/>
  <c r="CL131" i="3"/>
  <c r="CA131" i="3"/>
  <c r="CH131" i="3"/>
  <c r="BG131" i="3"/>
  <c r="AW131" i="3"/>
  <c r="CF131" i="3"/>
  <c r="BQ131" i="3"/>
  <c r="CJ131" i="3"/>
  <c r="CA48" i="3"/>
  <c r="CL48" i="3"/>
  <c r="AW48" i="3"/>
  <c r="CF48" i="3"/>
  <c r="CH48" i="3"/>
  <c r="BG48" i="3"/>
  <c r="M13" i="38" l="1"/>
  <c r="L13" i="38"/>
  <c r="K13" i="38"/>
  <c r="J13" i="38"/>
  <c r="N13" i="38"/>
  <c r="CK41" i="3"/>
  <c r="AF230" i="33" s="1"/>
  <c r="AG230" i="33" s="1"/>
  <c r="CI41" i="3"/>
  <c r="Y230" i="33" s="1"/>
  <c r="Z230" i="33" s="1"/>
  <c r="CG41" i="3"/>
  <c r="R230" i="33" s="1"/>
  <c r="S230" i="33" s="1"/>
  <c r="CE41" i="3"/>
  <c r="K230" i="33" s="1"/>
  <c r="CB41" i="3"/>
  <c r="AH230" i="33" s="1"/>
  <c r="AI230" i="33" s="1"/>
  <c r="BZ41" i="3"/>
  <c r="BR41" i="3"/>
  <c r="AA230" i="33" s="1"/>
  <c r="AB230" i="33" s="1"/>
  <c r="AC230" i="33" s="1"/>
  <c r="BP41" i="3"/>
  <c r="BH41" i="3"/>
  <c r="T230" i="33" s="1"/>
  <c r="U230" i="33" s="1"/>
  <c r="V230" i="33" s="1"/>
  <c r="BF41" i="3"/>
  <c r="AX41" i="3"/>
  <c r="M230" i="33" s="1"/>
  <c r="N230" i="33" s="1"/>
  <c r="AO41" i="3"/>
  <c r="CC41" i="3" s="1"/>
  <c r="AN41" i="3"/>
  <c r="BB41" i="3" s="1"/>
  <c r="CK18" i="3"/>
  <c r="AF225" i="33" s="1"/>
  <c r="AG225" i="33" s="1"/>
  <c r="CI18" i="3"/>
  <c r="Y225" i="33" s="1"/>
  <c r="Z225" i="33" s="1"/>
  <c r="CG18" i="3"/>
  <c r="R225" i="33" s="1"/>
  <c r="S225" i="33" s="1"/>
  <c r="CE18" i="3"/>
  <c r="K225" i="33" s="1"/>
  <c r="BZ18" i="3"/>
  <c r="BP18" i="3"/>
  <c r="BF18" i="3"/>
  <c r="AV18" i="3"/>
  <c r="AN18" i="3"/>
  <c r="BB18" i="3" s="1"/>
  <c r="AX18" i="3"/>
  <c r="M225" i="33" s="1"/>
  <c r="N225" i="33" s="1"/>
  <c r="BH18" i="3"/>
  <c r="T225" i="33" s="1"/>
  <c r="U225" i="33" s="1"/>
  <c r="V225" i="33" s="1"/>
  <c r="BR18" i="3"/>
  <c r="AA225" i="33" s="1"/>
  <c r="AB225" i="33" s="1"/>
  <c r="AC225" i="33" s="1"/>
  <c r="CB18" i="3"/>
  <c r="AH225" i="33" s="1"/>
  <c r="AI225" i="33" s="1"/>
  <c r="AO18" i="3"/>
  <c r="BS18" i="3" s="1"/>
  <c r="AS18" i="3" l="1"/>
  <c r="BI18" i="3"/>
  <c r="AY18" i="3"/>
  <c r="BW18" i="3"/>
  <c r="CL18" i="3" s="1"/>
  <c r="BM18" i="3"/>
  <c r="BC18" i="3"/>
  <c r="AR41" i="3"/>
  <c r="BV41" i="3"/>
  <c r="AS41" i="3"/>
  <c r="AW41" i="3" s="1"/>
  <c r="BS41" i="3"/>
  <c r="BI41" i="3"/>
  <c r="BW41" i="3"/>
  <c r="BL41" i="3"/>
  <c r="AY41" i="3"/>
  <c r="BM41" i="3"/>
  <c r="BC41" i="3"/>
  <c r="AR18" i="3"/>
  <c r="BV18" i="3"/>
  <c r="BL18" i="3"/>
  <c r="CC18" i="3"/>
  <c r="CM41" i="3" l="1"/>
  <c r="CF18" i="3"/>
  <c r="CM18" i="3"/>
  <c r="CA18" i="3"/>
  <c r="AW18" i="3"/>
  <c r="BG18" i="3"/>
  <c r="CH18" i="3"/>
  <c r="BQ18" i="3"/>
  <c r="CJ18" i="3"/>
  <c r="BQ41" i="3"/>
  <c r="CJ41" i="3"/>
  <c r="CL41" i="3"/>
  <c r="CA41" i="3"/>
  <c r="CF41" i="3"/>
  <c r="CH41" i="3"/>
  <c r="BG41" i="3"/>
  <c r="E18" i="31" l="1"/>
  <c r="D18" i="31"/>
  <c r="C18" i="31"/>
  <c r="F18" i="31"/>
  <c r="C16" i="31"/>
  <c r="D16" i="31"/>
  <c r="E16" i="31"/>
  <c r="H16" i="31"/>
  <c r="I16" i="31"/>
  <c r="J16" i="31"/>
  <c r="F14" i="31"/>
  <c r="K14" i="31" s="1"/>
  <c r="F13" i="31"/>
  <c r="G10" i="31"/>
  <c r="F10" i="31"/>
  <c r="F16" i="31" s="1"/>
  <c r="G9" i="31"/>
  <c r="G7" i="31"/>
  <c r="K3" i="31"/>
  <c r="G16" i="31" l="1"/>
  <c r="K18" i="31" l="1"/>
  <c r="K4" i="31"/>
  <c r="K5" i="31"/>
  <c r="K6" i="31"/>
  <c r="K7" i="31"/>
  <c r="K8" i="31"/>
  <c r="K9" i="31"/>
  <c r="K10" i="31"/>
  <c r="K11" i="31"/>
  <c r="K12" i="31"/>
  <c r="K13" i="31"/>
  <c r="K2" i="31"/>
  <c r="G18" i="31"/>
  <c r="H18" i="31"/>
  <c r="I18" i="31"/>
  <c r="J18" i="31"/>
  <c r="B18" i="31"/>
  <c r="B16" i="31"/>
  <c r="CK17" i="3"/>
  <c r="AF226" i="33" s="1"/>
  <c r="AG226" i="33" s="1"/>
  <c r="CI17" i="3"/>
  <c r="Y226" i="33" s="1"/>
  <c r="Z226" i="33" s="1"/>
  <c r="CG17" i="3"/>
  <c r="R226" i="33" s="1"/>
  <c r="K226" i="33"/>
  <c r="CB17" i="3"/>
  <c r="AH226" i="33" s="1"/>
  <c r="AI226" i="33" s="1"/>
  <c r="BZ17" i="3"/>
  <c r="BR17" i="3"/>
  <c r="AA226" i="33" s="1"/>
  <c r="AB226" i="33" s="1"/>
  <c r="AC226" i="33" s="1"/>
  <c r="BP17" i="3"/>
  <c r="BH17" i="3"/>
  <c r="T226" i="33" s="1"/>
  <c r="U226" i="33" s="1"/>
  <c r="BF17" i="3"/>
  <c r="AX17" i="3"/>
  <c r="M226" i="33" s="1"/>
  <c r="N226" i="33" s="1"/>
  <c r="AV17" i="3"/>
  <c r="AN17" i="3"/>
  <c r="BL17" i="3" s="1"/>
  <c r="AO17" i="3"/>
  <c r="BS17" i="3" s="1"/>
  <c r="K16" i="31" l="1"/>
  <c r="BB17" i="3"/>
  <c r="BI17" i="3"/>
  <c r="BW17" i="3"/>
  <c r="BM17" i="3"/>
  <c r="AR17" i="3"/>
  <c r="BV17" i="3"/>
  <c r="AS17" i="3"/>
  <c r="AY17" i="3"/>
  <c r="CC17" i="3"/>
  <c r="BC17" i="3"/>
  <c r="CH17" i="3" s="1"/>
  <c r="CK165" i="3"/>
  <c r="AF165" i="33" s="1"/>
  <c r="AG165" i="33" s="1"/>
  <c r="CI165" i="3"/>
  <c r="Y165" i="33" s="1"/>
  <c r="Z165" i="33" s="1"/>
  <c r="CG165" i="3"/>
  <c r="R165" i="33" s="1"/>
  <c r="S165" i="33" s="1"/>
  <c r="CE165" i="3"/>
  <c r="K165" i="33" s="1"/>
  <c r="L165" i="33" s="1"/>
  <c r="CB165" i="3"/>
  <c r="AH165" i="33" s="1"/>
  <c r="AI165" i="33" s="1"/>
  <c r="BZ165" i="3"/>
  <c r="BR165" i="3"/>
  <c r="AA165" i="33" s="1"/>
  <c r="AB165" i="33" s="1"/>
  <c r="AC165" i="33" s="1"/>
  <c r="BP165" i="3"/>
  <c r="BH165" i="3"/>
  <c r="T165" i="33" s="1"/>
  <c r="U165" i="33" s="1"/>
  <c r="V165" i="33" s="1"/>
  <c r="BF165" i="3"/>
  <c r="AX165" i="3"/>
  <c r="M165" i="33" s="1"/>
  <c r="AV165" i="3"/>
  <c r="AO165" i="3"/>
  <c r="CC165" i="3" s="1"/>
  <c r="AN165" i="3"/>
  <c r="BB165" i="3" s="1"/>
  <c r="CK164" i="3"/>
  <c r="AF164" i="33" s="1"/>
  <c r="CI164" i="3"/>
  <c r="Y164" i="33" s="1"/>
  <c r="Z164" i="33" s="1"/>
  <c r="CG164" i="3"/>
  <c r="R164" i="33" s="1"/>
  <c r="CE164" i="3"/>
  <c r="K164" i="33" s="1"/>
  <c r="CB164" i="3"/>
  <c r="AH164" i="33" s="1"/>
  <c r="AI164" i="33" s="1"/>
  <c r="BZ164" i="3"/>
  <c r="BR164" i="3"/>
  <c r="AA164" i="33" s="1"/>
  <c r="AB164" i="33" s="1"/>
  <c r="AC164" i="33" s="1"/>
  <c r="BP164" i="3"/>
  <c r="BH164" i="3"/>
  <c r="T164" i="33" s="1"/>
  <c r="U164" i="33" s="1"/>
  <c r="BF164" i="3"/>
  <c r="AX164" i="3"/>
  <c r="M164" i="33" s="1"/>
  <c r="N164" i="33" s="1"/>
  <c r="AV164" i="3"/>
  <c r="AO164" i="3"/>
  <c r="CC164" i="3" s="1"/>
  <c r="AN164" i="3"/>
  <c r="BB164" i="3" s="1"/>
  <c r="CK163" i="3"/>
  <c r="AF163" i="33" s="1"/>
  <c r="CI163" i="3"/>
  <c r="Y163" i="33" s="1"/>
  <c r="Z163" i="33" s="1"/>
  <c r="CG163" i="3"/>
  <c r="R163" i="33" s="1"/>
  <c r="CE163" i="3"/>
  <c r="K163" i="33" s="1"/>
  <c r="CB163" i="3"/>
  <c r="AH163" i="33" s="1"/>
  <c r="AI163" i="33" s="1"/>
  <c r="BZ163" i="3"/>
  <c r="BR163" i="3"/>
  <c r="AA163" i="33" s="1"/>
  <c r="AB163" i="33" s="1"/>
  <c r="AC163" i="33" s="1"/>
  <c r="BP163" i="3"/>
  <c r="BH163" i="3"/>
  <c r="T163" i="33" s="1"/>
  <c r="U163" i="33" s="1"/>
  <c r="BF163" i="3"/>
  <c r="AX163" i="3"/>
  <c r="M163" i="33" s="1"/>
  <c r="N163" i="33" s="1"/>
  <c r="AV163" i="3"/>
  <c r="AO163" i="3"/>
  <c r="BS163" i="3" s="1"/>
  <c r="AN163" i="3"/>
  <c r="BB163" i="3" s="1"/>
  <c r="N165" i="33" l="1"/>
  <c r="O165" i="33" s="1"/>
  <c r="AW17" i="3"/>
  <c r="CM17" i="3"/>
  <c r="BG17" i="3"/>
  <c r="BV163" i="3"/>
  <c r="BI163" i="3"/>
  <c r="AY163" i="3"/>
  <c r="CF17" i="3"/>
  <c r="CJ17" i="3"/>
  <c r="BQ17" i="3"/>
  <c r="CA17" i="3"/>
  <c r="CL17" i="3"/>
  <c r="BM163" i="3"/>
  <c r="BQ163" i="3" s="1"/>
  <c r="BS164" i="3"/>
  <c r="AY164" i="3"/>
  <c r="AS164" i="3"/>
  <c r="AW164" i="3" s="1"/>
  <c r="BW164" i="3"/>
  <c r="CL164" i="3" s="1"/>
  <c r="BI164" i="3"/>
  <c r="BM164" i="3"/>
  <c r="BQ164" i="3" s="1"/>
  <c r="BL164" i="3"/>
  <c r="AR164" i="3"/>
  <c r="BV164" i="3"/>
  <c r="BW163" i="3"/>
  <c r="CL163" i="3" s="1"/>
  <c r="AR165" i="3"/>
  <c r="AS165" i="3"/>
  <c r="BS165" i="3"/>
  <c r="BL163" i="3"/>
  <c r="BV165" i="3"/>
  <c r="BC163" i="3"/>
  <c r="CC163" i="3"/>
  <c r="BI165" i="3"/>
  <c r="BW165" i="3"/>
  <c r="AR163" i="3"/>
  <c r="BL165" i="3"/>
  <c r="AS163" i="3"/>
  <c r="AW163" i="3" s="1"/>
  <c r="BC164" i="3"/>
  <c r="AY165" i="3"/>
  <c r="BM165" i="3"/>
  <c r="BC165" i="3"/>
  <c r="CM165" i="3" l="1"/>
  <c r="CF164" i="3"/>
  <c r="CM164" i="3"/>
  <c r="CM163" i="3"/>
  <c r="CA164" i="3"/>
  <c r="CJ163" i="3"/>
  <c r="CJ164" i="3"/>
  <c r="CA163" i="3"/>
  <c r="BQ165" i="3"/>
  <c r="CJ165" i="3"/>
  <c r="BG164" i="3"/>
  <c r="CH164" i="3"/>
  <c r="CL165" i="3"/>
  <c r="CA165" i="3"/>
  <c r="CH165" i="3"/>
  <c r="BG165" i="3"/>
  <c r="AW165" i="3"/>
  <c r="CF165" i="3"/>
  <c r="CF163" i="3"/>
  <c r="CH163" i="3"/>
  <c r="BG163" i="3"/>
  <c r="AC9" i="3" l="1"/>
  <c r="BC9" i="3" l="1"/>
  <c r="P12" i="27" l="1"/>
  <c r="AC23" i="3" l="1"/>
  <c r="CL161" i="3" l="1"/>
  <c r="CK161" i="3"/>
  <c r="AF236" i="33" s="1"/>
  <c r="CJ161" i="3"/>
  <c r="CI161" i="3"/>
  <c r="Y236" i="33" s="1"/>
  <c r="Z236" i="33" s="1"/>
  <c r="CH161" i="3"/>
  <c r="CG161" i="3"/>
  <c r="R236" i="33" s="1"/>
  <c r="S236" i="33" s="1"/>
  <c r="CF161" i="3"/>
  <c r="CE161" i="3"/>
  <c r="K236" i="33" s="1"/>
  <c r="L236" i="33" s="1"/>
  <c r="CB161" i="3"/>
  <c r="AH236" i="33" s="1"/>
  <c r="AI236" i="33" s="1"/>
  <c r="CA161" i="3"/>
  <c r="BZ161" i="3"/>
  <c r="BR161" i="3"/>
  <c r="AA236" i="33" s="1"/>
  <c r="AB236" i="33" s="1"/>
  <c r="AC236" i="33" s="1"/>
  <c r="BQ161" i="3"/>
  <c r="BP161" i="3"/>
  <c r="BH161" i="3"/>
  <c r="T236" i="33" s="1"/>
  <c r="U236" i="33" s="1"/>
  <c r="V236" i="33" s="1"/>
  <c r="BG161" i="3"/>
  <c r="BF161" i="3"/>
  <c r="AX161" i="3"/>
  <c r="AW161" i="3"/>
  <c r="AV161" i="3"/>
  <c r="AO161" i="3"/>
  <c r="CC161" i="3" s="1"/>
  <c r="AN161" i="3"/>
  <c r="AR161" i="3" s="1"/>
  <c r="N190" i="33" l="1"/>
  <c r="M236" i="33"/>
  <c r="N236" i="33" s="1"/>
  <c r="O236" i="33" s="1"/>
  <c r="AY161" i="3"/>
  <c r="BI161" i="3"/>
  <c r="BL161" i="3"/>
  <c r="BS161" i="3"/>
  <c r="BV161" i="3"/>
  <c r="BB161" i="3"/>
  <c r="CL118" i="3" l="1"/>
  <c r="CK118" i="3"/>
  <c r="AF260" i="33" s="1"/>
  <c r="CJ118" i="3"/>
  <c r="CI118" i="3"/>
  <c r="Y260" i="33" s="1"/>
  <c r="Z260" i="33" s="1"/>
  <c r="CH118" i="3"/>
  <c r="CG118" i="3"/>
  <c r="R260" i="33" s="1"/>
  <c r="CF118" i="3"/>
  <c r="CE118" i="3"/>
  <c r="K260" i="33" s="1"/>
  <c r="CB118" i="3"/>
  <c r="AH260" i="33" s="1"/>
  <c r="AI260" i="33" s="1"/>
  <c r="CA118" i="3"/>
  <c r="BZ118" i="3"/>
  <c r="CL117" i="3"/>
  <c r="CK117" i="3"/>
  <c r="AF259" i="33" s="1"/>
  <c r="CJ117" i="3"/>
  <c r="CI117" i="3"/>
  <c r="Y259" i="33" s="1"/>
  <c r="Z259" i="33" s="1"/>
  <c r="CH117" i="3"/>
  <c r="CG117" i="3"/>
  <c r="R259" i="33" s="1"/>
  <c r="CF117" i="3"/>
  <c r="CE117" i="3"/>
  <c r="K259" i="33" s="1"/>
  <c r="CB117" i="3"/>
  <c r="AH259" i="33" s="1"/>
  <c r="AI259" i="33" s="1"/>
  <c r="CA117" i="3"/>
  <c r="BZ117" i="3"/>
  <c r="BR118" i="3"/>
  <c r="AA260" i="33" s="1"/>
  <c r="AB260" i="33" s="1"/>
  <c r="AC260" i="33" s="1"/>
  <c r="BQ118" i="3"/>
  <c r="BP118" i="3"/>
  <c r="BR117" i="3"/>
  <c r="AA259" i="33" s="1"/>
  <c r="AB259" i="33" s="1"/>
  <c r="AC259" i="33" s="1"/>
  <c r="BQ117" i="3"/>
  <c r="BP117" i="3"/>
  <c r="AX118" i="3"/>
  <c r="M260" i="33" s="1"/>
  <c r="N260" i="33" s="1"/>
  <c r="AW118" i="3"/>
  <c r="AV118" i="3"/>
  <c r="AX117" i="3"/>
  <c r="M259" i="33" s="1"/>
  <c r="N259" i="33" s="1"/>
  <c r="AW117" i="3"/>
  <c r="AV117" i="3"/>
  <c r="BH118" i="3"/>
  <c r="T260" i="33" s="1"/>
  <c r="U260" i="33" s="1"/>
  <c r="BG118" i="3"/>
  <c r="BF118" i="3"/>
  <c r="BH117" i="3"/>
  <c r="T259" i="33" s="1"/>
  <c r="U259" i="33" s="1"/>
  <c r="BG117" i="3"/>
  <c r="BF117" i="3"/>
  <c r="AO118" i="3"/>
  <c r="BS118" i="3" s="1"/>
  <c r="AN118" i="3"/>
  <c r="BB118" i="3" s="1"/>
  <c r="AO117" i="3"/>
  <c r="AY117" i="3" s="1"/>
  <c r="AN117" i="3"/>
  <c r="BV117" i="3" s="1"/>
  <c r="AY118" i="3" l="1"/>
  <c r="BV118" i="3"/>
  <c r="AR118" i="3"/>
  <c r="BI117" i="3"/>
  <c r="BB117" i="3"/>
  <c r="BS117" i="3"/>
  <c r="CC118" i="3"/>
  <c r="BI118" i="3"/>
  <c r="BL118" i="3"/>
  <c r="AR117" i="3"/>
  <c r="CC117" i="3"/>
  <c r="BL117" i="3"/>
  <c r="BW49" i="3" l="1"/>
  <c r="CC115" i="3" l="1"/>
  <c r="AH117" i="33" s="1"/>
  <c r="AI117" i="33" s="1"/>
  <c r="CB115" i="3"/>
  <c r="AH333" i="33" s="1"/>
  <c r="AI333" i="33" s="1"/>
  <c r="BZ115" i="3"/>
  <c r="CC114" i="3"/>
  <c r="AH116" i="33" s="1"/>
  <c r="AI116" i="33" s="1"/>
  <c r="CB114" i="3"/>
  <c r="AH332" i="33" s="1"/>
  <c r="AI332" i="33" s="1"/>
  <c r="BZ114" i="3"/>
  <c r="CB113" i="3"/>
  <c r="AH331" i="33" s="1"/>
  <c r="AI331" i="33" s="1"/>
  <c r="BZ113" i="3"/>
  <c r="CB112" i="3"/>
  <c r="AH330" i="33" s="1"/>
  <c r="AI330" i="33" s="1"/>
  <c r="CA112" i="3"/>
  <c r="AE114" i="33" s="1"/>
  <c r="BZ112" i="3"/>
  <c r="CB111" i="3"/>
  <c r="AH329" i="33" s="1"/>
  <c r="AI329" i="33" s="1"/>
  <c r="CA111" i="3"/>
  <c r="AE113" i="33" s="1"/>
  <c r="BZ111" i="3"/>
  <c r="CB110" i="3"/>
  <c r="AH328" i="33" s="1"/>
  <c r="AI328" i="33" s="1"/>
  <c r="CA110" i="3"/>
  <c r="AE112" i="33" s="1"/>
  <c r="BZ110" i="3"/>
  <c r="CC109" i="3"/>
  <c r="AH111" i="33" s="1"/>
  <c r="AI111" i="33" s="1"/>
  <c r="CB109" i="3"/>
  <c r="AH327" i="33" s="1"/>
  <c r="AI327" i="33" s="1"/>
  <c r="BZ109" i="3"/>
  <c r="CC108" i="3"/>
  <c r="AH110" i="33" s="1"/>
  <c r="AI110" i="33" s="1"/>
  <c r="CB108" i="3"/>
  <c r="AH326" i="33" s="1"/>
  <c r="AI326" i="33" s="1"/>
  <c r="CA108" i="3"/>
  <c r="AE110" i="33" s="1"/>
  <c r="BZ108" i="3"/>
  <c r="CC107" i="3"/>
  <c r="AH109" i="33" s="1"/>
  <c r="AI109" i="33" s="1"/>
  <c r="CB107" i="3"/>
  <c r="AH325" i="33" s="1"/>
  <c r="AI325" i="33" s="1"/>
  <c r="CA107" i="3"/>
  <c r="AE109" i="33" s="1"/>
  <c r="BZ107" i="3"/>
  <c r="CC106" i="3"/>
  <c r="AH108" i="33" s="1"/>
  <c r="AI108" i="33" s="1"/>
  <c r="CB106" i="3"/>
  <c r="AH324" i="33" s="1"/>
  <c r="AI324" i="33" s="1"/>
  <c r="CA106" i="3"/>
  <c r="AE108" i="33" s="1"/>
  <c r="BZ106" i="3"/>
  <c r="CC105" i="3"/>
  <c r="AH107" i="33" s="1"/>
  <c r="AI107" i="33" s="1"/>
  <c r="CB105" i="3"/>
  <c r="AH323" i="33" s="1"/>
  <c r="AI323" i="33" s="1"/>
  <c r="BZ105" i="3"/>
  <c r="CC104" i="3"/>
  <c r="AH106" i="33" s="1"/>
  <c r="AI106" i="33" s="1"/>
  <c r="CB104" i="3"/>
  <c r="AH322" i="33" s="1"/>
  <c r="AI322" i="33" s="1"/>
  <c r="CA104" i="3"/>
  <c r="AE106" i="33" s="1"/>
  <c r="BZ104" i="3"/>
  <c r="CC103" i="3"/>
  <c r="AH105" i="33" s="1"/>
  <c r="AI105" i="33" s="1"/>
  <c r="CB103" i="3"/>
  <c r="AH321" i="33" s="1"/>
  <c r="AI321" i="33" s="1"/>
  <c r="CA103" i="3"/>
  <c r="AE105" i="33" s="1"/>
  <c r="BZ103" i="3"/>
  <c r="CC102" i="3"/>
  <c r="AH104" i="33" s="1"/>
  <c r="AI104" i="33" s="1"/>
  <c r="CB102" i="3"/>
  <c r="AH320" i="33" s="1"/>
  <c r="AI320" i="33" s="1"/>
  <c r="BZ102" i="3"/>
  <c r="CC101" i="3"/>
  <c r="AH103" i="33" s="1"/>
  <c r="AI103" i="33" s="1"/>
  <c r="CB101" i="3"/>
  <c r="AH319" i="33" s="1"/>
  <c r="AI319" i="33" s="1"/>
  <c r="CA101" i="3"/>
  <c r="AE103" i="33" s="1"/>
  <c r="BZ101" i="3"/>
  <c r="CC100" i="3"/>
  <c r="AH102" i="33" s="1"/>
  <c r="AI102" i="33" s="1"/>
  <c r="CB100" i="3"/>
  <c r="AH318" i="33" s="1"/>
  <c r="AI318" i="33" s="1"/>
  <c r="BZ100" i="3"/>
  <c r="CC99" i="3"/>
  <c r="AH101" i="33" s="1"/>
  <c r="AI101" i="33" s="1"/>
  <c r="CB99" i="3"/>
  <c r="AH317" i="33" s="1"/>
  <c r="AI317" i="33" s="1"/>
  <c r="BZ99" i="3"/>
  <c r="CC98" i="3"/>
  <c r="AH100" i="33" s="1"/>
  <c r="AI100" i="33" s="1"/>
  <c r="CB98" i="3"/>
  <c r="AH316" i="33" s="1"/>
  <c r="AI316" i="33" s="1"/>
  <c r="CA98" i="3"/>
  <c r="AE100" i="33" s="1"/>
  <c r="BZ98" i="3"/>
  <c r="CB97" i="3"/>
  <c r="AH315" i="33" s="1"/>
  <c r="AI315" i="33" s="1"/>
  <c r="BZ97" i="3"/>
  <c r="CB96" i="3"/>
  <c r="AH314" i="33" s="1"/>
  <c r="AI314" i="33" s="1"/>
  <c r="CA96" i="3"/>
  <c r="AE98" i="33" s="1"/>
  <c r="BZ96" i="3"/>
  <c r="CB95" i="3"/>
  <c r="AH313" i="33" s="1"/>
  <c r="AI313" i="33" s="1"/>
  <c r="CA95" i="3"/>
  <c r="AE97" i="33" s="1"/>
  <c r="BZ95" i="3"/>
  <c r="CB94" i="3"/>
  <c r="AH312" i="33" s="1"/>
  <c r="AI312" i="33" s="1"/>
  <c r="CA94" i="3"/>
  <c r="AE96" i="33" s="1"/>
  <c r="BZ94" i="3"/>
  <c r="CK115" i="3"/>
  <c r="AF333" i="33" s="1"/>
  <c r="AG333" i="33" s="1"/>
  <c r="CJ115" i="3"/>
  <c r="Y117" i="33" s="1"/>
  <c r="CI115" i="3"/>
  <c r="Y333" i="33" s="1"/>
  <c r="CH115" i="3"/>
  <c r="R117" i="33" s="1"/>
  <c r="CG115" i="3"/>
  <c r="R333" i="33" s="1"/>
  <c r="CF115" i="3"/>
  <c r="K117" i="33" s="1"/>
  <c r="CE115" i="3"/>
  <c r="K333" i="33" s="1"/>
  <c r="CK114" i="3"/>
  <c r="AF332" i="33" s="1"/>
  <c r="AG332" i="33" s="1"/>
  <c r="CJ114" i="3"/>
  <c r="Y116" i="33" s="1"/>
  <c r="CI114" i="3"/>
  <c r="Y332" i="33" s="1"/>
  <c r="CH114" i="3"/>
  <c r="R116" i="33" s="1"/>
  <c r="CG114" i="3"/>
  <c r="R332" i="33" s="1"/>
  <c r="CF114" i="3"/>
  <c r="K116" i="33" s="1"/>
  <c r="CE114" i="3"/>
  <c r="K332" i="33" s="1"/>
  <c r="CK113" i="3"/>
  <c r="AF331" i="33" s="1"/>
  <c r="AG331" i="33" s="1"/>
  <c r="CI113" i="3"/>
  <c r="Y331" i="33" s="1"/>
  <c r="Z331" i="33" s="1"/>
  <c r="CG113" i="3"/>
  <c r="R331" i="33" s="1"/>
  <c r="S331" i="33" s="1"/>
  <c r="CE113" i="3"/>
  <c r="K331" i="33" s="1"/>
  <c r="L331" i="33" s="1"/>
  <c r="CL112" i="3"/>
  <c r="AF114" i="33" s="1"/>
  <c r="CK112" i="3"/>
  <c r="AF330" i="33" s="1"/>
  <c r="AG330" i="33" s="1"/>
  <c r="CJ112" i="3"/>
  <c r="Y114" i="33" s="1"/>
  <c r="CI112" i="3"/>
  <c r="Y330" i="33" s="1"/>
  <c r="CH112" i="3"/>
  <c r="R114" i="33" s="1"/>
  <c r="CG112" i="3"/>
  <c r="R330" i="33" s="1"/>
  <c r="S330" i="33" s="1"/>
  <c r="CF112" i="3"/>
  <c r="K114" i="33" s="1"/>
  <c r="CE112" i="3"/>
  <c r="K330" i="33" s="1"/>
  <c r="CL111" i="3"/>
  <c r="AF113" i="33" s="1"/>
  <c r="CK111" i="3"/>
  <c r="AF329" i="33" s="1"/>
  <c r="AG329" i="33" s="1"/>
  <c r="CJ111" i="3"/>
  <c r="Y113" i="33" s="1"/>
  <c r="CI111" i="3"/>
  <c r="Y329" i="33" s="1"/>
  <c r="CH111" i="3"/>
  <c r="R113" i="33" s="1"/>
  <c r="CG111" i="3"/>
  <c r="R329" i="33" s="1"/>
  <c r="S329" i="33" s="1"/>
  <c r="CF111" i="3"/>
  <c r="K113" i="33" s="1"/>
  <c r="CE111" i="3"/>
  <c r="K329" i="33" s="1"/>
  <c r="CL110" i="3"/>
  <c r="AF112" i="33" s="1"/>
  <c r="CK110" i="3"/>
  <c r="AF328" i="33" s="1"/>
  <c r="AG328" i="33" s="1"/>
  <c r="CJ110" i="3"/>
  <c r="Y112" i="33" s="1"/>
  <c r="CI110" i="3"/>
  <c r="Y328" i="33" s="1"/>
  <c r="CH110" i="3"/>
  <c r="R112" i="33" s="1"/>
  <c r="CG110" i="3"/>
  <c r="R328" i="33" s="1"/>
  <c r="S328" i="33" s="1"/>
  <c r="CF110" i="3"/>
  <c r="K112" i="33" s="1"/>
  <c r="CE110" i="3"/>
  <c r="K328" i="33" s="1"/>
  <c r="CK109" i="3"/>
  <c r="AF327" i="33" s="1"/>
  <c r="AG327" i="33" s="1"/>
  <c r="CJ109" i="3"/>
  <c r="Y111" i="33" s="1"/>
  <c r="CI109" i="3"/>
  <c r="Y327" i="33" s="1"/>
  <c r="CG109" i="3"/>
  <c r="R327" i="33" s="1"/>
  <c r="S327" i="33" s="1"/>
  <c r="CF109" i="3"/>
  <c r="K111" i="33" s="1"/>
  <c r="CE109" i="3"/>
  <c r="K327" i="33" s="1"/>
  <c r="CL108" i="3"/>
  <c r="AF110" i="33" s="1"/>
  <c r="CK108" i="3"/>
  <c r="AF326" i="33" s="1"/>
  <c r="CI108" i="3"/>
  <c r="Y326" i="33" s="1"/>
  <c r="Z326" i="33" s="1"/>
  <c r="CH108" i="3"/>
  <c r="R110" i="33" s="1"/>
  <c r="CG108" i="3"/>
  <c r="R326" i="33" s="1"/>
  <c r="CF108" i="3"/>
  <c r="K110" i="33" s="1"/>
  <c r="CE108" i="3"/>
  <c r="K326" i="33" s="1"/>
  <c r="CL107" i="3"/>
  <c r="AF109" i="33" s="1"/>
  <c r="CK107" i="3"/>
  <c r="AF325" i="33" s="1"/>
  <c r="CI107" i="3"/>
  <c r="Y325" i="33" s="1"/>
  <c r="Z325" i="33" s="1"/>
  <c r="CH107" i="3"/>
  <c r="R109" i="33" s="1"/>
  <c r="CG107" i="3"/>
  <c r="R325" i="33" s="1"/>
  <c r="CF107" i="3"/>
  <c r="K109" i="33" s="1"/>
  <c r="CE107" i="3"/>
  <c r="K325" i="33" s="1"/>
  <c r="CL106" i="3"/>
  <c r="AF108" i="33" s="1"/>
  <c r="CK106" i="3"/>
  <c r="AF324" i="33" s="1"/>
  <c r="CI106" i="3"/>
  <c r="Y324" i="33" s="1"/>
  <c r="Z324" i="33" s="1"/>
  <c r="CG106" i="3"/>
  <c r="R324" i="33" s="1"/>
  <c r="S324" i="33" s="1"/>
  <c r="CF106" i="3"/>
  <c r="K108" i="33" s="1"/>
  <c r="CE106" i="3"/>
  <c r="K324" i="33" s="1"/>
  <c r="CK105" i="3"/>
  <c r="AF323" i="33" s="1"/>
  <c r="AG323" i="33" s="1"/>
  <c r="CJ105" i="3"/>
  <c r="Y107" i="33" s="1"/>
  <c r="CI105" i="3"/>
  <c r="Y323" i="33" s="1"/>
  <c r="CH105" i="3"/>
  <c r="R107" i="33" s="1"/>
  <c r="CG105" i="3"/>
  <c r="R323" i="33" s="1"/>
  <c r="CF105" i="3"/>
  <c r="K107" i="33" s="1"/>
  <c r="CE105" i="3"/>
  <c r="K323" i="33" s="1"/>
  <c r="CL104" i="3"/>
  <c r="AF106" i="33" s="1"/>
  <c r="CK104" i="3"/>
  <c r="AF322" i="33" s="1"/>
  <c r="CJ104" i="3"/>
  <c r="Y106" i="33" s="1"/>
  <c r="CI104" i="3"/>
  <c r="Y322" i="33" s="1"/>
  <c r="CH104" i="3"/>
  <c r="R106" i="33" s="1"/>
  <c r="CG104" i="3"/>
  <c r="R322" i="33" s="1"/>
  <c r="CE104" i="3"/>
  <c r="K322" i="33" s="1"/>
  <c r="L322" i="33" s="1"/>
  <c r="C11" i="38" s="1"/>
  <c r="CL103" i="3"/>
  <c r="AF105" i="33" s="1"/>
  <c r="CK103" i="3"/>
  <c r="AF321" i="33" s="1"/>
  <c r="CI103" i="3"/>
  <c r="Y321" i="33" s="1"/>
  <c r="Z321" i="33" s="1"/>
  <c r="CG103" i="3"/>
  <c r="R321" i="33" s="1"/>
  <c r="S321" i="33" s="1"/>
  <c r="CF103" i="3"/>
  <c r="K105" i="33" s="1"/>
  <c r="CE103" i="3"/>
  <c r="K321" i="33" s="1"/>
  <c r="CK102" i="3"/>
  <c r="AF320" i="33" s="1"/>
  <c r="AG320" i="33" s="1"/>
  <c r="CJ102" i="3"/>
  <c r="Y104" i="33" s="1"/>
  <c r="CI102" i="3"/>
  <c r="Y320" i="33" s="1"/>
  <c r="CG102" i="3"/>
  <c r="R320" i="33" s="1"/>
  <c r="S320" i="33" s="1"/>
  <c r="CF102" i="3"/>
  <c r="K104" i="33" s="1"/>
  <c r="CE102" i="3"/>
  <c r="K320" i="33" s="1"/>
  <c r="CL101" i="3"/>
  <c r="AF103" i="33" s="1"/>
  <c r="CK101" i="3"/>
  <c r="AF319" i="33" s="1"/>
  <c r="CI101" i="3"/>
  <c r="Y319" i="33" s="1"/>
  <c r="Z319" i="33" s="1"/>
  <c r="CH101" i="3"/>
  <c r="R103" i="33" s="1"/>
  <c r="CG101" i="3"/>
  <c r="R319" i="33" s="1"/>
  <c r="CF101" i="3"/>
  <c r="K103" i="33" s="1"/>
  <c r="CE101" i="3"/>
  <c r="K319" i="33" s="1"/>
  <c r="CK100" i="3"/>
  <c r="AF318" i="33" s="1"/>
  <c r="AG318" i="33" s="1"/>
  <c r="CJ100" i="3"/>
  <c r="Y102" i="33" s="1"/>
  <c r="CI100" i="3"/>
  <c r="Y318" i="33" s="1"/>
  <c r="CH100" i="3"/>
  <c r="R102" i="33" s="1"/>
  <c r="CG100" i="3"/>
  <c r="R318" i="33" s="1"/>
  <c r="CF100" i="3"/>
  <c r="K102" i="33" s="1"/>
  <c r="CE100" i="3"/>
  <c r="K318" i="33" s="1"/>
  <c r="CK99" i="3"/>
  <c r="AF317" i="33" s="1"/>
  <c r="AG317" i="33" s="1"/>
  <c r="CJ99" i="3"/>
  <c r="Y101" i="33" s="1"/>
  <c r="CI99" i="3"/>
  <c r="Y317" i="33" s="1"/>
  <c r="CH99" i="3"/>
  <c r="R101" i="33" s="1"/>
  <c r="CG99" i="3"/>
  <c r="R317" i="33" s="1"/>
  <c r="CF99" i="3"/>
  <c r="K101" i="33" s="1"/>
  <c r="CE99" i="3"/>
  <c r="K317" i="33" s="1"/>
  <c r="CL98" i="3"/>
  <c r="AF100" i="33" s="1"/>
  <c r="CK98" i="3"/>
  <c r="AF316" i="33" s="1"/>
  <c r="CI98" i="3"/>
  <c r="Y316" i="33" s="1"/>
  <c r="Z316" i="33" s="1"/>
  <c r="CH98" i="3"/>
  <c r="R100" i="33" s="1"/>
  <c r="CG98" i="3"/>
  <c r="R316" i="33" s="1"/>
  <c r="CF98" i="3"/>
  <c r="K100" i="33" s="1"/>
  <c r="CE98" i="3"/>
  <c r="K316" i="33" s="1"/>
  <c r="CK97" i="3"/>
  <c r="AF315" i="33" s="1"/>
  <c r="AG315" i="33" s="1"/>
  <c r="CJ97" i="3"/>
  <c r="Y99" i="33" s="1"/>
  <c r="CI97" i="3"/>
  <c r="Y315" i="33" s="1"/>
  <c r="CH97" i="3"/>
  <c r="R99" i="33" s="1"/>
  <c r="CG97" i="3"/>
  <c r="R315" i="33" s="1"/>
  <c r="CF97" i="3"/>
  <c r="K99" i="33" s="1"/>
  <c r="CE97" i="3"/>
  <c r="K315" i="33" s="1"/>
  <c r="CL96" i="3"/>
  <c r="AF98" i="33" s="1"/>
  <c r="CK96" i="3"/>
  <c r="AF314" i="33" s="1"/>
  <c r="CI96" i="3"/>
  <c r="Y314" i="33" s="1"/>
  <c r="Z314" i="33" s="1"/>
  <c r="CH96" i="3"/>
  <c r="R98" i="33" s="1"/>
  <c r="CG96" i="3"/>
  <c r="R314" i="33" s="1"/>
  <c r="CF96" i="3"/>
  <c r="K98" i="33" s="1"/>
  <c r="CE96" i="3"/>
  <c r="K314" i="33" s="1"/>
  <c r="CL95" i="3"/>
  <c r="AF97" i="33" s="1"/>
  <c r="CK95" i="3"/>
  <c r="AF313" i="33" s="1"/>
  <c r="CI95" i="3"/>
  <c r="Y313" i="33" s="1"/>
  <c r="Z313" i="33" s="1"/>
  <c r="CH95" i="3"/>
  <c r="R97" i="33" s="1"/>
  <c r="CG95" i="3"/>
  <c r="R313" i="33" s="1"/>
  <c r="CF95" i="3"/>
  <c r="K97" i="33" s="1"/>
  <c r="CE95" i="3"/>
  <c r="K313" i="33" s="1"/>
  <c r="CL94" i="3"/>
  <c r="AF96" i="33" s="1"/>
  <c r="CK94" i="3"/>
  <c r="AF312" i="33" s="1"/>
  <c r="CJ94" i="3"/>
  <c r="Y96" i="33" s="1"/>
  <c r="CI94" i="3"/>
  <c r="Y312" i="33" s="1"/>
  <c r="CG94" i="3"/>
  <c r="R312" i="33" s="1"/>
  <c r="S312" i="33" s="1"/>
  <c r="CF94" i="3"/>
  <c r="K96" i="33" s="1"/>
  <c r="CE94" i="3"/>
  <c r="K312" i="33" s="1"/>
  <c r="CL93" i="3"/>
  <c r="AF95" i="33" s="1"/>
  <c r="CK93" i="3"/>
  <c r="AF311" i="33" s="1"/>
  <c r="CJ93" i="3"/>
  <c r="Y95" i="33" s="1"/>
  <c r="CI93" i="3"/>
  <c r="Y311" i="33" s="1"/>
  <c r="CG93" i="3"/>
  <c r="R311" i="33" s="1"/>
  <c r="S311" i="33" s="1"/>
  <c r="CF93" i="3"/>
  <c r="K95" i="33" s="1"/>
  <c r="CE93" i="3"/>
  <c r="K311" i="33" s="1"/>
  <c r="CK92" i="3"/>
  <c r="AF310" i="33" s="1"/>
  <c r="CI92" i="3"/>
  <c r="Y310" i="33" s="1"/>
  <c r="Z310" i="33" s="1"/>
  <c r="CG92" i="3"/>
  <c r="R310" i="33" s="1"/>
  <c r="CF92" i="3"/>
  <c r="CE92" i="3"/>
  <c r="K310" i="33" s="1"/>
  <c r="CK91" i="3"/>
  <c r="AF309" i="33" s="1"/>
  <c r="AG309" i="33" s="1"/>
  <c r="CI91" i="3"/>
  <c r="Y309" i="33" s="1"/>
  <c r="Z309" i="33" s="1"/>
  <c r="CG91" i="3"/>
  <c r="R309" i="33" s="1"/>
  <c r="S309" i="33" s="1"/>
  <c r="CF91" i="3"/>
  <c r="CE91" i="3"/>
  <c r="K309" i="33" s="1"/>
  <c r="L309" i="33" s="1"/>
  <c r="CL90" i="3"/>
  <c r="CK90" i="3"/>
  <c r="AF308" i="33" s="1"/>
  <c r="CJ90" i="3"/>
  <c r="CI90" i="3"/>
  <c r="Y308" i="33" s="1"/>
  <c r="Z308" i="33" s="1"/>
  <c r="CH90" i="3"/>
  <c r="CG90" i="3"/>
  <c r="R308" i="33" s="1"/>
  <c r="CF90" i="3"/>
  <c r="CE90" i="3"/>
  <c r="K308" i="33" s="1"/>
  <c r="CL89" i="3"/>
  <c r="CK89" i="3"/>
  <c r="AF307" i="33" s="1"/>
  <c r="AG307" i="33" s="1"/>
  <c r="CJ89" i="3"/>
  <c r="CI89" i="3"/>
  <c r="Y307" i="33" s="1"/>
  <c r="CH89" i="3"/>
  <c r="CG89" i="3"/>
  <c r="R307" i="33" s="1"/>
  <c r="CF89" i="3"/>
  <c r="CE89" i="3"/>
  <c r="K307" i="33" s="1"/>
  <c r="CL88" i="3"/>
  <c r="CK88" i="3"/>
  <c r="AF306" i="33" s="1"/>
  <c r="AG306" i="33" s="1"/>
  <c r="CJ88" i="3"/>
  <c r="CI88" i="3"/>
  <c r="Y306" i="33" s="1"/>
  <c r="CH88" i="3"/>
  <c r="CG88" i="3"/>
  <c r="R306" i="33" s="1"/>
  <c r="CF88" i="3"/>
  <c r="CE88" i="3"/>
  <c r="K306" i="33" s="1"/>
  <c r="CL87" i="3"/>
  <c r="CK87" i="3"/>
  <c r="AF305" i="33" s="1"/>
  <c r="CJ87" i="3"/>
  <c r="CI87" i="3"/>
  <c r="Y305" i="33" s="1"/>
  <c r="Z305" i="33" s="1"/>
  <c r="CH87" i="3"/>
  <c r="CG87" i="3"/>
  <c r="R305" i="33" s="1"/>
  <c r="CF87" i="3"/>
  <c r="CE87" i="3"/>
  <c r="K305" i="33" s="1"/>
  <c r="CL86" i="3"/>
  <c r="CK86" i="3"/>
  <c r="AF304" i="33" s="1"/>
  <c r="CJ86" i="3"/>
  <c r="CI86" i="3"/>
  <c r="Y304" i="33" s="1"/>
  <c r="CH86" i="3"/>
  <c r="CG86" i="3"/>
  <c r="R304" i="33" s="1"/>
  <c r="S304" i="33" s="1"/>
  <c r="CF86" i="3"/>
  <c r="CE86" i="3"/>
  <c r="K304" i="33" s="1"/>
  <c r="CL85" i="3"/>
  <c r="CK85" i="3"/>
  <c r="AF303" i="33" s="1"/>
  <c r="CJ85" i="3"/>
  <c r="CI85" i="3"/>
  <c r="Y303" i="33" s="1"/>
  <c r="Z303" i="33" s="1"/>
  <c r="CH85" i="3"/>
  <c r="CG85" i="3"/>
  <c r="R303" i="33" s="1"/>
  <c r="CF85" i="3"/>
  <c r="CE85" i="3"/>
  <c r="K303" i="33" s="1"/>
  <c r="CL84" i="3"/>
  <c r="AF94" i="33" s="1"/>
  <c r="CK84" i="3"/>
  <c r="AF302" i="33" s="1"/>
  <c r="CJ84" i="3"/>
  <c r="Y94" i="33" s="1"/>
  <c r="CI84" i="3"/>
  <c r="Y302" i="33" s="1"/>
  <c r="CG84" i="3"/>
  <c r="R302" i="33" s="1"/>
  <c r="S302" i="33" s="1"/>
  <c r="CF84" i="3"/>
  <c r="K94" i="33" s="1"/>
  <c r="CE84" i="3"/>
  <c r="K302" i="33" s="1"/>
  <c r="CL83" i="3"/>
  <c r="AF93" i="33" s="1"/>
  <c r="CK83" i="3"/>
  <c r="AF301" i="33" s="1"/>
  <c r="CJ83" i="3"/>
  <c r="Y93" i="33" s="1"/>
  <c r="CI83" i="3"/>
  <c r="Y301" i="33" s="1"/>
  <c r="CG83" i="3"/>
  <c r="R301" i="33" s="1"/>
  <c r="S301" i="33" s="1"/>
  <c r="CF83" i="3"/>
  <c r="K93" i="33" s="1"/>
  <c r="CE83" i="3"/>
  <c r="K301" i="33" s="1"/>
  <c r="CL82" i="3"/>
  <c r="AF92" i="33" s="1"/>
  <c r="CK82" i="3"/>
  <c r="AF300" i="33" s="1"/>
  <c r="CJ82" i="3"/>
  <c r="Y92" i="33" s="1"/>
  <c r="CI82" i="3"/>
  <c r="Y300" i="33" s="1"/>
  <c r="CG82" i="3"/>
  <c r="R300" i="33" s="1"/>
  <c r="S300" i="33" s="1"/>
  <c r="CF82" i="3"/>
  <c r="K92" i="33" s="1"/>
  <c r="CE82" i="3"/>
  <c r="K300" i="33" s="1"/>
  <c r="CK81" i="3"/>
  <c r="AF299" i="33" s="1"/>
  <c r="AG299" i="33" s="1"/>
  <c r="CJ81" i="3"/>
  <c r="Y91" i="33" s="1"/>
  <c r="CI81" i="3"/>
  <c r="Y299" i="33" s="1"/>
  <c r="CH81" i="3"/>
  <c r="R91" i="33" s="1"/>
  <c r="CG81" i="3"/>
  <c r="R299" i="33" s="1"/>
  <c r="CF81" i="3"/>
  <c r="K91" i="33" s="1"/>
  <c r="CE81" i="3"/>
  <c r="K299" i="33" s="1"/>
  <c r="CL80" i="3"/>
  <c r="AF90" i="33" s="1"/>
  <c r="CK80" i="3"/>
  <c r="AF298" i="33" s="1"/>
  <c r="CI80" i="3"/>
  <c r="Y298" i="33" s="1"/>
  <c r="Z298" i="33" s="1"/>
  <c r="CH80" i="3"/>
  <c r="R90" i="33" s="1"/>
  <c r="CG80" i="3"/>
  <c r="R298" i="33" s="1"/>
  <c r="CF80" i="3"/>
  <c r="K90" i="33" s="1"/>
  <c r="CE80" i="3"/>
  <c r="K298" i="33" s="1"/>
  <c r="CK79" i="3"/>
  <c r="AF297" i="33" s="1"/>
  <c r="AG297" i="33" s="1"/>
  <c r="CJ79" i="3"/>
  <c r="Y89" i="33" s="1"/>
  <c r="CI79" i="3"/>
  <c r="Y297" i="33" s="1"/>
  <c r="CH79" i="3"/>
  <c r="R89" i="33" s="1"/>
  <c r="CG79" i="3"/>
  <c r="R297" i="33" s="1"/>
  <c r="CF79" i="3"/>
  <c r="K89" i="33" s="1"/>
  <c r="CE79" i="3"/>
  <c r="K297" i="33" s="1"/>
  <c r="CL78" i="3"/>
  <c r="AF88" i="33" s="1"/>
  <c r="CK78" i="3"/>
  <c r="AF296" i="33" s="1"/>
  <c r="CI78" i="3"/>
  <c r="Y296" i="33" s="1"/>
  <c r="Z296" i="33" s="1"/>
  <c r="CH78" i="3"/>
  <c r="R88" i="33" s="1"/>
  <c r="CG78" i="3"/>
  <c r="R296" i="33" s="1"/>
  <c r="CF78" i="3"/>
  <c r="K88" i="33" s="1"/>
  <c r="CE78" i="3"/>
  <c r="K296" i="33" s="1"/>
  <c r="CL77" i="3"/>
  <c r="AF87" i="33" s="1"/>
  <c r="CK77" i="3"/>
  <c r="AF295" i="33" s="1"/>
  <c r="CJ77" i="3"/>
  <c r="Y87" i="33" s="1"/>
  <c r="CI77" i="3"/>
  <c r="Y295" i="33" s="1"/>
  <c r="CG77" i="3"/>
  <c r="R295" i="33" s="1"/>
  <c r="S295" i="33" s="1"/>
  <c r="CF77" i="3"/>
  <c r="K87" i="33" s="1"/>
  <c r="CE77" i="3"/>
  <c r="K295" i="33" s="1"/>
  <c r="CL76" i="3"/>
  <c r="AF86" i="33" s="1"/>
  <c r="CK76" i="3"/>
  <c r="AF294" i="33" s="1"/>
  <c r="CI76" i="3"/>
  <c r="Y294" i="33" s="1"/>
  <c r="Z294" i="33" s="1"/>
  <c r="CH76" i="3"/>
  <c r="R86" i="33" s="1"/>
  <c r="CG76" i="3"/>
  <c r="R294" i="33" s="1"/>
  <c r="CF76" i="3"/>
  <c r="K86" i="33" s="1"/>
  <c r="CE76" i="3"/>
  <c r="K294" i="33" s="1"/>
  <c r="BW115" i="3"/>
  <c r="BW114" i="3"/>
  <c r="BW109" i="3"/>
  <c r="CL109" i="3" s="1"/>
  <c r="AF111" i="33" s="1"/>
  <c r="AG111" i="33" s="1"/>
  <c r="BW105" i="3"/>
  <c r="BW102" i="3"/>
  <c r="CL102" i="3" s="1"/>
  <c r="AF104" i="33" s="1"/>
  <c r="AG104" i="33" s="1"/>
  <c r="BW100" i="3"/>
  <c r="BW99" i="3"/>
  <c r="BS115" i="3"/>
  <c r="AA117" i="33" s="1"/>
  <c r="AB117" i="33" s="1"/>
  <c r="BR115" i="3"/>
  <c r="AA333" i="33" s="1"/>
  <c r="AB333" i="33" s="1"/>
  <c r="BQ115" i="3"/>
  <c r="X117" i="33" s="1"/>
  <c r="BP115" i="3"/>
  <c r="BS114" i="3"/>
  <c r="AA116" i="33" s="1"/>
  <c r="AB116" i="33" s="1"/>
  <c r="BR114" i="3"/>
  <c r="AA332" i="33" s="1"/>
  <c r="AB332" i="33" s="1"/>
  <c r="BQ114" i="3"/>
  <c r="X116" i="33" s="1"/>
  <c r="BP114" i="3"/>
  <c r="BR113" i="3"/>
  <c r="AA331" i="33" s="1"/>
  <c r="AB331" i="33" s="1"/>
  <c r="AC331" i="33" s="1"/>
  <c r="BP113" i="3"/>
  <c r="BR112" i="3"/>
  <c r="AA330" i="33" s="1"/>
  <c r="AB330" i="33" s="1"/>
  <c r="AC330" i="33" s="1"/>
  <c r="BQ112" i="3"/>
  <c r="X114" i="33" s="1"/>
  <c r="BP112" i="3"/>
  <c r="BR111" i="3"/>
  <c r="AA329" i="33" s="1"/>
  <c r="AB329" i="33" s="1"/>
  <c r="AC329" i="33" s="1"/>
  <c r="BQ111" i="3"/>
  <c r="X113" i="33" s="1"/>
  <c r="BP111" i="3"/>
  <c r="BR110" i="3"/>
  <c r="AA328" i="33" s="1"/>
  <c r="AB328" i="33" s="1"/>
  <c r="AC328" i="33" s="1"/>
  <c r="BQ110" i="3"/>
  <c r="X112" i="33" s="1"/>
  <c r="BP110" i="3"/>
  <c r="BS109" i="3"/>
  <c r="AA111" i="33" s="1"/>
  <c r="AB111" i="33" s="1"/>
  <c r="AC111" i="33" s="1"/>
  <c r="BR109" i="3"/>
  <c r="AA327" i="33" s="1"/>
  <c r="AB327" i="33" s="1"/>
  <c r="AC327" i="33" s="1"/>
  <c r="BQ109" i="3"/>
  <c r="X111" i="33" s="1"/>
  <c r="BP109" i="3"/>
  <c r="BS108" i="3"/>
  <c r="AA110" i="33" s="1"/>
  <c r="AB110" i="33" s="1"/>
  <c r="AC110" i="33" s="1"/>
  <c r="BR108" i="3"/>
  <c r="AA326" i="33" s="1"/>
  <c r="AB326" i="33" s="1"/>
  <c r="AC326" i="33" s="1"/>
  <c r="BP108" i="3"/>
  <c r="BS107" i="3"/>
  <c r="AA109" i="33" s="1"/>
  <c r="AB109" i="33" s="1"/>
  <c r="AC109" i="33" s="1"/>
  <c r="BR107" i="3"/>
  <c r="AA325" i="33" s="1"/>
  <c r="AB325" i="33" s="1"/>
  <c r="AC325" i="33" s="1"/>
  <c r="BP107" i="3"/>
  <c r="BS106" i="3"/>
  <c r="AA108" i="33" s="1"/>
  <c r="AB108" i="33" s="1"/>
  <c r="AC108" i="33" s="1"/>
  <c r="BR106" i="3"/>
  <c r="AA324" i="33" s="1"/>
  <c r="AB324" i="33" s="1"/>
  <c r="AC324" i="33" s="1"/>
  <c r="BP106" i="3"/>
  <c r="BS105" i="3"/>
  <c r="AA107" i="33" s="1"/>
  <c r="AB107" i="33" s="1"/>
  <c r="BR105" i="3"/>
  <c r="AA323" i="33" s="1"/>
  <c r="AB323" i="33" s="1"/>
  <c r="BQ105" i="3"/>
  <c r="X107" i="33" s="1"/>
  <c r="BP105" i="3"/>
  <c r="BS104" i="3"/>
  <c r="AA106" i="33" s="1"/>
  <c r="AB106" i="33" s="1"/>
  <c r="AC106" i="33" s="1"/>
  <c r="BR104" i="3"/>
  <c r="AA322" i="33" s="1"/>
  <c r="AB322" i="33" s="1"/>
  <c r="AC322" i="33" s="1"/>
  <c r="BQ104" i="3"/>
  <c r="X106" i="33" s="1"/>
  <c r="BP104" i="3"/>
  <c r="BS103" i="3"/>
  <c r="AA105" i="33" s="1"/>
  <c r="AB105" i="33" s="1"/>
  <c r="AC105" i="33" s="1"/>
  <c r="BR103" i="3"/>
  <c r="AA321" i="33" s="1"/>
  <c r="AB321" i="33" s="1"/>
  <c r="AC321" i="33" s="1"/>
  <c r="BP103" i="3"/>
  <c r="BS102" i="3"/>
  <c r="AA104" i="33" s="1"/>
  <c r="AB104" i="33" s="1"/>
  <c r="AC104" i="33" s="1"/>
  <c r="BR102" i="3"/>
  <c r="AA320" i="33" s="1"/>
  <c r="AB320" i="33" s="1"/>
  <c r="AC320" i="33" s="1"/>
  <c r="BQ102" i="3"/>
  <c r="X104" i="33" s="1"/>
  <c r="BP102" i="3"/>
  <c r="BS101" i="3"/>
  <c r="AA103" i="33" s="1"/>
  <c r="AB103" i="33" s="1"/>
  <c r="AC103" i="33" s="1"/>
  <c r="BR101" i="3"/>
  <c r="AA319" i="33" s="1"/>
  <c r="AB319" i="33" s="1"/>
  <c r="AC319" i="33" s="1"/>
  <c r="BP101" i="3"/>
  <c r="BS100" i="3"/>
  <c r="AA102" i="33" s="1"/>
  <c r="AB102" i="33" s="1"/>
  <c r="BR100" i="3"/>
  <c r="AA318" i="33" s="1"/>
  <c r="AB318" i="33" s="1"/>
  <c r="BQ100" i="3"/>
  <c r="X102" i="33" s="1"/>
  <c r="BP100" i="3"/>
  <c r="BS99" i="3"/>
  <c r="AA101" i="33" s="1"/>
  <c r="AB101" i="33" s="1"/>
  <c r="BR99" i="3"/>
  <c r="AA317" i="33" s="1"/>
  <c r="AB317" i="33" s="1"/>
  <c r="BQ99" i="3"/>
  <c r="X101" i="33" s="1"/>
  <c r="BP99" i="3"/>
  <c r="BS98" i="3"/>
  <c r="AA100" i="33" s="1"/>
  <c r="AB100" i="33" s="1"/>
  <c r="AC100" i="33" s="1"/>
  <c r="BR98" i="3"/>
  <c r="AA316" i="33" s="1"/>
  <c r="AB316" i="33" s="1"/>
  <c r="AC316" i="33" s="1"/>
  <c r="BP98" i="3"/>
  <c r="BR97" i="3"/>
  <c r="AA315" i="33" s="1"/>
  <c r="AB315" i="33" s="1"/>
  <c r="BQ97" i="3"/>
  <c r="X99" i="33" s="1"/>
  <c r="BP97" i="3"/>
  <c r="BR96" i="3"/>
  <c r="AA314" i="33" s="1"/>
  <c r="AB314" i="33" s="1"/>
  <c r="AC314" i="33" s="1"/>
  <c r="BP96" i="3"/>
  <c r="BR95" i="3"/>
  <c r="AA313" i="33" s="1"/>
  <c r="AB313" i="33" s="1"/>
  <c r="AC313" i="33" s="1"/>
  <c r="BP95" i="3"/>
  <c r="BR94" i="3"/>
  <c r="AA312" i="33" s="1"/>
  <c r="AB312" i="33" s="1"/>
  <c r="AC312" i="33" s="1"/>
  <c r="BQ94" i="3"/>
  <c r="X96" i="33" s="1"/>
  <c r="BP94" i="3"/>
  <c r="BM108" i="3"/>
  <c r="BM107" i="3"/>
  <c r="BM106" i="3"/>
  <c r="CJ106" i="3" s="1"/>
  <c r="Y108" i="33" s="1"/>
  <c r="Z108" i="33" s="1"/>
  <c r="BM103" i="3"/>
  <c r="CJ103" i="3" s="1"/>
  <c r="Y105" i="33" s="1"/>
  <c r="Z105" i="33" s="1"/>
  <c r="BM101" i="3"/>
  <c r="BM98" i="3"/>
  <c r="BI115" i="3"/>
  <c r="T117" i="33" s="1"/>
  <c r="U117" i="33" s="1"/>
  <c r="V117" i="33" s="1"/>
  <c r="BH115" i="3"/>
  <c r="T333" i="33" s="1"/>
  <c r="U333" i="33" s="1"/>
  <c r="BG115" i="3"/>
  <c r="Q117" i="33" s="1"/>
  <c r="BF115" i="3"/>
  <c r="BI114" i="3"/>
  <c r="T116" i="33" s="1"/>
  <c r="U116" i="33" s="1"/>
  <c r="V116" i="33" s="1"/>
  <c r="BH114" i="3"/>
  <c r="T332" i="33" s="1"/>
  <c r="U332" i="33" s="1"/>
  <c r="BG114" i="3"/>
  <c r="Q116" i="33" s="1"/>
  <c r="BF114" i="3"/>
  <c r="BH113" i="3"/>
  <c r="T331" i="33" s="1"/>
  <c r="U331" i="33" s="1"/>
  <c r="V331" i="33" s="1"/>
  <c r="BF113" i="3"/>
  <c r="BH112" i="3"/>
  <c r="T330" i="33" s="1"/>
  <c r="U330" i="33" s="1"/>
  <c r="V330" i="33" s="1"/>
  <c r="BG112" i="3"/>
  <c r="Q114" i="33" s="1"/>
  <c r="BF112" i="3"/>
  <c r="BH111" i="3"/>
  <c r="T329" i="33" s="1"/>
  <c r="U329" i="33" s="1"/>
  <c r="V329" i="33" s="1"/>
  <c r="BG111" i="3"/>
  <c r="Q113" i="33" s="1"/>
  <c r="BF111" i="3"/>
  <c r="BH110" i="3"/>
  <c r="T328" i="33" s="1"/>
  <c r="U328" i="33" s="1"/>
  <c r="V328" i="33" s="1"/>
  <c r="BG110" i="3"/>
  <c r="Q112" i="33" s="1"/>
  <c r="BF110" i="3"/>
  <c r="BI109" i="3"/>
  <c r="T111" i="33" s="1"/>
  <c r="U111" i="33" s="1"/>
  <c r="V111" i="33" s="1"/>
  <c r="BH109" i="3"/>
  <c r="T327" i="33" s="1"/>
  <c r="U327" i="33" s="1"/>
  <c r="V327" i="33" s="1"/>
  <c r="BF109" i="3"/>
  <c r="BI108" i="3"/>
  <c r="T110" i="33" s="1"/>
  <c r="U110" i="33" s="1"/>
  <c r="BH108" i="3"/>
  <c r="T326" i="33" s="1"/>
  <c r="U326" i="33" s="1"/>
  <c r="BG108" i="3"/>
  <c r="Q110" i="33" s="1"/>
  <c r="BF108" i="3"/>
  <c r="BI107" i="3"/>
  <c r="T109" i="33" s="1"/>
  <c r="U109" i="33" s="1"/>
  <c r="BH107" i="3"/>
  <c r="T325" i="33" s="1"/>
  <c r="U325" i="33" s="1"/>
  <c r="BG107" i="3"/>
  <c r="Q109" i="33" s="1"/>
  <c r="BF107" i="3"/>
  <c r="BI106" i="3"/>
  <c r="T108" i="33" s="1"/>
  <c r="U108" i="33" s="1"/>
  <c r="V108" i="33" s="1"/>
  <c r="BH106" i="3"/>
  <c r="T324" i="33" s="1"/>
  <c r="U324" i="33" s="1"/>
  <c r="V324" i="33" s="1"/>
  <c r="BF106" i="3"/>
  <c r="BI105" i="3"/>
  <c r="T107" i="33" s="1"/>
  <c r="U107" i="33" s="1"/>
  <c r="BH105" i="3"/>
  <c r="T323" i="33" s="1"/>
  <c r="U323" i="33" s="1"/>
  <c r="BG105" i="3"/>
  <c r="Q107" i="33" s="1"/>
  <c r="BF105" i="3"/>
  <c r="BI104" i="3"/>
  <c r="T106" i="33" s="1"/>
  <c r="U106" i="33" s="1"/>
  <c r="V106" i="33" s="1"/>
  <c r="BH104" i="3"/>
  <c r="T322" i="33" s="1"/>
  <c r="U322" i="33" s="1"/>
  <c r="V322" i="33" s="1"/>
  <c r="BG104" i="3"/>
  <c r="Q106" i="33" s="1"/>
  <c r="BF104" i="3"/>
  <c r="BI103" i="3"/>
  <c r="T105" i="33" s="1"/>
  <c r="U105" i="33" s="1"/>
  <c r="V105" i="33" s="1"/>
  <c r="BH103" i="3"/>
  <c r="T321" i="33" s="1"/>
  <c r="U321" i="33" s="1"/>
  <c r="V321" i="33" s="1"/>
  <c r="BF103" i="3"/>
  <c r="BI102" i="3"/>
  <c r="T104" i="33" s="1"/>
  <c r="U104" i="33" s="1"/>
  <c r="V104" i="33" s="1"/>
  <c r="BH102" i="3"/>
  <c r="T320" i="33" s="1"/>
  <c r="U320" i="33" s="1"/>
  <c r="V320" i="33" s="1"/>
  <c r="BF102" i="3"/>
  <c r="BI101" i="3"/>
  <c r="T103" i="33" s="1"/>
  <c r="U103" i="33" s="1"/>
  <c r="BH101" i="3"/>
  <c r="T319" i="33" s="1"/>
  <c r="U319" i="33" s="1"/>
  <c r="BG101" i="3"/>
  <c r="Q103" i="33" s="1"/>
  <c r="BF101" i="3"/>
  <c r="BI100" i="3"/>
  <c r="T102" i="33" s="1"/>
  <c r="U102" i="33" s="1"/>
  <c r="BH100" i="3"/>
  <c r="T318" i="33" s="1"/>
  <c r="U318" i="33" s="1"/>
  <c r="BG100" i="3"/>
  <c r="Q102" i="33" s="1"/>
  <c r="BF100" i="3"/>
  <c r="BI99" i="3"/>
  <c r="T101" i="33" s="1"/>
  <c r="U101" i="33" s="1"/>
  <c r="BH99" i="3"/>
  <c r="T317" i="33" s="1"/>
  <c r="U317" i="33" s="1"/>
  <c r="BG99" i="3"/>
  <c r="Q101" i="33" s="1"/>
  <c r="BF99" i="3"/>
  <c r="BI98" i="3"/>
  <c r="T100" i="33" s="1"/>
  <c r="U100" i="33" s="1"/>
  <c r="BH98" i="3"/>
  <c r="T316" i="33" s="1"/>
  <c r="U316" i="33" s="1"/>
  <c r="BG98" i="3"/>
  <c r="Q100" i="33" s="1"/>
  <c r="BF98" i="3"/>
  <c r="BH97" i="3"/>
  <c r="T315" i="33" s="1"/>
  <c r="U315" i="33" s="1"/>
  <c r="BG97" i="3"/>
  <c r="Q99" i="33" s="1"/>
  <c r="BF97" i="3"/>
  <c r="BH96" i="3"/>
  <c r="T314" i="33" s="1"/>
  <c r="U314" i="33" s="1"/>
  <c r="BG96" i="3"/>
  <c r="Q98" i="33" s="1"/>
  <c r="BF96" i="3"/>
  <c r="BH95" i="3"/>
  <c r="T313" i="33" s="1"/>
  <c r="U313" i="33" s="1"/>
  <c r="BG95" i="3"/>
  <c r="Q97" i="33" s="1"/>
  <c r="BF95" i="3"/>
  <c r="BH94" i="3"/>
  <c r="T312" i="33" s="1"/>
  <c r="U312" i="33" s="1"/>
  <c r="V312" i="33" s="1"/>
  <c r="BF94" i="3"/>
  <c r="BC109" i="3"/>
  <c r="BC106" i="3"/>
  <c r="BC103" i="3"/>
  <c r="BC102" i="3"/>
  <c r="AY115" i="3"/>
  <c r="M117" i="33" s="1"/>
  <c r="N117" i="33" s="1"/>
  <c r="AX115" i="3"/>
  <c r="M333" i="33" s="1"/>
  <c r="N333" i="33" s="1"/>
  <c r="AW115" i="3"/>
  <c r="J117" i="33" s="1"/>
  <c r="AV115" i="3"/>
  <c r="AY114" i="3"/>
  <c r="M116" i="33" s="1"/>
  <c r="N116" i="33" s="1"/>
  <c r="AX114" i="3"/>
  <c r="M332" i="33" s="1"/>
  <c r="N332" i="33" s="1"/>
  <c r="AW114" i="3"/>
  <c r="J116" i="33" s="1"/>
  <c r="AV114" i="3"/>
  <c r="AX113" i="3"/>
  <c r="M331" i="33" s="1"/>
  <c r="AV113" i="3"/>
  <c r="AX112" i="3"/>
  <c r="M330" i="33" s="1"/>
  <c r="N330" i="33" s="1"/>
  <c r="AW112" i="3"/>
  <c r="J114" i="33" s="1"/>
  <c r="AV112" i="3"/>
  <c r="AX111" i="3"/>
  <c r="M329" i="33" s="1"/>
  <c r="N329" i="33" s="1"/>
  <c r="AW111" i="3"/>
  <c r="J113" i="33" s="1"/>
  <c r="AV111" i="3"/>
  <c r="AX110" i="3"/>
  <c r="M328" i="33" s="1"/>
  <c r="N328" i="33" s="1"/>
  <c r="AW110" i="3"/>
  <c r="J112" i="33" s="1"/>
  <c r="AV110" i="3"/>
  <c r="AY109" i="3"/>
  <c r="M111" i="33" s="1"/>
  <c r="N111" i="33" s="1"/>
  <c r="AX109" i="3"/>
  <c r="M327" i="33" s="1"/>
  <c r="N327" i="33" s="1"/>
  <c r="AW109" i="3"/>
  <c r="J111" i="33" s="1"/>
  <c r="AV109" i="3"/>
  <c r="AY108" i="3"/>
  <c r="M110" i="33" s="1"/>
  <c r="N110" i="33" s="1"/>
  <c r="AX108" i="3"/>
  <c r="M326" i="33" s="1"/>
  <c r="N326" i="33" s="1"/>
  <c r="AW108" i="3"/>
  <c r="J110" i="33" s="1"/>
  <c r="AV108" i="3"/>
  <c r="AY107" i="3"/>
  <c r="M109" i="33" s="1"/>
  <c r="N109" i="33" s="1"/>
  <c r="AX107" i="3"/>
  <c r="M325" i="33" s="1"/>
  <c r="N325" i="33" s="1"/>
  <c r="AW107" i="3"/>
  <c r="J109" i="33" s="1"/>
  <c r="AV107" i="3"/>
  <c r="AY106" i="3"/>
  <c r="M108" i="33" s="1"/>
  <c r="N108" i="33" s="1"/>
  <c r="AX106" i="3"/>
  <c r="M324" i="33" s="1"/>
  <c r="N324" i="33" s="1"/>
  <c r="AW106" i="3"/>
  <c r="J108" i="33" s="1"/>
  <c r="AV106" i="3"/>
  <c r="AY105" i="3"/>
  <c r="M107" i="33" s="1"/>
  <c r="N107" i="33" s="1"/>
  <c r="AX105" i="3"/>
  <c r="M323" i="33" s="1"/>
  <c r="N323" i="33" s="1"/>
  <c r="AW105" i="3"/>
  <c r="J107" i="33" s="1"/>
  <c r="AV105" i="3"/>
  <c r="AY104" i="3"/>
  <c r="M106" i="33" s="1"/>
  <c r="AX104" i="3"/>
  <c r="M322" i="33" s="1"/>
  <c r="AV104" i="3"/>
  <c r="AY103" i="3"/>
  <c r="M105" i="33" s="1"/>
  <c r="N105" i="33" s="1"/>
  <c r="AX103" i="3"/>
  <c r="M321" i="33" s="1"/>
  <c r="N321" i="33" s="1"/>
  <c r="AW103" i="3"/>
  <c r="J105" i="33" s="1"/>
  <c r="AV103" i="3"/>
  <c r="AY102" i="3"/>
  <c r="M104" i="33" s="1"/>
  <c r="N104" i="33" s="1"/>
  <c r="AX102" i="3"/>
  <c r="M320" i="33" s="1"/>
  <c r="N320" i="33" s="1"/>
  <c r="AW102" i="3"/>
  <c r="J104" i="33" s="1"/>
  <c r="AV102" i="3"/>
  <c r="AY101" i="3"/>
  <c r="M103" i="33" s="1"/>
  <c r="N103" i="33" s="1"/>
  <c r="AX101" i="3"/>
  <c r="M319" i="33" s="1"/>
  <c r="N319" i="33" s="1"/>
  <c r="AW101" i="3"/>
  <c r="J103" i="33" s="1"/>
  <c r="AV101" i="3"/>
  <c r="AY100" i="3"/>
  <c r="M102" i="33" s="1"/>
  <c r="N102" i="33" s="1"/>
  <c r="AX100" i="3"/>
  <c r="M318" i="33" s="1"/>
  <c r="N318" i="33" s="1"/>
  <c r="AW100" i="3"/>
  <c r="J102" i="33" s="1"/>
  <c r="AV100" i="3"/>
  <c r="AY99" i="3"/>
  <c r="M101" i="33" s="1"/>
  <c r="N101" i="33" s="1"/>
  <c r="AX99" i="3"/>
  <c r="M317" i="33" s="1"/>
  <c r="N317" i="33" s="1"/>
  <c r="AW99" i="3"/>
  <c r="J101" i="33" s="1"/>
  <c r="AV99" i="3"/>
  <c r="AY98" i="3"/>
  <c r="M100" i="33" s="1"/>
  <c r="N100" i="33" s="1"/>
  <c r="AX98" i="3"/>
  <c r="M316" i="33" s="1"/>
  <c r="N316" i="33" s="1"/>
  <c r="AW98" i="3"/>
  <c r="J100" i="33" s="1"/>
  <c r="AV98" i="3"/>
  <c r="AX97" i="3"/>
  <c r="M315" i="33" s="1"/>
  <c r="N315" i="33" s="1"/>
  <c r="AW97" i="3"/>
  <c r="J99" i="33" s="1"/>
  <c r="AV97" i="3"/>
  <c r="AX96" i="3"/>
  <c r="M314" i="33" s="1"/>
  <c r="N314" i="33" s="1"/>
  <c r="AW96" i="3"/>
  <c r="J98" i="33" s="1"/>
  <c r="AV96" i="3"/>
  <c r="AX95" i="3"/>
  <c r="M313" i="33" s="1"/>
  <c r="N313" i="33" s="1"/>
  <c r="AV95" i="3"/>
  <c r="AX94" i="3"/>
  <c r="M312" i="33" s="1"/>
  <c r="N312" i="33" s="1"/>
  <c r="AW94" i="3"/>
  <c r="J96" i="33" s="1"/>
  <c r="AV94" i="3"/>
  <c r="AS113" i="3"/>
  <c r="AS104" i="3"/>
  <c r="AN115" i="3"/>
  <c r="BV115" i="3" s="1"/>
  <c r="AN114" i="3"/>
  <c r="BV114" i="3" s="1"/>
  <c r="AN109" i="3"/>
  <c r="BV109" i="3" s="1"/>
  <c r="AN108" i="3"/>
  <c r="BV108" i="3" s="1"/>
  <c r="AN107" i="3"/>
  <c r="BV107" i="3" s="1"/>
  <c r="AN101" i="3"/>
  <c r="AR101" i="3" s="1"/>
  <c r="AX92" i="3"/>
  <c r="M310" i="33" s="1"/>
  <c r="N310" i="33" s="1"/>
  <c r="AW92" i="3"/>
  <c r="AV92" i="3"/>
  <c r="AX91" i="3"/>
  <c r="M309" i="33" s="1"/>
  <c r="AW91" i="3"/>
  <c r="AV91" i="3"/>
  <c r="AX90" i="3"/>
  <c r="M308" i="33" s="1"/>
  <c r="N308" i="33" s="1"/>
  <c r="AW90" i="3"/>
  <c r="AV90" i="3"/>
  <c r="AX89" i="3"/>
  <c r="M307" i="33" s="1"/>
  <c r="N307" i="33" s="1"/>
  <c r="AW89" i="3"/>
  <c r="AV89" i="3"/>
  <c r="AX88" i="3"/>
  <c r="M306" i="33" s="1"/>
  <c r="N306" i="33" s="1"/>
  <c r="AW88" i="3"/>
  <c r="AV88" i="3"/>
  <c r="AX87" i="3"/>
  <c r="M305" i="33" s="1"/>
  <c r="N305" i="33" s="1"/>
  <c r="AW87" i="3"/>
  <c r="AV87" i="3"/>
  <c r="AX86" i="3"/>
  <c r="M304" i="33" s="1"/>
  <c r="N304" i="33" s="1"/>
  <c r="AW86" i="3"/>
  <c r="AV86" i="3"/>
  <c r="AX85" i="3"/>
  <c r="M303" i="33" s="1"/>
  <c r="N303" i="33" s="1"/>
  <c r="AW85" i="3"/>
  <c r="AV85" i="3"/>
  <c r="AX84" i="3"/>
  <c r="M302" i="33" s="1"/>
  <c r="N302" i="33" s="1"/>
  <c r="AW84" i="3"/>
  <c r="J94" i="33" s="1"/>
  <c r="AV84" i="3"/>
  <c r="AX83" i="3"/>
  <c r="M301" i="33" s="1"/>
  <c r="N301" i="33" s="1"/>
  <c r="AW83" i="3"/>
  <c r="J93" i="33" s="1"/>
  <c r="AV83" i="3"/>
  <c r="AX82" i="3"/>
  <c r="M300" i="33" s="1"/>
  <c r="N300" i="33" s="1"/>
  <c r="AW82" i="3"/>
  <c r="J92" i="33" s="1"/>
  <c r="AV82" i="3"/>
  <c r="AX81" i="3"/>
  <c r="M299" i="33" s="1"/>
  <c r="N299" i="33" s="1"/>
  <c r="AW81" i="3"/>
  <c r="J91" i="33" s="1"/>
  <c r="AV81" i="3"/>
  <c r="AX80" i="3"/>
  <c r="M298" i="33" s="1"/>
  <c r="N298" i="33" s="1"/>
  <c r="AW80" i="3"/>
  <c r="J90" i="33" s="1"/>
  <c r="AV80" i="3"/>
  <c r="AX79" i="3"/>
  <c r="M297" i="33" s="1"/>
  <c r="N297" i="33" s="1"/>
  <c r="AW79" i="3"/>
  <c r="J89" i="33" s="1"/>
  <c r="AV79" i="3"/>
  <c r="AX78" i="3"/>
  <c r="M296" i="33" s="1"/>
  <c r="N296" i="33" s="1"/>
  <c r="AW78" i="3"/>
  <c r="J88" i="33" s="1"/>
  <c r="AV78" i="3"/>
  <c r="AX77" i="3"/>
  <c r="M295" i="33" s="1"/>
  <c r="N295" i="33" s="1"/>
  <c r="AW77" i="3"/>
  <c r="J87" i="33" s="1"/>
  <c r="AV77" i="3"/>
  <c r="AX76" i="3"/>
  <c r="M294" i="33" s="1"/>
  <c r="N294" i="33" s="1"/>
  <c r="AW76" i="3"/>
  <c r="J86" i="33" s="1"/>
  <c r="AV76" i="3"/>
  <c r="AO92" i="3"/>
  <c r="BW92" i="3" s="1"/>
  <c r="CA92" i="3" s="1"/>
  <c r="AO91" i="3"/>
  <c r="BS91" i="3" s="1"/>
  <c r="AO90" i="3"/>
  <c r="BS90" i="3" s="1"/>
  <c r="AO89" i="3"/>
  <c r="AY89" i="3" s="1"/>
  <c r="AO88" i="3"/>
  <c r="CC88" i="3" s="1"/>
  <c r="AO87" i="3"/>
  <c r="AY87" i="3" s="1"/>
  <c r="AO86" i="3"/>
  <c r="BS86" i="3" s="1"/>
  <c r="AO85" i="3"/>
  <c r="BS85" i="3" s="1"/>
  <c r="AO84" i="3"/>
  <c r="BC84" i="3" s="1"/>
  <c r="AO83" i="3"/>
  <c r="AY83" i="3" s="1"/>
  <c r="M93" i="33" s="1"/>
  <c r="N93" i="33" s="1"/>
  <c r="AO82" i="3"/>
  <c r="AY82" i="3" s="1"/>
  <c r="M92" i="33" s="1"/>
  <c r="N92" i="33" s="1"/>
  <c r="AO81" i="3"/>
  <c r="AY81" i="3" s="1"/>
  <c r="M91" i="33" s="1"/>
  <c r="N91" i="33" s="1"/>
  <c r="AO80" i="3"/>
  <c r="BM80" i="3" s="1"/>
  <c r="AO79" i="3"/>
  <c r="BW79" i="3" s="1"/>
  <c r="AO78" i="3"/>
  <c r="BM78" i="3" s="1"/>
  <c r="AO77" i="3"/>
  <c r="BS77" i="3" s="1"/>
  <c r="AA87" i="33" s="1"/>
  <c r="AB87" i="33" s="1"/>
  <c r="AO76" i="3"/>
  <c r="BM76" i="3" s="1"/>
  <c r="CB92" i="3"/>
  <c r="AH310" i="33" s="1"/>
  <c r="AI310" i="33" s="1"/>
  <c r="BZ92" i="3"/>
  <c r="BR92" i="3"/>
  <c r="AA310" i="33" s="1"/>
  <c r="AB310" i="33" s="1"/>
  <c r="AC310" i="33" s="1"/>
  <c r="BP92" i="3"/>
  <c r="BH92" i="3"/>
  <c r="T310" i="33" s="1"/>
  <c r="U310" i="33" s="1"/>
  <c r="BF92" i="3"/>
  <c r="CB91" i="3"/>
  <c r="AH309" i="33" s="1"/>
  <c r="AI309" i="33" s="1"/>
  <c r="BZ91" i="3"/>
  <c r="BR91" i="3"/>
  <c r="AA309" i="33" s="1"/>
  <c r="AB309" i="33" s="1"/>
  <c r="AC309" i="33" s="1"/>
  <c r="BP91" i="3"/>
  <c r="BH91" i="3"/>
  <c r="T309" i="33" s="1"/>
  <c r="U309" i="33" s="1"/>
  <c r="V309" i="33" s="1"/>
  <c r="BF91" i="3"/>
  <c r="CB90" i="3"/>
  <c r="AH308" i="33" s="1"/>
  <c r="AI308" i="33" s="1"/>
  <c r="BZ90" i="3"/>
  <c r="CA90" i="3"/>
  <c r="BR90" i="3"/>
  <c r="AA308" i="33" s="1"/>
  <c r="AB308" i="33" s="1"/>
  <c r="AC308" i="33" s="1"/>
  <c r="BP90" i="3"/>
  <c r="BQ90" i="3"/>
  <c r="BH90" i="3"/>
  <c r="T308" i="33" s="1"/>
  <c r="U308" i="33" s="1"/>
  <c r="BG90" i="3"/>
  <c r="BF90" i="3"/>
  <c r="CB89" i="3"/>
  <c r="AH307" i="33" s="1"/>
  <c r="AI307" i="33" s="1"/>
  <c r="BZ89" i="3"/>
  <c r="CA89" i="3"/>
  <c r="BR89" i="3"/>
  <c r="AA307" i="33" s="1"/>
  <c r="AB307" i="33" s="1"/>
  <c r="BP89" i="3"/>
  <c r="BQ89" i="3"/>
  <c r="BH89" i="3"/>
  <c r="T307" i="33" s="1"/>
  <c r="U307" i="33" s="1"/>
  <c r="BF89" i="3"/>
  <c r="BG89" i="3"/>
  <c r="CB88" i="3"/>
  <c r="AH306" i="33" s="1"/>
  <c r="AI306" i="33" s="1"/>
  <c r="BZ88" i="3"/>
  <c r="CA88" i="3"/>
  <c r="BR88" i="3"/>
  <c r="AA306" i="33" s="1"/>
  <c r="AB306" i="33" s="1"/>
  <c r="BP88" i="3"/>
  <c r="BQ88" i="3"/>
  <c r="BH88" i="3"/>
  <c r="T306" i="33" s="1"/>
  <c r="U306" i="33" s="1"/>
  <c r="BF88" i="3"/>
  <c r="BG88" i="3"/>
  <c r="CB87" i="3"/>
  <c r="AH305" i="33" s="1"/>
  <c r="AI305" i="33" s="1"/>
  <c r="BZ87" i="3"/>
  <c r="CA87" i="3"/>
  <c r="BR87" i="3"/>
  <c r="AA305" i="33" s="1"/>
  <c r="AB305" i="33" s="1"/>
  <c r="AC305" i="33" s="1"/>
  <c r="BP87" i="3"/>
  <c r="BQ87" i="3"/>
  <c r="BH87" i="3"/>
  <c r="T305" i="33" s="1"/>
  <c r="U305" i="33" s="1"/>
  <c r="BF87" i="3"/>
  <c r="BG87" i="3"/>
  <c r="CB86" i="3"/>
  <c r="AH304" i="33" s="1"/>
  <c r="AI304" i="33" s="1"/>
  <c r="BZ86" i="3"/>
  <c r="CA86" i="3"/>
  <c r="BR86" i="3"/>
  <c r="AA304" i="33" s="1"/>
  <c r="AB304" i="33" s="1"/>
  <c r="AC304" i="33" s="1"/>
  <c r="BP86" i="3"/>
  <c r="BQ86" i="3"/>
  <c r="BH86" i="3"/>
  <c r="T304" i="33" s="1"/>
  <c r="U304" i="33" s="1"/>
  <c r="V304" i="33" s="1"/>
  <c r="BG86" i="3"/>
  <c r="BF86" i="3"/>
  <c r="CB85" i="3"/>
  <c r="AH303" i="33" s="1"/>
  <c r="AI303" i="33" s="1"/>
  <c r="BZ85" i="3"/>
  <c r="CA85" i="3"/>
  <c r="BR85" i="3"/>
  <c r="AA303" i="33" s="1"/>
  <c r="AB303" i="33" s="1"/>
  <c r="AC303" i="33" s="1"/>
  <c r="BP85" i="3"/>
  <c r="BQ85" i="3"/>
  <c r="BH85" i="3"/>
  <c r="T303" i="33" s="1"/>
  <c r="U303" i="33" s="1"/>
  <c r="BG85" i="3"/>
  <c r="BF85" i="3"/>
  <c r="CB84" i="3"/>
  <c r="AH302" i="33" s="1"/>
  <c r="AI302" i="33" s="1"/>
  <c r="BZ84" i="3"/>
  <c r="CA84" i="3"/>
  <c r="AE94" i="33" s="1"/>
  <c r="BR84" i="3"/>
  <c r="AA302" i="33" s="1"/>
  <c r="AB302" i="33" s="1"/>
  <c r="AC302" i="33" s="1"/>
  <c r="BQ84" i="3"/>
  <c r="X94" i="33" s="1"/>
  <c r="BP84" i="3"/>
  <c r="BH84" i="3"/>
  <c r="T302" i="33" s="1"/>
  <c r="U302" i="33" s="1"/>
  <c r="V302" i="33" s="1"/>
  <c r="BF84" i="3"/>
  <c r="CB83" i="3"/>
  <c r="AH301" i="33" s="1"/>
  <c r="AI301" i="33" s="1"/>
  <c r="BZ83" i="3"/>
  <c r="CA83" i="3"/>
  <c r="AE93" i="33" s="1"/>
  <c r="BR83" i="3"/>
  <c r="AA301" i="33" s="1"/>
  <c r="AB301" i="33" s="1"/>
  <c r="AC301" i="33" s="1"/>
  <c r="BP83" i="3"/>
  <c r="BQ83" i="3"/>
  <c r="X93" i="33" s="1"/>
  <c r="BH83" i="3"/>
  <c r="T301" i="33" s="1"/>
  <c r="U301" i="33" s="1"/>
  <c r="V301" i="33" s="1"/>
  <c r="BF83" i="3"/>
  <c r="CB82" i="3"/>
  <c r="AH300" i="33" s="1"/>
  <c r="AI300" i="33" s="1"/>
  <c r="BZ82" i="3"/>
  <c r="CA82" i="3"/>
  <c r="AE92" i="33" s="1"/>
  <c r="BR82" i="3"/>
  <c r="AA300" i="33" s="1"/>
  <c r="AB300" i="33" s="1"/>
  <c r="AC300" i="33" s="1"/>
  <c r="BP82" i="3"/>
  <c r="BQ82" i="3"/>
  <c r="X92" i="33" s="1"/>
  <c r="BH82" i="3"/>
  <c r="T300" i="33" s="1"/>
  <c r="U300" i="33" s="1"/>
  <c r="V300" i="33" s="1"/>
  <c r="BF82" i="3"/>
  <c r="CB81" i="3"/>
  <c r="AH299" i="33" s="1"/>
  <c r="AI299" i="33" s="1"/>
  <c r="BZ81" i="3"/>
  <c r="BR81" i="3"/>
  <c r="AA299" i="33" s="1"/>
  <c r="AB299" i="33" s="1"/>
  <c r="BP81" i="3"/>
  <c r="BQ81" i="3"/>
  <c r="X91" i="33" s="1"/>
  <c r="BH81" i="3"/>
  <c r="T299" i="33" s="1"/>
  <c r="U299" i="33" s="1"/>
  <c r="BF81" i="3"/>
  <c r="BG81" i="3"/>
  <c r="Q91" i="33" s="1"/>
  <c r="CB80" i="3"/>
  <c r="AH298" i="33" s="1"/>
  <c r="AI298" i="33" s="1"/>
  <c r="BZ80" i="3"/>
  <c r="CA80" i="3"/>
  <c r="AE90" i="33" s="1"/>
  <c r="BR80" i="3"/>
  <c r="AA298" i="33" s="1"/>
  <c r="AB298" i="33" s="1"/>
  <c r="AC298" i="33" s="1"/>
  <c r="BP80" i="3"/>
  <c r="BH80" i="3"/>
  <c r="T298" i="33" s="1"/>
  <c r="U298" i="33" s="1"/>
  <c r="BF80" i="3"/>
  <c r="BG80" i="3"/>
  <c r="Q90" i="33" s="1"/>
  <c r="CB79" i="3"/>
  <c r="AH297" i="33" s="1"/>
  <c r="AI297" i="33" s="1"/>
  <c r="BZ79" i="3"/>
  <c r="BR79" i="3"/>
  <c r="AA297" i="33" s="1"/>
  <c r="AB297" i="33" s="1"/>
  <c r="BP79" i="3"/>
  <c r="BQ79" i="3"/>
  <c r="X89" i="33" s="1"/>
  <c r="BH79" i="3"/>
  <c r="T297" i="33" s="1"/>
  <c r="U297" i="33" s="1"/>
  <c r="BF79" i="3"/>
  <c r="BG79" i="3"/>
  <c r="Q89" i="33" s="1"/>
  <c r="CB78" i="3"/>
  <c r="AH296" i="33" s="1"/>
  <c r="AI296" i="33" s="1"/>
  <c r="CA78" i="3"/>
  <c r="AE88" i="33" s="1"/>
  <c r="BZ78" i="3"/>
  <c r="BR78" i="3"/>
  <c r="AA296" i="33" s="1"/>
  <c r="AB296" i="33" s="1"/>
  <c r="AC296" i="33" s="1"/>
  <c r="BP78" i="3"/>
  <c r="BH78" i="3"/>
  <c r="T296" i="33" s="1"/>
  <c r="U296" i="33" s="1"/>
  <c r="BG78" i="3"/>
  <c r="Q88" i="33" s="1"/>
  <c r="BF78" i="3"/>
  <c r="CB77" i="3"/>
  <c r="AH295" i="33" s="1"/>
  <c r="AI295" i="33" s="1"/>
  <c r="BZ77" i="3"/>
  <c r="CA77" i="3"/>
  <c r="AE87" i="33" s="1"/>
  <c r="BR77" i="3"/>
  <c r="AA295" i="33" s="1"/>
  <c r="AB295" i="33" s="1"/>
  <c r="AC295" i="33" s="1"/>
  <c r="BP77" i="3"/>
  <c r="BQ77" i="3"/>
  <c r="X87" i="33" s="1"/>
  <c r="BH77" i="3"/>
  <c r="T295" i="33" s="1"/>
  <c r="U295" i="33" s="1"/>
  <c r="V295" i="33" s="1"/>
  <c r="BF77" i="3"/>
  <c r="CB76" i="3"/>
  <c r="AH294" i="33" s="1"/>
  <c r="AI294" i="33" s="1"/>
  <c r="BZ76" i="3"/>
  <c r="CA76" i="3"/>
  <c r="AE86" i="33" s="1"/>
  <c r="BR76" i="3"/>
  <c r="AA294" i="33" s="1"/>
  <c r="AB294" i="33" s="1"/>
  <c r="AC294" i="33" s="1"/>
  <c r="BP76" i="3"/>
  <c r="BH76" i="3"/>
  <c r="T294" i="33" s="1"/>
  <c r="U294" i="33" s="1"/>
  <c r="BF76" i="3"/>
  <c r="BG76" i="3"/>
  <c r="Q86" i="33" s="1"/>
  <c r="AN91" i="3"/>
  <c r="BV91" i="3" s="1"/>
  <c r="AN84" i="3"/>
  <c r="BL84" i="3" s="1"/>
  <c r="AN83" i="3"/>
  <c r="BL83" i="3" s="1"/>
  <c r="AN82" i="3"/>
  <c r="BL82" i="3" s="1"/>
  <c r="AN81" i="3"/>
  <c r="BL81" i="3" s="1"/>
  <c r="AN80" i="3"/>
  <c r="BL80" i="3" s="1"/>
  <c r="AN79" i="3"/>
  <c r="BL79" i="3" s="1"/>
  <c r="AN78" i="3"/>
  <c r="BL78" i="3" s="1"/>
  <c r="AN77" i="3"/>
  <c r="BV77" i="3" s="1"/>
  <c r="AN76" i="3"/>
  <c r="BV76" i="3" s="1"/>
  <c r="CK74" i="3"/>
  <c r="AF292" i="33" s="1"/>
  <c r="AG292" i="33" s="1"/>
  <c r="CJ74" i="3"/>
  <c r="Y84" i="33" s="1"/>
  <c r="CI74" i="3"/>
  <c r="Y292" i="33" s="1"/>
  <c r="CH74" i="3"/>
  <c r="R84" i="33" s="1"/>
  <c r="CG74" i="3"/>
  <c r="R292" i="33" s="1"/>
  <c r="CF74" i="3"/>
  <c r="K84" i="33" s="1"/>
  <c r="CE74" i="3"/>
  <c r="K292" i="33" s="1"/>
  <c r="CB74" i="3"/>
  <c r="AH292" i="33" s="1"/>
  <c r="AI292" i="33" s="1"/>
  <c r="BZ74" i="3"/>
  <c r="BR74" i="3"/>
  <c r="AA292" i="33" s="1"/>
  <c r="AB292" i="33" s="1"/>
  <c r="BQ74" i="3"/>
  <c r="X84" i="33" s="1"/>
  <c r="BP74" i="3"/>
  <c r="BH74" i="3"/>
  <c r="T292" i="33" s="1"/>
  <c r="U292" i="33" s="1"/>
  <c r="BG74" i="3"/>
  <c r="Q84" i="33" s="1"/>
  <c r="BF74" i="3"/>
  <c r="AX74" i="3"/>
  <c r="M292" i="33" s="1"/>
  <c r="N292" i="33" s="1"/>
  <c r="AW74" i="3"/>
  <c r="J84" i="33" s="1"/>
  <c r="AV74" i="3"/>
  <c r="CK73" i="3"/>
  <c r="AF257" i="33" s="1"/>
  <c r="CI73" i="3"/>
  <c r="Y257" i="33" s="1"/>
  <c r="Z257" i="33" s="1"/>
  <c r="CH73" i="3"/>
  <c r="R83" i="33" s="1"/>
  <c r="CG73" i="3"/>
  <c r="R257" i="33" s="1"/>
  <c r="CF73" i="3"/>
  <c r="K83" i="33" s="1"/>
  <c r="CE73" i="3"/>
  <c r="K257" i="33" s="1"/>
  <c r="CB73" i="3"/>
  <c r="AH257" i="33" s="1"/>
  <c r="AI257" i="33" s="1"/>
  <c r="CA73" i="3"/>
  <c r="AE83" i="33" s="1"/>
  <c r="BZ73" i="3"/>
  <c r="CL73" i="3"/>
  <c r="AF83" i="33" s="1"/>
  <c r="BR73" i="3"/>
  <c r="AA257" i="33" s="1"/>
  <c r="AB257" i="33" s="1"/>
  <c r="AC257" i="33" s="1"/>
  <c r="BP73" i="3"/>
  <c r="BH73" i="3"/>
  <c r="T257" i="33" s="1"/>
  <c r="U257" i="33" s="1"/>
  <c r="BG73" i="3"/>
  <c r="Q83" i="33" s="1"/>
  <c r="BF73" i="3"/>
  <c r="AX73" i="3"/>
  <c r="M257" i="33" s="1"/>
  <c r="N257" i="33" s="1"/>
  <c r="AW73" i="3"/>
  <c r="J83" i="33" s="1"/>
  <c r="AV73" i="3"/>
  <c r="AO74" i="3"/>
  <c r="BI74" i="3" s="1"/>
  <c r="T84" i="33" s="1"/>
  <c r="U84" i="33" s="1"/>
  <c r="AN74" i="3"/>
  <c r="AR74" i="3" s="1"/>
  <c r="AO73" i="3"/>
  <c r="AY73" i="3" s="1"/>
  <c r="M83" i="33" s="1"/>
  <c r="N83" i="33" s="1"/>
  <c r="AN73" i="3"/>
  <c r="BL73" i="3" s="1"/>
  <c r="CK72" i="3"/>
  <c r="AF256" i="33" s="1"/>
  <c r="AG256" i="33" s="1"/>
  <c r="CJ72" i="3"/>
  <c r="Y82" i="33" s="1"/>
  <c r="CI72" i="3"/>
  <c r="Y256" i="33" s="1"/>
  <c r="CH72" i="3"/>
  <c r="R82" i="33" s="1"/>
  <c r="CG72" i="3"/>
  <c r="R256" i="33" s="1"/>
  <c r="CF72" i="3"/>
  <c r="K82" i="33" s="1"/>
  <c r="CE72" i="3"/>
  <c r="K256" i="33" s="1"/>
  <c r="CB72" i="3"/>
  <c r="AH256" i="33" s="1"/>
  <c r="AI256" i="33" s="1"/>
  <c r="BZ72" i="3"/>
  <c r="BR72" i="3"/>
  <c r="AA256" i="33" s="1"/>
  <c r="AB256" i="33" s="1"/>
  <c r="BQ72" i="3"/>
  <c r="X82" i="33" s="1"/>
  <c r="BP72" i="3"/>
  <c r="BH72" i="3"/>
  <c r="T256" i="33" s="1"/>
  <c r="U256" i="33" s="1"/>
  <c r="BG72" i="3"/>
  <c r="Q82" i="33" s="1"/>
  <c r="BF72" i="3"/>
  <c r="AX72" i="3"/>
  <c r="M256" i="33" s="1"/>
  <c r="N256" i="33" s="1"/>
  <c r="AW72" i="3"/>
  <c r="J82" i="33" s="1"/>
  <c r="AV72" i="3"/>
  <c r="AO72" i="3"/>
  <c r="BW72" i="3" s="1"/>
  <c r="AN72" i="3"/>
  <c r="BL72" i="3" s="1"/>
  <c r="BW55" i="3"/>
  <c r="CA55" i="3" s="1"/>
  <c r="AE65" i="33" s="1"/>
  <c r="BM55" i="3"/>
  <c r="BC55" i="3"/>
  <c r="CK67" i="3"/>
  <c r="AF251" i="33" s="1"/>
  <c r="AG251" i="33" s="1"/>
  <c r="CI67" i="3"/>
  <c r="Y251" i="33" s="1"/>
  <c r="Z251" i="33" s="1"/>
  <c r="CG67" i="3"/>
  <c r="R251" i="33" s="1"/>
  <c r="S251" i="33" s="1"/>
  <c r="CE67" i="3"/>
  <c r="K251" i="33" s="1"/>
  <c r="L251" i="33" s="1"/>
  <c r="CB67" i="3"/>
  <c r="AH251" i="33" s="1"/>
  <c r="AI251" i="33" s="1"/>
  <c r="BZ67" i="3"/>
  <c r="BR67" i="3"/>
  <c r="AA251" i="33" s="1"/>
  <c r="AB251" i="33" s="1"/>
  <c r="AC251" i="33" s="1"/>
  <c r="BP67" i="3"/>
  <c r="BH67" i="3"/>
  <c r="T251" i="33" s="1"/>
  <c r="U251" i="33" s="1"/>
  <c r="V251" i="33" s="1"/>
  <c r="BF67" i="3"/>
  <c r="AX67" i="3"/>
  <c r="M251" i="33" s="1"/>
  <c r="AV67" i="3"/>
  <c r="CK71" i="3"/>
  <c r="AF255" i="33" s="1"/>
  <c r="AG255" i="33" s="1"/>
  <c r="CI71" i="3"/>
  <c r="Y255" i="33" s="1"/>
  <c r="CG71" i="3"/>
  <c r="R255" i="33" s="1"/>
  <c r="CE71" i="3"/>
  <c r="K255" i="33" s="1"/>
  <c r="CB71" i="3"/>
  <c r="AH255" i="33" s="1"/>
  <c r="AI255" i="33" s="1"/>
  <c r="BZ71" i="3"/>
  <c r="BR71" i="3"/>
  <c r="AA255" i="33" s="1"/>
  <c r="AB255" i="33" s="1"/>
  <c r="BP71" i="3"/>
  <c r="BH71" i="3"/>
  <c r="T255" i="33" s="1"/>
  <c r="U255" i="33" s="1"/>
  <c r="BF71" i="3"/>
  <c r="AX71" i="3"/>
  <c r="M255" i="33" s="1"/>
  <c r="N255" i="33" s="1"/>
  <c r="AV71" i="3"/>
  <c r="CK70" i="3"/>
  <c r="AF254" i="33" s="1"/>
  <c r="AG254" i="33" s="1"/>
  <c r="CI70" i="3"/>
  <c r="Y254" i="33" s="1"/>
  <c r="CG70" i="3"/>
  <c r="R254" i="33" s="1"/>
  <c r="CE70" i="3"/>
  <c r="K254" i="33" s="1"/>
  <c r="CB70" i="3"/>
  <c r="AH254" i="33" s="1"/>
  <c r="AI254" i="33" s="1"/>
  <c r="BZ70" i="3"/>
  <c r="BR70" i="3"/>
  <c r="AA254" i="33" s="1"/>
  <c r="AB254" i="33" s="1"/>
  <c r="BP70" i="3"/>
  <c r="BH70" i="3"/>
  <c r="T254" i="33" s="1"/>
  <c r="U254" i="33" s="1"/>
  <c r="BF70" i="3"/>
  <c r="AX70" i="3"/>
  <c r="M254" i="33" s="1"/>
  <c r="N254" i="33" s="1"/>
  <c r="AV70" i="3"/>
  <c r="CK69" i="3"/>
  <c r="AF253" i="33" s="1"/>
  <c r="CI69" i="3"/>
  <c r="Y253" i="33" s="1"/>
  <c r="CG69" i="3"/>
  <c r="R253" i="33" s="1"/>
  <c r="S253" i="33" s="1"/>
  <c r="CE69" i="3"/>
  <c r="K253" i="33" s="1"/>
  <c r="CB69" i="3"/>
  <c r="AH253" i="33" s="1"/>
  <c r="AI253" i="33" s="1"/>
  <c r="BZ69" i="3"/>
  <c r="BR69" i="3"/>
  <c r="AA253" i="33" s="1"/>
  <c r="AB253" i="33" s="1"/>
  <c r="AC253" i="33" s="1"/>
  <c r="BP69" i="3"/>
  <c r="BH69" i="3"/>
  <c r="T253" i="33" s="1"/>
  <c r="U253" i="33" s="1"/>
  <c r="V253" i="33" s="1"/>
  <c r="BF69" i="3"/>
  <c r="AX69" i="3"/>
  <c r="M253" i="33" s="1"/>
  <c r="N253" i="33" s="1"/>
  <c r="AV69" i="3"/>
  <c r="CK68" i="3"/>
  <c r="AF252" i="33" s="1"/>
  <c r="AG252" i="33" s="1"/>
  <c r="CI68" i="3"/>
  <c r="Y252" i="33" s="1"/>
  <c r="Z252" i="33" s="1"/>
  <c r="CG68" i="3"/>
  <c r="R252" i="33" s="1"/>
  <c r="S252" i="33" s="1"/>
  <c r="CE68" i="3"/>
  <c r="K252" i="33" s="1"/>
  <c r="L252" i="33" s="1"/>
  <c r="CB68" i="3"/>
  <c r="AH252" i="33" s="1"/>
  <c r="AI252" i="33" s="1"/>
  <c r="BZ68" i="3"/>
  <c r="BR68" i="3"/>
  <c r="AA252" i="33" s="1"/>
  <c r="AB252" i="33" s="1"/>
  <c r="AC252" i="33" s="1"/>
  <c r="BP68" i="3"/>
  <c r="BH68" i="3"/>
  <c r="T252" i="33" s="1"/>
  <c r="U252" i="33" s="1"/>
  <c r="V252" i="33" s="1"/>
  <c r="BF68" i="3"/>
  <c r="AX68" i="3"/>
  <c r="M252" i="33" s="1"/>
  <c r="AV68" i="3"/>
  <c r="CK66" i="3"/>
  <c r="AF250" i="33" s="1"/>
  <c r="CI66" i="3"/>
  <c r="Y250" i="33" s="1"/>
  <c r="Z250" i="33" s="1"/>
  <c r="CG66" i="3"/>
  <c r="R250" i="33" s="1"/>
  <c r="CE66" i="3"/>
  <c r="K250" i="33" s="1"/>
  <c r="CB66" i="3"/>
  <c r="AH250" i="33" s="1"/>
  <c r="AI250" i="33" s="1"/>
  <c r="BZ66" i="3"/>
  <c r="BR66" i="3"/>
  <c r="AA250" i="33" s="1"/>
  <c r="AB250" i="33" s="1"/>
  <c r="AC250" i="33" s="1"/>
  <c r="BP66" i="3"/>
  <c r="BH66" i="3"/>
  <c r="T250" i="33" s="1"/>
  <c r="U250" i="33" s="1"/>
  <c r="BF66" i="3"/>
  <c r="AX66" i="3"/>
  <c r="M250" i="33" s="1"/>
  <c r="N250" i="33" s="1"/>
  <c r="AV66" i="3"/>
  <c r="CK65" i="3"/>
  <c r="AF249" i="33" s="1"/>
  <c r="CI65" i="3"/>
  <c r="Y249" i="33" s="1"/>
  <c r="CG65" i="3"/>
  <c r="R249" i="33" s="1"/>
  <c r="S249" i="33" s="1"/>
  <c r="CE65" i="3"/>
  <c r="K249" i="33" s="1"/>
  <c r="CB65" i="3"/>
  <c r="AH249" i="33" s="1"/>
  <c r="AI249" i="33" s="1"/>
  <c r="BZ65" i="3"/>
  <c r="BR65" i="3"/>
  <c r="AA249" i="33" s="1"/>
  <c r="AB249" i="33" s="1"/>
  <c r="AC249" i="33" s="1"/>
  <c r="BP65" i="3"/>
  <c r="BH65" i="3"/>
  <c r="T249" i="33" s="1"/>
  <c r="U249" i="33" s="1"/>
  <c r="V249" i="33" s="1"/>
  <c r="BF65" i="3"/>
  <c r="AX65" i="3"/>
  <c r="M249" i="33" s="1"/>
  <c r="N249" i="33" s="1"/>
  <c r="AV65" i="3"/>
  <c r="CK64" i="3"/>
  <c r="AF291" i="33" s="1"/>
  <c r="AG291" i="33" s="1"/>
  <c r="CI64" i="3"/>
  <c r="Y291" i="33" s="1"/>
  <c r="Z291" i="33" s="1"/>
  <c r="CG64" i="3"/>
  <c r="R291" i="33" s="1"/>
  <c r="S291" i="33" s="1"/>
  <c r="CE64" i="3"/>
  <c r="K291" i="33" s="1"/>
  <c r="L291" i="33" s="1"/>
  <c r="CB64" i="3"/>
  <c r="AH291" i="33" s="1"/>
  <c r="AI291" i="33" s="1"/>
  <c r="BZ64" i="3"/>
  <c r="BR64" i="3"/>
  <c r="AA291" i="33" s="1"/>
  <c r="AB291" i="33" s="1"/>
  <c r="AC291" i="33" s="1"/>
  <c r="BP64" i="3"/>
  <c r="BH64" i="3"/>
  <c r="T291" i="33" s="1"/>
  <c r="U291" i="33" s="1"/>
  <c r="V291" i="33" s="1"/>
  <c r="BF64" i="3"/>
  <c r="AX64" i="3"/>
  <c r="M291" i="33" s="1"/>
  <c r="N291" i="33" s="1"/>
  <c r="O291" i="33" s="1"/>
  <c r="AV64" i="3"/>
  <c r="CK63" i="3"/>
  <c r="AF167" i="33" s="1"/>
  <c r="AG167" i="33" s="1"/>
  <c r="CI63" i="3"/>
  <c r="Y167" i="33" s="1"/>
  <c r="CG63" i="3"/>
  <c r="R167" i="33" s="1"/>
  <c r="CE63" i="3"/>
  <c r="K167" i="33" s="1"/>
  <c r="CB63" i="3"/>
  <c r="AH167" i="33" s="1"/>
  <c r="AI167" i="33" s="1"/>
  <c r="BZ63" i="3"/>
  <c r="BR63" i="3"/>
  <c r="AA167" i="33" s="1"/>
  <c r="AB167" i="33" s="1"/>
  <c r="BP63" i="3"/>
  <c r="BH63" i="3"/>
  <c r="T167" i="33" s="1"/>
  <c r="U167" i="33" s="1"/>
  <c r="BF63" i="3"/>
  <c r="AX63" i="3"/>
  <c r="M167" i="33" s="1"/>
  <c r="N167" i="33" s="1"/>
  <c r="AV63" i="3"/>
  <c r="CK62" i="3"/>
  <c r="AF290" i="33" s="1"/>
  <c r="CI62" i="3"/>
  <c r="Y290" i="33" s="1"/>
  <c r="CG62" i="3"/>
  <c r="R290" i="33" s="1"/>
  <c r="CE62" i="3"/>
  <c r="K290" i="33" s="1"/>
  <c r="L290" i="33" s="1"/>
  <c r="CB62" i="3"/>
  <c r="AH290" i="33" s="1"/>
  <c r="AI290" i="33" s="1"/>
  <c r="BZ62" i="3"/>
  <c r="BR62" i="3"/>
  <c r="AA290" i="33" s="1"/>
  <c r="AB290" i="33" s="1"/>
  <c r="AC290" i="33" s="1"/>
  <c r="BP62" i="3"/>
  <c r="BH62" i="3"/>
  <c r="T290" i="33" s="1"/>
  <c r="U290" i="33" s="1"/>
  <c r="V290" i="33" s="1"/>
  <c r="BF62" i="3"/>
  <c r="AX62" i="3"/>
  <c r="M290" i="33" s="1"/>
  <c r="AV62" i="3"/>
  <c r="CK61" i="3"/>
  <c r="AF248" i="33" s="1"/>
  <c r="CI61" i="3"/>
  <c r="Y248" i="33" s="1"/>
  <c r="CG61" i="3"/>
  <c r="R248" i="33" s="1"/>
  <c r="S248" i="33" s="1"/>
  <c r="CE61" i="3"/>
  <c r="K248" i="33" s="1"/>
  <c r="CB61" i="3"/>
  <c r="AH248" i="33" s="1"/>
  <c r="AI248" i="33" s="1"/>
  <c r="BZ61" i="3"/>
  <c r="BR61" i="3"/>
  <c r="AA248" i="33" s="1"/>
  <c r="AB248" i="33" s="1"/>
  <c r="AC248" i="33" s="1"/>
  <c r="BP61" i="3"/>
  <c r="BH61" i="3"/>
  <c r="T248" i="33" s="1"/>
  <c r="U248" i="33" s="1"/>
  <c r="V248" i="33" s="1"/>
  <c r="BF61" i="3"/>
  <c r="AX61" i="3"/>
  <c r="AV61" i="3"/>
  <c r="CK60" i="3"/>
  <c r="AF247" i="33" s="1"/>
  <c r="CI60" i="3"/>
  <c r="Y247" i="33" s="1"/>
  <c r="Z247" i="33" s="1"/>
  <c r="CG60" i="3"/>
  <c r="R247" i="33" s="1"/>
  <c r="CE60" i="3"/>
  <c r="K247" i="33" s="1"/>
  <c r="CB60" i="3"/>
  <c r="AH247" i="33" s="1"/>
  <c r="AI247" i="33" s="1"/>
  <c r="BZ60" i="3"/>
  <c r="BR60" i="3"/>
  <c r="AA247" i="33" s="1"/>
  <c r="AB247" i="33" s="1"/>
  <c r="AC247" i="33" s="1"/>
  <c r="BP60" i="3"/>
  <c r="BH60" i="3"/>
  <c r="T247" i="33" s="1"/>
  <c r="U247" i="33" s="1"/>
  <c r="BF60" i="3"/>
  <c r="AX60" i="3"/>
  <c r="AV60" i="3"/>
  <c r="CK59" i="3"/>
  <c r="AF246" i="33" s="1"/>
  <c r="CI59" i="3"/>
  <c r="Y246" i="33" s="1"/>
  <c r="CG59" i="3"/>
  <c r="R246" i="33" s="1"/>
  <c r="CE59" i="3"/>
  <c r="K246" i="33" s="1"/>
  <c r="L246" i="33" s="1"/>
  <c r="CB59" i="3"/>
  <c r="AH246" i="33" s="1"/>
  <c r="AI246" i="33" s="1"/>
  <c r="BZ59" i="3"/>
  <c r="BR59" i="3"/>
  <c r="AA246" i="33" s="1"/>
  <c r="AB246" i="33" s="1"/>
  <c r="AC246" i="33" s="1"/>
  <c r="BP59" i="3"/>
  <c r="BH59" i="3"/>
  <c r="T246" i="33" s="1"/>
  <c r="U246" i="33" s="1"/>
  <c r="V246" i="33" s="1"/>
  <c r="BF59" i="3"/>
  <c r="AX59" i="3"/>
  <c r="M246" i="33" s="1"/>
  <c r="AV59" i="3"/>
  <c r="CK58" i="3"/>
  <c r="AF245" i="33" s="1"/>
  <c r="CI58" i="3"/>
  <c r="Y245" i="33" s="1"/>
  <c r="CG58" i="3"/>
  <c r="R245" i="33" s="1"/>
  <c r="CE58" i="3"/>
  <c r="K245" i="33" s="1"/>
  <c r="CB58" i="3"/>
  <c r="AH245" i="33" s="1"/>
  <c r="AI245" i="33" s="1"/>
  <c r="BZ58" i="3"/>
  <c r="BR58" i="3"/>
  <c r="AA245" i="33" s="1"/>
  <c r="AB245" i="33" s="1"/>
  <c r="AC245" i="33" s="1"/>
  <c r="BP58" i="3"/>
  <c r="BH58" i="3"/>
  <c r="T245" i="33" s="1"/>
  <c r="U245" i="33" s="1"/>
  <c r="V245" i="33" s="1"/>
  <c r="BF58" i="3"/>
  <c r="AX58" i="3"/>
  <c r="M245" i="33" s="1"/>
  <c r="AV58" i="3"/>
  <c r="CK57" i="3"/>
  <c r="AF244" i="33" s="1"/>
  <c r="AG244" i="33" s="1"/>
  <c r="CI57" i="3"/>
  <c r="Y244" i="33" s="1"/>
  <c r="CG57" i="3"/>
  <c r="R244" i="33" s="1"/>
  <c r="CE57" i="3"/>
  <c r="K244" i="33" s="1"/>
  <c r="CB57" i="3"/>
  <c r="AH244" i="33" s="1"/>
  <c r="AI244" i="33" s="1"/>
  <c r="BZ57" i="3"/>
  <c r="BR57" i="3"/>
  <c r="AA244" i="33" s="1"/>
  <c r="AB244" i="33" s="1"/>
  <c r="AC244" i="33" s="1"/>
  <c r="BP57" i="3"/>
  <c r="BH57" i="3"/>
  <c r="T244" i="33" s="1"/>
  <c r="U244" i="33" s="1"/>
  <c r="V244" i="33" s="1"/>
  <c r="BF57" i="3"/>
  <c r="AX57" i="3"/>
  <c r="M244" i="33" s="1"/>
  <c r="AV57" i="3"/>
  <c r="CK56" i="3"/>
  <c r="AF243" i="33" s="1"/>
  <c r="CI56" i="3"/>
  <c r="Y243" i="33" s="1"/>
  <c r="Z243" i="33" s="1"/>
  <c r="CG56" i="3"/>
  <c r="R243" i="33" s="1"/>
  <c r="CE56" i="3"/>
  <c r="K243" i="33" s="1"/>
  <c r="CB56" i="3"/>
  <c r="AH243" i="33" s="1"/>
  <c r="AI243" i="33" s="1"/>
  <c r="BZ56" i="3"/>
  <c r="BR56" i="3"/>
  <c r="AA243" i="33" s="1"/>
  <c r="AB243" i="33" s="1"/>
  <c r="AC243" i="33" s="1"/>
  <c r="BP56" i="3"/>
  <c r="BH56" i="3"/>
  <c r="T243" i="33" s="1"/>
  <c r="U243" i="33" s="1"/>
  <c r="BF56" i="3"/>
  <c r="AX56" i="3"/>
  <c r="M243" i="33" s="1"/>
  <c r="N243" i="33" s="1"/>
  <c r="AV56" i="3"/>
  <c r="AN71" i="3"/>
  <c r="BB71" i="3" s="1"/>
  <c r="AN70" i="3"/>
  <c r="BB70" i="3" s="1"/>
  <c r="AN69" i="3"/>
  <c r="BB69" i="3" s="1"/>
  <c r="AN68" i="3"/>
  <c r="BB68" i="3" s="1"/>
  <c r="AN67" i="3"/>
  <c r="BB67" i="3" s="1"/>
  <c r="AN66" i="3"/>
  <c r="BB66" i="3" s="1"/>
  <c r="AN65" i="3"/>
  <c r="BB65" i="3" s="1"/>
  <c r="AN64" i="3"/>
  <c r="BB64" i="3" s="1"/>
  <c r="AN63" i="3"/>
  <c r="BB63" i="3" s="1"/>
  <c r="AN62" i="3"/>
  <c r="BB62" i="3" s="1"/>
  <c r="AN61" i="3"/>
  <c r="BB61" i="3" s="1"/>
  <c r="AN60" i="3"/>
  <c r="BB60" i="3" s="1"/>
  <c r="AN59" i="3"/>
  <c r="BB59" i="3" s="1"/>
  <c r="AN58" i="3"/>
  <c r="BB58" i="3" s="1"/>
  <c r="AN57" i="3"/>
  <c r="BB57" i="3" s="1"/>
  <c r="AN56" i="3"/>
  <c r="BB56" i="3" s="1"/>
  <c r="M247" i="33" l="1"/>
  <c r="N247" i="33" s="1"/>
  <c r="F11" i="38"/>
  <c r="G11" i="38"/>
  <c r="E11" i="38"/>
  <c r="D11" i="38"/>
  <c r="H11" i="38"/>
  <c r="P10" i="38"/>
  <c r="AP10" i="38"/>
  <c r="P11" i="38"/>
  <c r="AC11" i="38"/>
  <c r="AP11" i="38"/>
  <c r="AC10" i="38"/>
  <c r="N106" i="33"/>
  <c r="O106" i="33" s="1"/>
  <c r="N244" i="33"/>
  <c r="N246" i="33"/>
  <c r="O246" i="33" s="1"/>
  <c r="N252" i="33"/>
  <c r="O252" i="33" s="1"/>
  <c r="N251" i="33"/>
  <c r="O251" i="33" s="1"/>
  <c r="N331" i="33"/>
  <c r="O331" i="33" s="1"/>
  <c r="N309" i="33"/>
  <c r="O309" i="33" s="1"/>
  <c r="N322" i="33"/>
  <c r="O322" i="33" s="1"/>
  <c r="N245" i="33"/>
  <c r="N290" i="33"/>
  <c r="O290" i="33" s="1"/>
  <c r="CH109" i="3"/>
  <c r="R111" i="33" s="1"/>
  <c r="S111" i="33" s="1"/>
  <c r="CM109" i="3"/>
  <c r="CL114" i="3"/>
  <c r="AF116" i="33" s="1"/>
  <c r="CM114" i="3"/>
  <c r="BQ76" i="3"/>
  <c r="X86" i="33" s="1"/>
  <c r="CM76" i="3"/>
  <c r="BG84" i="3"/>
  <c r="Q94" i="33" s="1"/>
  <c r="CM84" i="3"/>
  <c r="CJ107" i="3"/>
  <c r="Y109" i="33" s="1"/>
  <c r="Z109" i="33" s="1"/>
  <c r="CM107" i="3"/>
  <c r="CL115" i="3"/>
  <c r="AF117" i="33" s="1"/>
  <c r="CM115" i="3"/>
  <c r="CJ108" i="3"/>
  <c r="Y110" i="33" s="1"/>
  <c r="Z110" i="33" s="1"/>
  <c r="CM108" i="3"/>
  <c r="CL97" i="3"/>
  <c r="AF99" i="33" s="1"/>
  <c r="AG99" i="33" s="1"/>
  <c r="BQ78" i="3"/>
  <c r="X88" i="33" s="1"/>
  <c r="CM78" i="3"/>
  <c r="CF104" i="3"/>
  <c r="K106" i="33" s="1"/>
  <c r="L106" i="33" s="1"/>
  <c r="CM104" i="3"/>
  <c r="CH93" i="3"/>
  <c r="R95" i="33" s="1"/>
  <c r="S95" i="33" s="1"/>
  <c r="CJ95" i="3"/>
  <c r="Y97" i="33" s="1"/>
  <c r="Z97" i="33" s="1"/>
  <c r="CL99" i="3"/>
  <c r="AF101" i="33" s="1"/>
  <c r="AG101" i="33" s="1"/>
  <c r="CM99" i="3"/>
  <c r="CA72" i="3"/>
  <c r="AE82" i="33" s="1"/>
  <c r="CM72" i="3"/>
  <c r="CA79" i="3"/>
  <c r="AE89" i="33" s="1"/>
  <c r="CM79" i="3"/>
  <c r="BC113" i="3"/>
  <c r="BG113" i="3" s="1"/>
  <c r="Q115" i="33" s="1"/>
  <c r="BG94" i="3"/>
  <c r="Q96" i="33" s="1"/>
  <c r="CJ96" i="3"/>
  <c r="Y98" i="33" s="1"/>
  <c r="Z98" i="33" s="1"/>
  <c r="CL100" i="3"/>
  <c r="AF102" i="33" s="1"/>
  <c r="AG102" i="33" s="1"/>
  <c r="CM100" i="3"/>
  <c r="BQ80" i="3"/>
  <c r="X90" i="33" s="1"/>
  <c r="CM80" i="3"/>
  <c r="BG102" i="3"/>
  <c r="Q104" i="33" s="1"/>
  <c r="CM102" i="3"/>
  <c r="CJ98" i="3"/>
  <c r="Y100" i="33" s="1"/>
  <c r="Z100" i="33" s="1"/>
  <c r="CM98" i="3"/>
  <c r="BG106" i="3"/>
  <c r="Q108" i="33" s="1"/>
  <c r="CM106" i="3"/>
  <c r="CH103" i="3"/>
  <c r="R105" i="33" s="1"/>
  <c r="S105" i="33" s="1"/>
  <c r="CM103" i="3"/>
  <c r="CJ101" i="3"/>
  <c r="Y103" i="33" s="1"/>
  <c r="Z103" i="33" s="1"/>
  <c r="CM101" i="3"/>
  <c r="CL105" i="3"/>
  <c r="AF107" i="33" s="1"/>
  <c r="AG107" i="33" s="1"/>
  <c r="CM105" i="3"/>
  <c r="BQ96" i="3"/>
  <c r="X98" i="33" s="1"/>
  <c r="BG103" i="3"/>
  <c r="Q105" i="33" s="1"/>
  <c r="AW104" i="3"/>
  <c r="J106" i="33" s="1"/>
  <c r="AR107" i="3"/>
  <c r="BQ108" i="3"/>
  <c r="X110" i="33" s="1"/>
  <c r="BQ106" i="3"/>
  <c r="X108" i="33" s="1"/>
  <c r="BG109" i="3"/>
  <c r="Q111" i="33" s="1"/>
  <c r="BL101" i="3"/>
  <c r="AR108" i="3"/>
  <c r="BB101" i="3"/>
  <c r="BL107" i="3"/>
  <c r="BV101" i="3"/>
  <c r="CF113" i="3"/>
  <c r="K115" i="33" s="1"/>
  <c r="L115" i="33" s="1"/>
  <c r="CA100" i="3"/>
  <c r="AE102" i="33" s="1"/>
  <c r="CA102" i="3"/>
  <c r="AE104" i="33" s="1"/>
  <c r="CA114" i="3"/>
  <c r="AE116" i="33" s="1"/>
  <c r="AR109" i="3"/>
  <c r="BB107" i="3"/>
  <c r="BL108" i="3"/>
  <c r="AR114" i="3"/>
  <c r="BB108" i="3"/>
  <c r="BL109" i="3"/>
  <c r="CH84" i="3"/>
  <c r="R94" i="33" s="1"/>
  <c r="S94" i="33" s="1"/>
  <c r="CH94" i="3"/>
  <c r="R96" i="33" s="1"/>
  <c r="S96" i="33" s="1"/>
  <c r="CH102" i="3"/>
  <c r="R104" i="33" s="1"/>
  <c r="S104" i="33" s="1"/>
  <c r="CH106" i="3"/>
  <c r="R108" i="33" s="1"/>
  <c r="S108" i="33" s="1"/>
  <c r="BB115" i="3"/>
  <c r="BI77" i="3"/>
  <c r="T87" i="33" s="1"/>
  <c r="U87" i="33" s="1"/>
  <c r="V87" i="33" s="1"/>
  <c r="AR115" i="3"/>
  <c r="AW113" i="3"/>
  <c r="J115" i="33" s="1"/>
  <c r="BB109" i="3"/>
  <c r="BL114" i="3"/>
  <c r="BQ95" i="3"/>
  <c r="X97" i="33" s="1"/>
  <c r="BQ101" i="3"/>
  <c r="X103" i="33" s="1"/>
  <c r="BQ103" i="3"/>
  <c r="X105" i="33" s="1"/>
  <c r="BQ107" i="3"/>
  <c r="X109" i="33" s="1"/>
  <c r="BQ98" i="3"/>
  <c r="X100" i="33" s="1"/>
  <c r="BB114" i="3"/>
  <c r="BL115" i="3"/>
  <c r="CJ76" i="3"/>
  <c r="Y86" i="33" s="1"/>
  <c r="Z86" i="33" s="1"/>
  <c r="CJ78" i="3"/>
  <c r="Y88" i="33" s="1"/>
  <c r="Z88" i="33" s="1"/>
  <c r="CJ80" i="3"/>
  <c r="Y90" i="33" s="1"/>
  <c r="Z90" i="33" s="1"/>
  <c r="CA97" i="3"/>
  <c r="AE99" i="33" s="1"/>
  <c r="CA99" i="3"/>
  <c r="AE101" i="33" s="1"/>
  <c r="CA105" i="3"/>
  <c r="AE107" i="33" s="1"/>
  <c r="CA109" i="3"/>
  <c r="AE111" i="33" s="1"/>
  <c r="CA115" i="3"/>
  <c r="AE117" i="33" s="1"/>
  <c r="CL79" i="3"/>
  <c r="AF89" i="33" s="1"/>
  <c r="AG89" i="33" s="1"/>
  <c r="CL92" i="3"/>
  <c r="BS92" i="3"/>
  <c r="BI81" i="3"/>
  <c r="T91" i="33" s="1"/>
  <c r="U91" i="33" s="1"/>
  <c r="BC82" i="3"/>
  <c r="CM82" i="3" s="1"/>
  <c r="BS81" i="3"/>
  <c r="AA91" i="33" s="1"/>
  <c r="AB91" i="33" s="1"/>
  <c r="CC81" i="3"/>
  <c r="AH91" i="33" s="1"/>
  <c r="AI91" i="33" s="1"/>
  <c r="BI78" i="3"/>
  <c r="T88" i="33" s="1"/>
  <c r="U88" i="33" s="1"/>
  <c r="BS82" i="3"/>
  <c r="AA92" i="33" s="1"/>
  <c r="AB92" i="33" s="1"/>
  <c r="AC92" i="33" s="1"/>
  <c r="AY90" i="3"/>
  <c r="BS80" i="3"/>
  <c r="AA90" i="33" s="1"/>
  <c r="AB90" i="33" s="1"/>
  <c r="AC90" i="33" s="1"/>
  <c r="BI89" i="3"/>
  <c r="BI92" i="3"/>
  <c r="BS88" i="3"/>
  <c r="BI86" i="3"/>
  <c r="BI90" i="3"/>
  <c r="CC90" i="3"/>
  <c r="BI82" i="3"/>
  <c r="T92" i="33" s="1"/>
  <c r="U92" i="33" s="1"/>
  <c r="V92" i="33" s="1"/>
  <c r="CC82" i="3"/>
  <c r="AH92" i="33" s="1"/>
  <c r="AI92" i="33" s="1"/>
  <c r="BL74" i="3"/>
  <c r="CC83" i="3"/>
  <c r="AH93" i="33" s="1"/>
  <c r="AI93" i="33" s="1"/>
  <c r="BI83" i="3"/>
  <c r="T93" i="33" s="1"/>
  <c r="U93" i="33" s="1"/>
  <c r="V93" i="33" s="1"/>
  <c r="CC89" i="3"/>
  <c r="BW81" i="3"/>
  <c r="CM81" i="3" s="1"/>
  <c r="BS72" i="3"/>
  <c r="AA82" i="33" s="1"/>
  <c r="AB82" i="33" s="1"/>
  <c r="CC76" i="3"/>
  <c r="AH86" i="33" s="1"/>
  <c r="AI86" i="33" s="1"/>
  <c r="BS78" i="3"/>
  <c r="AA88" i="33" s="1"/>
  <c r="AB88" i="33" s="1"/>
  <c r="AC88" i="33" s="1"/>
  <c r="BI79" i="3"/>
  <c r="T89" i="33" s="1"/>
  <c r="U89" i="33" s="1"/>
  <c r="CC79" i="3"/>
  <c r="AH89" i="33" s="1"/>
  <c r="AI89" i="33" s="1"/>
  <c r="BI84" i="3"/>
  <c r="T94" i="33" s="1"/>
  <c r="U94" i="33" s="1"/>
  <c r="V94" i="33" s="1"/>
  <c r="CC84" i="3"/>
  <c r="AH94" i="33" s="1"/>
  <c r="AI94" i="33" s="1"/>
  <c r="BI87" i="3"/>
  <c r="CC87" i="3"/>
  <c r="AY86" i="3"/>
  <c r="BB73" i="3"/>
  <c r="BI76" i="3"/>
  <c r="T86" i="33" s="1"/>
  <c r="U86" i="33" s="1"/>
  <c r="BS83" i="3"/>
  <c r="AA93" i="33" s="1"/>
  <c r="AB93" i="33" s="1"/>
  <c r="AC93" i="33" s="1"/>
  <c r="CC92" i="3"/>
  <c r="AY79" i="3"/>
  <c r="M89" i="33" s="1"/>
  <c r="N89" i="33" s="1"/>
  <c r="CC80" i="3"/>
  <c r="AH90" i="33" s="1"/>
  <c r="AI90" i="33" s="1"/>
  <c r="BS76" i="3"/>
  <c r="AA86" i="33" s="1"/>
  <c r="AB86" i="33" s="1"/>
  <c r="AC86" i="33" s="1"/>
  <c r="CC78" i="3"/>
  <c r="AH88" i="33" s="1"/>
  <c r="AI88" i="33" s="1"/>
  <c r="BS79" i="3"/>
  <c r="AA89" i="33" s="1"/>
  <c r="AB89" i="33" s="1"/>
  <c r="BI80" i="3"/>
  <c r="T90" i="33" s="1"/>
  <c r="U90" i="33" s="1"/>
  <c r="BS84" i="3"/>
  <c r="AA94" i="33" s="1"/>
  <c r="AB94" i="33" s="1"/>
  <c r="AC94" i="33" s="1"/>
  <c r="CC86" i="3"/>
  <c r="BS87" i="3"/>
  <c r="BI91" i="3"/>
  <c r="AY78" i="3"/>
  <c r="M88" i="33" s="1"/>
  <c r="N88" i="33" s="1"/>
  <c r="BS73" i="3"/>
  <c r="AA83" i="33" s="1"/>
  <c r="AB83" i="33" s="1"/>
  <c r="AC83" i="33" s="1"/>
  <c r="BV73" i="3"/>
  <c r="CC74" i="3"/>
  <c r="AH84" i="33" s="1"/>
  <c r="AI84" i="33" s="1"/>
  <c r="BM73" i="3"/>
  <c r="CM73" i="3" s="1"/>
  <c r="BL77" i="3"/>
  <c r="AR78" i="3"/>
  <c r="AR79" i="3"/>
  <c r="AR80" i="3"/>
  <c r="AR81" i="3"/>
  <c r="AR82" i="3"/>
  <c r="AR83" i="3"/>
  <c r="AR84" i="3"/>
  <c r="BL91" i="3"/>
  <c r="CC91" i="3"/>
  <c r="AY74" i="3"/>
  <c r="M84" i="33" s="1"/>
  <c r="N84" i="33" s="1"/>
  <c r="BL76" i="3"/>
  <c r="BB78" i="3"/>
  <c r="BB79" i="3"/>
  <c r="BB80" i="3"/>
  <c r="BB81" i="3"/>
  <c r="BB82" i="3"/>
  <c r="BB83" i="3"/>
  <c r="BB84" i="3"/>
  <c r="BS89" i="3"/>
  <c r="BC91" i="3"/>
  <c r="AR73" i="3"/>
  <c r="BB74" i="3"/>
  <c r="AR91" i="3"/>
  <c r="AY76" i="3"/>
  <c r="M86" i="33" s="1"/>
  <c r="N86" i="33" s="1"/>
  <c r="AY80" i="3"/>
  <c r="M90" i="33" s="1"/>
  <c r="N90" i="33" s="1"/>
  <c r="AY84" i="3"/>
  <c r="M94" i="33" s="1"/>
  <c r="N94" i="33" s="1"/>
  <c r="AY88" i="3"/>
  <c r="AY92" i="3"/>
  <c r="BC92" i="3"/>
  <c r="BI73" i="3"/>
  <c r="T83" i="33" s="1"/>
  <c r="U83" i="33" s="1"/>
  <c r="BS74" i="3"/>
  <c r="AA84" i="33" s="1"/>
  <c r="AB84" i="33" s="1"/>
  <c r="AR76" i="3"/>
  <c r="AR77" i="3"/>
  <c r="BV78" i="3"/>
  <c r="BV79" i="3"/>
  <c r="BV80" i="3"/>
  <c r="BV81" i="3"/>
  <c r="BV82" i="3"/>
  <c r="BV83" i="3"/>
  <c r="BV84" i="3"/>
  <c r="BB91" i="3"/>
  <c r="BM91" i="3"/>
  <c r="BV74" i="3"/>
  <c r="BB76" i="3"/>
  <c r="BB77" i="3"/>
  <c r="BC83" i="3"/>
  <c r="CM83" i="3" s="1"/>
  <c r="BM92" i="3"/>
  <c r="CC73" i="3"/>
  <c r="AH83" i="33" s="1"/>
  <c r="AI83" i="33" s="1"/>
  <c r="BW74" i="3"/>
  <c r="AY77" i="3"/>
  <c r="M87" i="33" s="1"/>
  <c r="N87" i="33" s="1"/>
  <c r="AY85" i="3"/>
  <c r="AY91" i="3"/>
  <c r="BW91" i="3"/>
  <c r="BC77" i="3"/>
  <c r="CM77" i="3" s="1"/>
  <c r="CC77" i="3"/>
  <c r="AH87" i="33" s="1"/>
  <c r="AI87" i="33" s="1"/>
  <c r="BI85" i="3"/>
  <c r="CC85" i="3"/>
  <c r="BI88" i="3"/>
  <c r="BV61" i="3"/>
  <c r="BV66" i="3"/>
  <c r="BV63" i="3"/>
  <c r="BV58" i="3"/>
  <c r="BL66" i="3"/>
  <c r="BL63" i="3"/>
  <c r="BL71" i="3"/>
  <c r="BV69" i="3"/>
  <c r="BV67" i="3"/>
  <c r="BL56" i="3"/>
  <c r="BL58" i="3"/>
  <c r="BL61" i="3"/>
  <c r="BL64" i="3"/>
  <c r="BL59" i="3"/>
  <c r="BV56" i="3"/>
  <c r="BV59" i="3"/>
  <c r="BV71" i="3"/>
  <c r="BV64" i="3"/>
  <c r="BL69" i="3"/>
  <c r="BL67" i="3"/>
  <c r="AY72" i="3"/>
  <c r="M82" i="33" s="1"/>
  <c r="N82" i="33" s="1"/>
  <c r="BB72" i="3"/>
  <c r="BV72" i="3"/>
  <c r="BI72" i="3"/>
  <c r="T82" i="33" s="1"/>
  <c r="U82" i="33" s="1"/>
  <c r="AR72" i="3"/>
  <c r="CC72" i="3"/>
  <c r="AH82" i="33" s="1"/>
  <c r="AI82" i="33" s="1"/>
  <c r="CL72" i="3"/>
  <c r="AF82" i="33" s="1"/>
  <c r="AG82" i="33" s="1"/>
  <c r="BL57" i="3"/>
  <c r="BL60" i="3"/>
  <c r="BL65" i="3"/>
  <c r="BL68" i="3"/>
  <c r="BL70" i="3"/>
  <c r="BL62" i="3"/>
  <c r="AR56" i="3"/>
  <c r="AR57" i="3"/>
  <c r="AR58" i="3"/>
  <c r="AR59" i="3"/>
  <c r="AR60" i="3"/>
  <c r="AR61" i="3"/>
  <c r="AR62" i="3"/>
  <c r="AR63" i="3"/>
  <c r="AR64" i="3"/>
  <c r="AR65" i="3"/>
  <c r="AR66" i="3"/>
  <c r="AR68" i="3"/>
  <c r="AR69" i="3"/>
  <c r="AR70" i="3"/>
  <c r="AR71" i="3"/>
  <c r="AR67" i="3"/>
  <c r="BV65" i="3"/>
  <c r="BV60" i="3"/>
  <c r="BV62" i="3"/>
  <c r="BV68" i="3"/>
  <c r="BV70" i="3"/>
  <c r="BV57" i="3"/>
  <c r="I11" i="38" l="1"/>
  <c r="AS11" i="38"/>
  <c r="AU11" i="38"/>
  <c r="AQ11" i="38"/>
  <c r="AT11" i="38"/>
  <c r="AR11" i="38"/>
  <c r="AH11" i="38"/>
  <c r="AG11" i="38"/>
  <c r="AF11" i="38"/>
  <c r="AD11" i="38"/>
  <c r="AE11" i="38"/>
  <c r="S11" i="38"/>
  <c r="T11" i="38"/>
  <c r="Q11" i="38"/>
  <c r="R11" i="38"/>
  <c r="U11" i="38"/>
  <c r="BM113" i="3"/>
  <c r="CJ113" i="3" s="1"/>
  <c r="Y115" i="33" s="1"/>
  <c r="Z115" i="33" s="1"/>
  <c r="CH113" i="3"/>
  <c r="R115" i="33" s="1"/>
  <c r="S115" i="33" s="1"/>
  <c r="CM92" i="3"/>
  <c r="CM91" i="3"/>
  <c r="CL74" i="3"/>
  <c r="AF84" i="33" s="1"/>
  <c r="AG84" i="33" s="1"/>
  <c r="CM74" i="3"/>
  <c r="BG82" i="3"/>
  <c r="Q92" i="33" s="1"/>
  <c r="CH82" i="3"/>
  <c r="R92" i="33" s="1"/>
  <c r="S92" i="33" s="1"/>
  <c r="BG77" i="3"/>
  <c r="Q87" i="33" s="1"/>
  <c r="CH77" i="3"/>
  <c r="R87" i="33" s="1"/>
  <c r="S87" i="33" s="1"/>
  <c r="BG83" i="3"/>
  <c r="Q93" i="33" s="1"/>
  <c r="CH83" i="3"/>
  <c r="R93" i="33" s="1"/>
  <c r="S93" i="33" s="1"/>
  <c r="BQ92" i="3"/>
  <c r="CJ92" i="3"/>
  <c r="CA91" i="3"/>
  <c r="CL91" i="3"/>
  <c r="BG92" i="3"/>
  <c r="CH92" i="3"/>
  <c r="BG91" i="3"/>
  <c r="CH91" i="3"/>
  <c r="BQ91" i="3"/>
  <c r="CJ91" i="3"/>
  <c r="CA81" i="3"/>
  <c r="AE91" i="33" s="1"/>
  <c r="CL81" i="3"/>
  <c r="AF91" i="33" s="1"/>
  <c r="AG91" i="33" s="1"/>
  <c r="CA74" i="3"/>
  <c r="AE84" i="33" s="1"/>
  <c r="BQ73" i="3"/>
  <c r="X83" i="33" s="1"/>
  <c r="CJ73" i="3"/>
  <c r="Y83" i="33" s="1"/>
  <c r="Z83" i="33" s="1"/>
  <c r="AK13" i="29"/>
  <c r="M204" i="33" s="1"/>
  <c r="N204" i="33" s="1"/>
  <c r="O204" i="33" s="1"/>
  <c r="AI13" i="29"/>
  <c r="AU13" i="29"/>
  <c r="T204" i="33" s="1"/>
  <c r="U204" i="33" s="1"/>
  <c r="V204" i="33" s="1"/>
  <c r="AS13" i="29"/>
  <c r="BE13" i="29"/>
  <c r="AA204" i="33" s="1"/>
  <c r="AB204" i="33" s="1"/>
  <c r="AC204" i="33" s="1"/>
  <c r="BC13" i="29"/>
  <c r="BX13" i="29"/>
  <c r="AF204" i="33" s="1"/>
  <c r="AG204" i="33" s="1"/>
  <c r="BV13" i="29"/>
  <c r="Y204" i="33" s="1"/>
  <c r="Z204" i="33" s="1"/>
  <c r="BT13" i="29"/>
  <c r="R204" i="33" s="1"/>
  <c r="S204" i="33" s="1"/>
  <c r="BR13" i="29"/>
  <c r="K204" i="33" s="1"/>
  <c r="L204" i="33" s="1"/>
  <c r="BO13" i="29"/>
  <c r="AH204" i="33" s="1"/>
  <c r="AI204" i="33" s="1"/>
  <c r="BM13" i="29"/>
  <c r="AB13" i="29"/>
  <c r="AB10" i="29"/>
  <c r="AA13" i="29"/>
  <c r="AO13" i="29" s="1"/>
  <c r="BM49" i="3"/>
  <c r="BC49" i="3"/>
  <c r="AO49" i="3"/>
  <c r="N11" i="38" l="1"/>
  <c r="M11" i="38"/>
  <c r="L11" i="38"/>
  <c r="K11" i="38"/>
  <c r="J11" i="38"/>
  <c r="AL13" i="29"/>
  <c r="M33" i="33" s="1"/>
  <c r="N33" i="33" s="1"/>
  <c r="O33" i="33" s="1"/>
  <c r="BQ113" i="3"/>
  <c r="X115" i="33" s="1"/>
  <c r="BW113" i="3"/>
  <c r="CM113" i="3" s="1"/>
  <c r="CM49" i="3"/>
  <c r="AV13" i="29"/>
  <c r="T33" i="33" s="1"/>
  <c r="U33" i="33" s="1"/>
  <c r="V33" i="33" s="1"/>
  <c r="BP13" i="29"/>
  <c r="AH33" i="33" s="1"/>
  <c r="AI33" i="33" s="1"/>
  <c r="AF13" i="29"/>
  <c r="AP13" i="29"/>
  <c r="AZ13" i="29"/>
  <c r="BJ13" i="29"/>
  <c r="BF13" i="29"/>
  <c r="AA33" i="33" s="1"/>
  <c r="AB33" i="33" s="1"/>
  <c r="AC33" i="33" s="1"/>
  <c r="AE13" i="29"/>
  <c r="BI13" i="29"/>
  <c r="AY13" i="29"/>
  <c r="BZ13" i="29" l="1"/>
  <c r="CA113" i="3"/>
  <c r="AE115" i="33" s="1"/>
  <c r="CL113" i="3"/>
  <c r="AF115" i="33" s="1"/>
  <c r="AG115" i="33" s="1"/>
  <c r="BU13" i="29"/>
  <c r="R33" i="33" s="1"/>
  <c r="S33" i="33" s="1"/>
  <c r="AT13" i="29"/>
  <c r="Q33" i="33" s="1"/>
  <c r="AJ13" i="29"/>
  <c r="J33" i="33" s="1"/>
  <c r="BS13" i="29"/>
  <c r="K33" i="33" s="1"/>
  <c r="L33" i="33" s="1"/>
  <c r="BN13" i="29"/>
  <c r="AE33" i="33" s="1"/>
  <c r="BY13" i="29"/>
  <c r="AF33" i="33" s="1"/>
  <c r="AG33" i="33" s="1"/>
  <c r="BD13" i="29"/>
  <c r="X33" i="33" s="1"/>
  <c r="BW13" i="29"/>
  <c r="Y33" i="33" s="1"/>
  <c r="Z33" i="33" s="1"/>
  <c r="AX121" i="3"/>
  <c r="M261" i="33" s="1"/>
  <c r="AW121" i="3"/>
  <c r="AV121" i="3"/>
  <c r="CL121" i="3"/>
  <c r="CK121" i="3"/>
  <c r="AF261" i="33" s="1"/>
  <c r="CJ121" i="3"/>
  <c r="CI121" i="3"/>
  <c r="Y261" i="33" s="1"/>
  <c r="CH121" i="3"/>
  <c r="CG121" i="3"/>
  <c r="R261" i="33" s="1"/>
  <c r="CF121" i="3"/>
  <c r="CE121" i="3"/>
  <c r="K261" i="33" s="1"/>
  <c r="L261" i="33" s="1"/>
  <c r="CB121" i="3"/>
  <c r="AH261" i="33" s="1"/>
  <c r="AI261" i="33" s="1"/>
  <c r="CA121" i="3"/>
  <c r="BZ121" i="3"/>
  <c r="BR121" i="3"/>
  <c r="AA261" i="33" s="1"/>
  <c r="AB261" i="33" s="1"/>
  <c r="AC261" i="33" s="1"/>
  <c r="BQ121" i="3"/>
  <c r="BP121" i="3"/>
  <c r="BH121" i="3"/>
  <c r="T261" i="33" s="1"/>
  <c r="U261" i="33" s="1"/>
  <c r="V261" i="33" s="1"/>
  <c r="BG121" i="3"/>
  <c r="BF121" i="3"/>
  <c r="AO121" i="3"/>
  <c r="BI121" i="3" s="1"/>
  <c r="AN121" i="3"/>
  <c r="BB121" i="3" s="1"/>
  <c r="N261" i="33" l="1"/>
  <c r="O261" i="33" s="1"/>
  <c r="AY121" i="3"/>
  <c r="CC121" i="3"/>
  <c r="BS121" i="3"/>
  <c r="BL121" i="3"/>
  <c r="AR121" i="3"/>
  <c r="BV121" i="3"/>
  <c r="AC31" i="3" l="1"/>
  <c r="CL49" i="3"/>
  <c r="AF64" i="33" s="1"/>
  <c r="AG64" i="33" s="1"/>
  <c r="CJ49" i="3"/>
  <c r="Y64" i="33" s="1"/>
  <c r="Z64" i="33" s="1"/>
  <c r="CH49" i="3"/>
  <c r="R64" i="33" s="1"/>
  <c r="S64" i="33" s="1"/>
  <c r="CF49" i="3"/>
  <c r="K64" i="33" s="1"/>
  <c r="L64" i="33" s="1"/>
  <c r="CC49" i="3"/>
  <c r="AH64" i="33" s="1"/>
  <c r="AI64" i="33" s="1"/>
  <c r="CA49" i="3"/>
  <c r="AE64" i="33" s="1"/>
  <c r="BS49" i="3"/>
  <c r="AA64" i="33" s="1"/>
  <c r="AB64" i="33" s="1"/>
  <c r="AC64" i="33" s="1"/>
  <c r="BQ49" i="3"/>
  <c r="X64" i="33" s="1"/>
  <c r="BI49" i="3"/>
  <c r="T64" i="33" s="1"/>
  <c r="U64" i="33" s="1"/>
  <c r="V64" i="33" s="1"/>
  <c r="BG49" i="3"/>
  <c r="Q64" i="33" s="1"/>
  <c r="AY49" i="3"/>
  <c r="M64" i="33" s="1"/>
  <c r="AW49" i="3"/>
  <c r="J64" i="33" s="1"/>
  <c r="N64" i="33" l="1"/>
  <c r="O64" i="33" s="1"/>
  <c r="AB12" i="27"/>
  <c r="P11" i="27"/>
  <c r="AA12" i="27"/>
  <c r="AE12" i="27" s="1"/>
  <c r="BX12" i="27"/>
  <c r="BV12" i="27"/>
  <c r="BT12" i="27"/>
  <c r="BR12" i="27"/>
  <c r="BO12" i="27"/>
  <c r="BM12" i="27"/>
  <c r="BE12" i="27"/>
  <c r="BC12" i="27"/>
  <c r="AU12" i="27"/>
  <c r="AS12" i="27"/>
  <c r="AK12" i="27"/>
  <c r="AI12" i="27"/>
  <c r="T194" i="33" l="1"/>
  <c r="U194" i="33" s="1"/>
  <c r="V194" i="33" s="1"/>
  <c r="AA194" i="33"/>
  <c r="AB194" i="33" s="1"/>
  <c r="AC194" i="33" s="1"/>
  <c r="K194" i="33"/>
  <c r="L194" i="33" s="1"/>
  <c r="R194" i="33"/>
  <c r="S194" i="33" s="1"/>
  <c r="M194" i="33"/>
  <c r="N194" i="33" s="1"/>
  <c r="O194" i="33" s="1"/>
  <c r="Y194" i="33"/>
  <c r="Z194" i="33" s="1"/>
  <c r="AF194" i="33"/>
  <c r="AG194" i="33" s="1"/>
  <c r="AH194" i="33"/>
  <c r="AI194" i="33" s="1"/>
  <c r="BF12" i="27"/>
  <c r="AF12" i="27"/>
  <c r="BS12" i="27" s="1"/>
  <c r="BJ12" i="27"/>
  <c r="BY12" i="27" s="1"/>
  <c r="AZ12" i="27"/>
  <c r="BW12" i="27" s="1"/>
  <c r="AP12" i="27"/>
  <c r="AT12" i="27" s="1"/>
  <c r="AV12" i="27"/>
  <c r="BP12" i="27"/>
  <c r="AL12" i="27"/>
  <c r="AY12" i="27"/>
  <c r="BI12" i="27"/>
  <c r="AO12" i="27"/>
  <c r="AH17" i="33" l="1"/>
  <c r="AI17" i="33" s="1"/>
  <c r="AF17" i="33"/>
  <c r="AG17" i="33" s="1"/>
  <c r="T17" i="33"/>
  <c r="U17" i="33" s="1"/>
  <c r="V17" i="33" s="1"/>
  <c r="K17" i="33"/>
  <c r="L17" i="33" s="1"/>
  <c r="Y17" i="33"/>
  <c r="Z17" i="33" s="1"/>
  <c r="M17" i="33"/>
  <c r="N17" i="33" s="1"/>
  <c r="O17" i="33" s="1"/>
  <c r="AA17" i="33"/>
  <c r="AB17" i="33" s="1"/>
  <c r="AC17" i="33" s="1"/>
  <c r="Q17" i="33"/>
  <c r="AE17" i="33"/>
  <c r="BZ12" i="27"/>
  <c r="BU12" i="27"/>
  <c r="BD12" i="27"/>
  <c r="AJ12" i="27"/>
  <c r="BN12" i="27"/>
  <c r="CK160" i="3"/>
  <c r="AF189" i="33" s="1"/>
  <c r="AG189" i="33" s="1"/>
  <c r="CI160" i="3"/>
  <c r="Y189" i="33" s="1"/>
  <c r="Z189" i="33" s="1"/>
  <c r="CG160" i="3"/>
  <c r="R189" i="33" s="1"/>
  <c r="S189" i="33" s="1"/>
  <c r="CE160" i="3"/>
  <c r="K189" i="33" s="1"/>
  <c r="L189" i="33" s="1"/>
  <c r="CB160" i="3"/>
  <c r="AH189" i="33" s="1"/>
  <c r="AI189" i="33" s="1"/>
  <c r="BZ160" i="3"/>
  <c r="CK159" i="3"/>
  <c r="AF188" i="33" s="1"/>
  <c r="CI159" i="3"/>
  <c r="Y188" i="33" s="1"/>
  <c r="CG159" i="3"/>
  <c r="R188" i="33" s="1"/>
  <c r="CE159" i="3"/>
  <c r="K188" i="33" s="1"/>
  <c r="L188" i="33" s="1"/>
  <c r="CB159" i="3"/>
  <c r="AH188" i="33" s="1"/>
  <c r="AI188" i="33" s="1"/>
  <c r="BZ159" i="3"/>
  <c r="CK158" i="3"/>
  <c r="AF187" i="33" s="1"/>
  <c r="CI158" i="3"/>
  <c r="Y187" i="33" s="1"/>
  <c r="CG158" i="3"/>
  <c r="R187" i="33" s="1"/>
  <c r="CE158" i="3"/>
  <c r="K187" i="33" s="1"/>
  <c r="L187" i="33" s="1"/>
  <c r="CB158" i="3"/>
  <c r="AH187" i="33" s="1"/>
  <c r="AI187" i="33" s="1"/>
  <c r="BZ158" i="3"/>
  <c r="CK157" i="3"/>
  <c r="AF186" i="33" s="1"/>
  <c r="CI157" i="3"/>
  <c r="Y186" i="33" s="1"/>
  <c r="CG157" i="3"/>
  <c r="R186" i="33" s="1"/>
  <c r="S186" i="33" s="1"/>
  <c r="CE157" i="3"/>
  <c r="K186" i="33" s="1"/>
  <c r="CB157" i="3"/>
  <c r="AH186" i="33" s="1"/>
  <c r="AI186" i="33" s="1"/>
  <c r="BZ157" i="3"/>
  <c r="CK156" i="3"/>
  <c r="AF185" i="33" s="1"/>
  <c r="CI156" i="3"/>
  <c r="Y185" i="33" s="1"/>
  <c r="CG156" i="3"/>
  <c r="R185" i="33" s="1"/>
  <c r="CE156" i="3"/>
  <c r="K185" i="33" s="1"/>
  <c r="L185" i="33" s="1"/>
  <c r="CB156" i="3"/>
  <c r="AH185" i="33" s="1"/>
  <c r="AI185" i="33" s="1"/>
  <c r="BZ156" i="3"/>
  <c r="CK155" i="3"/>
  <c r="CI155" i="3"/>
  <c r="CG155" i="3"/>
  <c r="CE155" i="3"/>
  <c r="CB155" i="3"/>
  <c r="BZ155" i="3"/>
  <c r="CK154" i="3"/>
  <c r="AF284" i="33" s="1"/>
  <c r="AG284" i="33" s="1"/>
  <c r="CI154" i="3"/>
  <c r="Y284" i="33" s="1"/>
  <c r="Z284" i="33" s="1"/>
  <c r="CG154" i="3"/>
  <c r="R284" i="33" s="1"/>
  <c r="S284" i="33" s="1"/>
  <c r="CE154" i="3"/>
  <c r="K284" i="33" s="1"/>
  <c r="L284" i="33" s="1"/>
  <c r="CB154" i="3"/>
  <c r="AH284" i="33" s="1"/>
  <c r="AI284" i="33" s="1"/>
  <c r="BZ154" i="3"/>
  <c r="CK153" i="3"/>
  <c r="AF283" i="33" s="1"/>
  <c r="AG283" i="33" s="1"/>
  <c r="CI153" i="3"/>
  <c r="Y283" i="33" s="1"/>
  <c r="Z283" i="33" s="1"/>
  <c r="CG153" i="3"/>
  <c r="R283" i="33" s="1"/>
  <c r="S283" i="33" s="1"/>
  <c r="CE153" i="3"/>
  <c r="CB153" i="3"/>
  <c r="AH283" i="33" s="1"/>
  <c r="AI283" i="33" s="1"/>
  <c r="BZ153" i="3"/>
  <c r="CK152" i="3"/>
  <c r="AF340" i="33" s="1"/>
  <c r="CI152" i="3"/>
  <c r="Y340" i="33" s="1"/>
  <c r="CG152" i="3"/>
  <c r="R340" i="33" s="1"/>
  <c r="S340" i="33" s="1"/>
  <c r="CE152" i="3"/>
  <c r="K340" i="33" s="1"/>
  <c r="CB152" i="3"/>
  <c r="AH340" i="33" s="1"/>
  <c r="AI340" i="33" s="1"/>
  <c r="BZ152" i="3"/>
  <c r="BV152" i="3"/>
  <c r="CK151" i="3"/>
  <c r="AF184" i="33" s="1"/>
  <c r="CI151" i="3"/>
  <c r="Y184" i="33" s="1"/>
  <c r="CG151" i="3"/>
  <c r="R184" i="33" s="1"/>
  <c r="S184" i="33" s="1"/>
  <c r="CE151" i="3"/>
  <c r="K184" i="33" s="1"/>
  <c r="CB151" i="3"/>
  <c r="AH184" i="33" s="1"/>
  <c r="AI184" i="33" s="1"/>
  <c r="BZ151" i="3"/>
  <c r="CK150" i="3"/>
  <c r="AF282" i="33" s="1"/>
  <c r="CI150" i="3"/>
  <c r="Y282" i="33" s="1"/>
  <c r="CG150" i="3"/>
  <c r="R282" i="33" s="1"/>
  <c r="S282" i="33" s="1"/>
  <c r="CE150" i="3"/>
  <c r="K282" i="33" s="1"/>
  <c r="CB150" i="3"/>
  <c r="AH282" i="33" s="1"/>
  <c r="AI282" i="33" s="1"/>
  <c r="BZ150" i="3"/>
  <c r="BR160" i="3"/>
  <c r="AA189" i="33" s="1"/>
  <c r="AB189" i="33" s="1"/>
  <c r="AC189" i="33" s="1"/>
  <c r="BP160" i="3"/>
  <c r="BR159" i="3"/>
  <c r="AA188" i="33" s="1"/>
  <c r="AB188" i="33" s="1"/>
  <c r="AC188" i="33" s="1"/>
  <c r="BP159" i="3"/>
  <c r="BR158" i="3"/>
  <c r="AA187" i="33" s="1"/>
  <c r="AB187" i="33" s="1"/>
  <c r="AC187" i="33" s="1"/>
  <c r="BP158" i="3"/>
  <c r="BR157" i="3"/>
  <c r="AA186" i="33" s="1"/>
  <c r="AB186" i="33" s="1"/>
  <c r="AC186" i="33" s="1"/>
  <c r="BP157" i="3"/>
  <c r="BR156" i="3"/>
  <c r="AA185" i="33" s="1"/>
  <c r="AB185" i="33" s="1"/>
  <c r="AC185" i="33" s="1"/>
  <c r="BP156" i="3"/>
  <c r="BR155" i="3"/>
  <c r="BP155" i="3"/>
  <c r="BR154" i="3"/>
  <c r="AA284" i="33" s="1"/>
  <c r="AB284" i="33" s="1"/>
  <c r="AC284" i="33" s="1"/>
  <c r="BP154" i="3"/>
  <c r="BR153" i="3"/>
  <c r="AA283" i="33" s="1"/>
  <c r="AB283" i="33" s="1"/>
  <c r="AC283" i="33" s="1"/>
  <c r="BP153" i="3"/>
  <c r="BR152" i="3"/>
  <c r="AA340" i="33" s="1"/>
  <c r="AB340" i="33" s="1"/>
  <c r="AC340" i="33" s="1"/>
  <c r="BP152" i="3"/>
  <c r="BL152" i="3"/>
  <c r="BR151" i="3"/>
  <c r="AA184" i="33" s="1"/>
  <c r="AB184" i="33" s="1"/>
  <c r="AC184" i="33" s="1"/>
  <c r="BP151" i="3"/>
  <c r="BR150" i="3"/>
  <c r="AA282" i="33" s="1"/>
  <c r="AB282" i="33" s="1"/>
  <c r="AC282" i="33" s="1"/>
  <c r="BP150" i="3"/>
  <c r="BH160" i="3"/>
  <c r="T189" i="33" s="1"/>
  <c r="U189" i="33" s="1"/>
  <c r="V189" i="33" s="1"/>
  <c r="BF160" i="3"/>
  <c r="BH159" i="3"/>
  <c r="T188" i="33" s="1"/>
  <c r="U188" i="33" s="1"/>
  <c r="V188" i="33" s="1"/>
  <c r="BF159" i="3"/>
  <c r="BH158" i="3"/>
  <c r="T187" i="33" s="1"/>
  <c r="U187" i="33" s="1"/>
  <c r="V187" i="33" s="1"/>
  <c r="BF158" i="3"/>
  <c r="BH157" i="3"/>
  <c r="T186" i="33" s="1"/>
  <c r="U186" i="33" s="1"/>
  <c r="V186" i="33" s="1"/>
  <c r="BF157" i="3"/>
  <c r="BH156" i="3"/>
  <c r="T185" i="33" s="1"/>
  <c r="U185" i="33" s="1"/>
  <c r="V185" i="33" s="1"/>
  <c r="BF156" i="3"/>
  <c r="BH155" i="3"/>
  <c r="BF155" i="3"/>
  <c r="BH154" i="3"/>
  <c r="T284" i="33" s="1"/>
  <c r="U284" i="33" s="1"/>
  <c r="V284" i="33" s="1"/>
  <c r="BF154" i="3"/>
  <c r="BH153" i="3"/>
  <c r="T283" i="33" s="1"/>
  <c r="U283" i="33" s="1"/>
  <c r="V283" i="33" s="1"/>
  <c r="BF153" i="3"/>
  <c r="BH152" i="3"/>
  <c r="T340" i="33" s="1"/>
  <c r="U340" i="33" s="1"/>
  <c r="V340" i="33" s="1"/>
  <c r="BF152" i="3"/>
  <c r="BB152" i="3"/>
  <c r="BH151" i="3"/>
  <c r="T184" i="33" s="1"/>
  <c r="U184" i="33" s="1"/>
  <c r="V184" i="33" s="1"/>
  <c r="BF151" i="3"/>
  <c r="BH150" i="3"/>
  <c r="T282" i="33" s="1"/>
  <c r="U282" i="33" s="1"/>
  <c r="V282" i="33" s="1"/>
  <c r="BF150" i="3"/>
  <c r="AX160" i="3"/>
  <c r="M189" i="33" s="1"/>
  <c r="N189" i="33" s="1"/>
  <c r="O189" i="33" s="1"/>
  <c r="AV160" i="3"/>
  <c r="AX159" i="3"/>
  <c r="M188" i="33" s="1"/>
  <c r="N188" i="33" s="1"/>
  <c r="O188" i="33" s="1"/>
  <c r="AV159" i="3"/>
  <c r="AX158" i="3"/>
  <c r="M187" i="33" s="1"/>
  <c r="N187" i="33" s="1"/>
  <c r="O187" i="33" s="1"/>
  <c r="AV158" i="3"/>
  <c r="AX157" i="3"/>
  <c r="M186" i="33" s="1"/>
  <c r="N186" i="33" s="1"/>
  <c r="AV157" i="3"/>
  <c r="AX156" i="3"/>
  <c r="M185" i="33" s="1"/>
  <c r="N185" i="33" s="1"/>
  <c r="O185" i="33" s="1"/>
  <c r="AV156" i="3"/>
  <c r="AX155" i="3"/>
  <c r="AX154" i="3"/>
  <c r="M284" i="33" s="1"/>
  <c r="N284" i="33" s="1"/>
  <c r="O284" i="33" s="1"/>
  <c r="AV154" i="3"/>
  <c r="AX153" i="3"/>
  <c r="M283" i="33" s="1"/>
  <c r="N283" i="33" s="1"/>
  <c r="O283" i="33" s="1"/>
  <c r="AV153" i="3"/>
  <c r="M340" i="33"/>
  <c r="N340" i="33" s="1"/>
  <c r="AX151" i="3"/>
  <c r="M184" i="33" s="1"/>
  <c r="N184" i="33" s="1"/>
  <c r="AX150" i="3"/>
  <c r="M282" i="33" s="1"/>
  <c r="N282" i="33" s="1"/>
  <c r="AV150" i="3"/>
  <c r="AO160" i="3"/>
  <c r="BW160" i="3" s="1"/>
  <c r="CL160" i="3" s="1"/>
  <c r="AN160" i="3"/>
  <c r="BL160" i="3" s="1"/>
  <c r="AO159" i="3"/>
  <c r="BC159" i="3" s="1"/>
  <c r="AN159" i="3"/>
  <c r="BV159" i="3" s="1"/>
  <c r="AO158" i="3"/>
  <c r="AN158" i="3"/>
  <c r="AR158" i="3" s="1"/>
  <c r="AO157" i="3"/>
  <c r="AN157" i="3"/>
  <c r="BV157" i="3" s="1"/>
  <c r="AO156" i="3"/>
  <c r="AN156" i="3"/>
  <c r="BB156" i="3" s="1"/>
  <c r="AO153" i="3"/>
  <c r="AN153" i="3"/>
  <c r="AO151" i="3"/>
  <c r="AN151" i="3"/>
  <c r="BL151" i="3" s="1"/>
  <c r="AO150" i="3"/>
  <c r="BC150" i="3" s="1"/>
  <c r="AN150" i="3"/>
  <c r="BV150" i="3" s="1"/>
  <c r="CK20" i="3"/>
  <c r="AF228" i="33" s="1"/>
  <c r="CI20" i="3"/>
  <c r="Y228" i="33" s="1"/>
  <c r="Z228" i="33" s="1"/>
  <c r="CG20" i="3"/>
  <c r="R228" i="33" s="1"/>
  <c r="S228" i="33" s="1"/>
  <c r="CE20" i="3"/>
  <c r="K228" i="33" s="1"/>
  <c r="L228" i="33" s="1"/>
  <c r="CB20" i="3"/>
  <c r="AH228" i="33" s="1"/>
  <c r="AI228" i="33" s="1"/>
  <c r="BZ20" i="3"/>
  <c r="BR20" i="3"/>
  <c r="AA228" i="33" s="1"/>
  <c r="AB228" i="33" s="1"/>
  <c r="AC228" i="33" s="1"/>
  <c r="BP20" i="3"/>
  <c r="BH20" i="3"/>
  <c r="T228" i="33" s="1"/>
  <c r="U228" i="33" s="1"/>
  <c r="V228" i="33" s="1"/>
  <c r="BF20" i="3"/>
  <c r="AX20" i="3"/>
  <c r="M228" i="33" s="1"/>
  <c r="AV20" i="3"/>
  <c r="AO20" i="3"/>
  <c r="BS20" i="3" s="1"/>
  <c r="AN20" i="3"/>
  <c r="BB20" i="3" s="1"/>
  <c r="K283" i="33" l="1"/>
  <c r="L283" i="33" s="1"/>
  <c r="R341" i="33"/>
  <c r="S341" i="33" s="1"/>
  <c r="Y341" i="33"/>
  <c r="AF341" i="33"/>
  <c r="AG341" i="33" s="1"/>
  <c r="AA341" i="33"/>
  <c r="AB341" i="33" s="1"/>
  <c r="AC341" i="33" s="1"/>
  <c r="K341" i="33"/>
  <c r="BM151" i="3"/>
  <c r="CJ151" i="3" s="1"/>
  <c r="AY151" i="3"/>
  <c r="BM153" i="3"/>
  <c r="CJ153" i="3" s="1"/>
  <c r="AY153" i="3"/>
  <c r="T341" i="33"/>
  <c r="U341" i="33" s="1"/>
  <c r="V341" i="33" s="1"/>
  <c r="M341" i="33"/>
  <c r="N341" i="33" s="1"/>
  <c r="AH341" i="33"/>
  <c r="AI341" i="33" s="1"/>
  <c r="J17" i="33"/>
  <c r="R17" i="33"/>
  <c r="S17" i="33" s="1"/>
  <c r="X17" i="33"/>
  <c r="BM157" i="3"/>
  <c r="CJ157" i="3" s="1"/>
  <c r="CC176" i="3"/>
  <c r="BL153" i="3"/>
  <c r="AR153" i="3"/>
  <c r="AS158" i="3"/>
  <c r="AW158" i="3" s="1"/>
  <c r="AY156" i="3"/>
  <c r="CC175" i="3"/>
  <c r="N228" i="33"/>
  <c r="O228" i="33" s="1"/>
  <c r="BI157" i="3"/>
  <c r="BV156" i="3"/>
  <c r="AR156" i="3"/>
  <c r="AY158" i="3"/>
  <c r="BS159" i="3"/>
  <c r="BM160" i="3"/>
  <c r="BQ160" i="3" s="1"/>
  <c r="BC156" i="3"/>
  <c r="BG156" i="3" s="1"/>
  <c r="BI159" i="3"/>
  <c r="BS157" i="3"/>
  <c r="BW153" i="3"/>
  <c r="CL153" i="3" s="1"/>
  <c r="AS151" i="3"/>
  <c r="AW151" i="3" s="1"/>
  <c r="AR157" i="3"/>
  <c r="AY159" i="3"/>
  <c r="BI151" i="3"/>
  <c r="BW159" i="3"/>
  <c r="CL159" i="3" s="1"/>
  <c r="BI160" i="3"/>
  <c r="BS158" i="3"/>
  <c r="CC151" i="3"/>
  <c r="BB150" i="3"/>
  <c r="CC150" i="3"/>
  <c r="BL157" i="3"/>
  <c r="BG150" i="3"/>
  <c r="CH150" i="3"/>
  <c r="CH159" i="3"/>
  <c r="BG159" i="3"/>
  <c r="CC160" i="3"/>
  <c r="AY150" i="3"/>
  <c r="AS157" i="3"/>
  <c r="AR160" i="3"/>
  <c r="BB158" i="3"/>
  <c r="BL150" i="3"/>
  <c r="BL156" i="3"/>
  <c r="BL159" i="3"/>
  <c r="BV151" i="3"/>
  <c r="BW156" i="3"/>
  <c r="CC157" i="3"/>
  <c r="AR151" i="3"/>
  <c r="AS153" i="3"/>
  <c r="AS160" i="3"/>
  <c r="BI150" i="3"/>
  <c r="BC158" i="3"/>
  <c r="BM150" i="3"/>
  <c r="BS151" i="3"/>
  <c r="BM156" i="3"/>
  <c r="BM159" i="3"/>
  <c r="BW151" i="3"/>
  <c r="BV158" i="3"/>
  <c r="BS160" i="3"/>
  <c r="BW158" i="3"/>
  <c r="AR150" i="3"/>
  <c r="AS156" i="3"/>
  <c r="AR159" i="3"/>
  <c r="BC151" i="3"/>
  <c r="BB153" i="3"/>
  <c r="BB157" i="3"/>
  <c r="BB160" i="3"/>
  <c r="BL158" i="3"/>
  <c r="CC156" i="3"/>
  <c r="CC159" i="3"/>
  <c r="BV160" i="3"/>
  <c r="BB151" i="3"/>
  <c r="BI156" i="3"/>
  <c r="AS150" i="3"/>
  <c r="AY157" i="3"/>
  <c r="AS159" i="3"/>
  <c r="AY160" i="3"/>
  <c r="BC153" i="3"/>
  <c r="CH153" i="3" s="1"/>
  <c r="BC157" i="3"/>
  <c r="BI158" i="3"/>
  <c r="BC160" i="3"/>
  <c r="BS150" i="3"/>
  <c r="BS156" i="3"/>
  <c r="BM158" i="3"/>
  <c r="BW150" i="3"/>
  <c r="BV153" i="3"/>
  <c r="BW157" i="3"/>
  <c r="CA176" i="3" s="1"/>
  <c r="CC158" i="3"/>
  <c r="BB159" i="3"/>
  <c r="CA160" i="3"/>
  <c r="BW20" i="3"/>
  <c r="CL20" i="3" s="1"/>
  <c r="AS20" i="3"/>
  <c r="BI20" i="3"/>
  <c r="CC20" i="3"/>
  <c r="BM20" i="3"/>
  <c r="AY20" i="3"/>
  <c r="BC20" i="3"/>
  <c r="BL20" i="3"/>
  <c r="AR20" i="3"/>
  <c r="BV20" i="3"/>
  <c r="BQ151" i="3" l="1"/>
  <c r="CF153" i="3"/>
  <c r="AW153" i="3"/>
  <c r="CF158" i="3"/>
  <c r="CL156" i="3"/>
  <c r="CA175" i="3"/>
  <c r="BQ157" i="3"/>
  <c r="CM159" i="3"/>
  <c r="CM153" i="3"/>
  <c r="CM158" i="3"/>
  <c r="CM151" i="3"/>
  <c r="AW20" i="3"/>
  <c r="CM20" i="3"/>
  <c r="CM150" i="3"/>
  <c r="CM160" i="3"/>
  <c r="CM156" i="3"/>
  <c r="CM157" i="3"/>
  <c r="CH156" i="3"/>
  <c r="CA20" i="3"/>
  <c r="CA159" i="3"/>
  <c r="CF151" i="3"/>
  <c r="CJ160" i="3"/>
  <c r="BQ150" i="3"/>
  <c r="CJ150" i="3"/>
  <c r="BG158" i="3"/>
  <c r="CH158" i="3"/>
  <c r="BG160" i="3"/>
  <c r="CH160" i="3"/>
  <c r="AW156" i="3"/>
  <c r="CF156" i="3"/>
  <c r="AW157" i="3"/>
  <c r="CF157" i="3"/>
  <c r="CA150" i="3"/>
  <c r="CL150" i="3"/>
  <c r="CL151" i="3"/>
  <c r="CA151" i="3"/>
  <c r="AW160" i="3"/>
  <c r="CF160" i="3"/>
  <c r="BQ158" i="3"/>
  <c r="CJ158" i="3"/>
  <c r="AW159" i="3"/>
  <c r="CF159" i="3"/>
  <c r="BQ159" i="3"/>
  <c r="CJ159" i="3"/>
  <c r="BG151" i="3"/>
  <c r="CH151" i="3"/>
  <c r="BG157" i="3"/>
  <c r="CH157" i="3"/>
  <c r="CA156" i="3"/>
  <c r="CA158" i="3"/>
  <c r="CL158" i="3"/>
  <c r="BQ156" i="3"/>
  <c r="CJ156" i="3"/>
  <c r="CA157" i="3"/>
  <c r="CL157" i="3"/>
  <c r="AW150" i="3"/>
  <c r="CF150" i="3"/>
  <c r="CH20" i="3"/>
  <c r="BG20" i="3"/>
  <c r="CF20" i="3"/>
  <c r="CJ20" i="3"/>
  <c r="BQ20" i="3"/>
  <c r="AC120" i="3" l="1"/>
  <c r="CK149" i="3" l="1"/>
  <c r="AF337" i="33" s="1"/>
  <c r="AG337" i="33" s="1"/>
  <c r="CJ149" i="3"/>
  <c r="CI149" i="3"/>
  <c r="Y337" i="33" s="1"/>
  <c r="CH149" i="3"/>
  <c r="CG149" i="3"/>
  <c r="R337" i="33" s="1"/>
  <c r="S337" i="33" s="1"/>
  <c r="CE149" i="3"/>
  <c r="K337" i="33" s="1"/>
  <c r="CK148" i="3"/>
  <c r="AF336" i="33" s="1"/>
  <c r="AG336" i="33" s="1"/>
  <c r="CJ148" i="3"/>
  <c r="CI148" i="3"/>
  <c r="Y336" i="33" s="1"/>
  <c r="Z336" i="33" s="1"/>
  <c r="CH148" i="3"/>
  <c r="CG148" i="3"/>
  <c r="R336" i="33" s="1"/>
  <c r="S336" i="33" s="1"/>
  <c r="CE148" i="3"/>
  <c r="K336" i="33" s="1"/>
  <c r="L336" i="33" s="1"/>
  <c r="CK147" i="3"/>
  <c r="AF275" i="33" s="1"/>
  <c r="AG275" i="33" s="1"/>
  <c r="CJ147" i="3"/>
  <c r="CI147" i="3"/>
  <c r="Y275" i="33" s="1"/>
  <c r="CH147" i="3"/>
  <c r="CG147" i="3"/>
  <c r="R275" i="33" s="1"/>
  <c r="S275" i="33" s="1"/>
  <c r="CE147" i="3"/>
  <c r="K275" i="33" s="1"/>
  <c r="L275" i="33" s="1"/>
  <c r="CB149" i="3"/>
  <c r="AH337" i="33" s="1"/>
  <c r="AI337" i="33" s="1"/>
  <c r="BZ149" i="3"/>
  <c r="CB148" i="3"/>
  <c r="AH336" i="33" s="1"/>
  <c r="AI336" i="33" s="1"/>
  <c r="BZ148" i="3"/>
  <c r="CB147" i="3"/>
  <c r="AH275" i="33" s="1"/>
  <c r="AI275" i="33" s="1"/>
  <c r="BZ147" i="3"/>
  <c r="BR149" i="3"/>
  <c r="AA337" i="33" s="1"/>
  <c r="AB337" i="33" s="1"/>
  <c r="AC337" i="33" s="1"/>
  <c r="BQ149" i="3"/>
  <c r="BP149" i="3"/>
  <c r="BR148" i="3"/>
  <c r="AA336" i="33" s="1"/>
  <c r="AB336" i="33" s="1"/>
  <c r="AC336" i="33" s="1"/>
  <c r="BQ148" i="3"/>
  <c r="BP148" i="3"/>
  <c r="BR147" i="3"/>
  <c r="AA275" i="33" s="1"/>
  <c r="AB275" i="33" s="1"/>
  <c r="AC275" i="33" s="1"/>
  <c r="BQ147" i="3"/>
  <c r="BP147" i="3"/>
  <c r="BR146" i="3"/>
  <c r="AA274" i="33" s="1"/>
  <c r="AB274" i="33" s="1"/>
  <c r="AC274" i="33" s="1"/>
  <c r="BQ146" i="3"/>
  <c r="BP146" i="3"/>
  <c r="BH149" i="3"/>
  <c r="T337" i="33" s="1"/>
  <c r="U337" i="33" s="1"/>
  <c r="V337" i="33" s="1"/>
  <c r="BG149" i="3"/>
  <c r="BF149" i="3"/>
  <c r="BH148" i="3"/>
  <c r="T336" i="33" s="1"/>
  <c r="U336" i="33" s="1"/>
  <c r="V336" i="33" s="1"/>
  <c r="BG148" i="3"/>
  <c r="BF148" i="3"/>
  <c r="BH147" i="3"/>
  <c r="T275" i="33" s="1"/>
  <c r="U275" i="33" s="1"/>
  <c r="V275" i="33" s="1"/>
  <c r="BG147" i="3"/>
  <c r="BF147" i="3"/>
  <c r="BH146" i="3"/>
  <c r="T274" i="33" s="1"/>
  <c r="U274" i="33" s="1"/>
  <c r="V274" i="33" s="1"/>
  <c r="BG146" i="3"/>
  <c r="BF146" i="3"/>
  <c r="BH145" i="3"/>
  <c r="T273" i="33" s="1"/>
  <c r="U273" i="33" s="1"/>
  <c r="V273" i="33" s="1"/>
  <c r="BG145" i="3"/>
  <c r="BF145" i="3"/>
  <c r="AX149" i="3"/>
  <c r="M337" i="33" s="1"/>
  <c r="N337" i="33" s="1"/>
  <c r="AV149" i="3"/>
  <c r="AX148" i="3"/>
  <c r="M336" i="33" s="1"/>
  <c r="N336" i="33" s="1"/>
  <c r="O336" i="33" s="1"/>
  <c r="AV148" i="3"/>
  <c r="AX147" i="3"/>
  <c r="M275" i="33" s="1"/>
  <c r="N275" i="33" s="1"/>
  <c r="O275" i="33" s="1"/>
  <c r="AV147" i="3"/>
  <c r="AX146" i="3"/>
  <c r="M274" i="33" s="1"/>
  <c r="N274" i="33" s="1"/>
  <c r="AV146" i="3"/>
  <c r="AX145" i="3"/>
  <c r="M273" i="33" s="1"/>
  <c r="N273" i="33" s="1"/>
  <c r="O273" i="33" s="1"/>
  <c r="AV145" i="3"/>
  <c r="AX144" i="3"/>
  <c r="M272" i="33" s="1"/>
  <c r="N272" i="33" s="1"/>
  <c r="AV144" i="3"/>
  <c r="AO149" i="3"/>
  <c r="BS149" i="3" s="1"/>
  <c r="AO148" i="3"/>
  <c r="CC148" i="3" s="1"/>
  <c r="AO147" i="3"/>
  <c r="BI147" i="3" s="1"/>
  <c r="AO146" i="3"/>
  <c r="BW146" i="3" s="1"/>
  <c r="AO145" i="3"/>
  <c r="BI145" i="3" s="1"/>
  <c r="AO144" i="3"/>
  <c r="BS144" i="3" s="1"/>
  <c r="AN149" i="3"/>
  <c r="BB149" i="3" s="1"/>
  <c r="AN148" i="3"/>
  <c r="BB148" i="3" s="1"/>
  <c r="AN147" i="3"/>
  <c r="BV147" i="3" s="1"/>
  <c r="AN146" i="3"/>
  <c r="BB146" i="3" s="1"/>
  <c r="AN145" i="3"/>
  <c r="BV145" i="3" s="1"/>
  <c r="AN144" i="3"/>
  <c r="BV144" i="3" s="1"/>
  <c r="CK146" i="3"/>
  <c r="AF274" i="33" s="1"/>
  <c r="AG274" i="33" s="1"/>
  <c r="CJ146" i="3"/>
  <c r="CI146" i="3"/>
  <c r="Y274" i="33" s="1"/>
  <c r="CH146" i="3"/>
  <c r="CG146" i="3"/>
  <c r="R274" i="33" s="1"/>
  <c r="S274" i="33" s="1"/>
  <c r="CE146" i="3"/>
  <c r="K274" i="33" s="1"/>
  <c r="CB146" i="3"/>
  <c r="AH274" i="33" s="1"/>
  <c r="AI274" i="33" s="1"/>
  <c r="BZ146" i="3"/>
  <c r="CK145" i="3"/>
  <c r="AF273" i="33" s="1"/>
  <c r="CJ145" i="3"/>
  <c r="CI145" i="3"/>
  <c r="Y273" i="33" s="1"/>
  <c r="CH145" i="3"/>
  <c r="CG145" i="3"/>
  <c r="R273" i="33" s="1"/>
  <c r="CE145" i="3"/>
  <c r="K273" i="33" s="1"/>
  <c r="L273" i="33" s="1"/>
  <c r="CB145" i="3"/>
  <c r="AH273" i="33" s="1"/>
  <c r="AI273" i="33" s="1"/>
  <c r="BZ145" i="3"/>
  <c r="CK144" i="3"/>
  <c r="AF272" i="33" s="1"/>
  <c r="AG272" i="33" s="1"/>
  <c r="CJ144" i="3"/>
  <c r="CI144" i="3"/>
  <c r="Y272" i="33" s="1"/>
  <c r="CH144" i="3"/>
  <c r="CG144" i="3"/>
  <c r="R272" i="33" s="1"/>
  <c r="S272" i="33" s="1"/>
  <c r="CE144" i="3"/>
  <c r="K272" i="33" s="1"/>
  <c r="CB144" i="3"/>
  <c r="AH272" i="33" s="1"/>
  <c r="AI272" i="33" s="1"/>
  <c r="BZ144" i="3"/>
  <c r="CK143" i="3"/>
  <c r="CJ143" i="3"/>
  <c r="CI143" i="3"/>
  <c r="CH143" i="3"/>
  <c r="CG143" i="3"/>
  <c r="CE143" i="3"/>
  <c r="CB143" i="3"/>
  <c r="BZ143" i="3"/>
  <c r="CK142" i="3"/>
  <c r="AF281" i="33" s="1"/>
  <c r="AG281" i="33" s="1"/>
  <c r="AP17" i="38" s="1"/>
  <c r="CJ142" i="3"/>
  <c r="CI142" i="3"/>
  <c r="Y281" i="33" s="1"/>
  <c r="CH142" i="3"/>
  <c r="CG142" i="3"/>
  <c r="R281" i="33" s="1"/>
  <c r="CE142" i="3"/>
  <c r="K281" i="33" s="1"/>
  <c r="CB142" i="3"/>
  <c r="AH281" i="33" s="1"/>
  <c r="AI281" i="33" s="1"/>
  <c r="BZ142" i="3"/>
  <c r="CL141" i="3"/>
  <c r="CK141" i="3"/>
  <c r="AF280" i="33" s="1"/>
  <c r="CJ141" i="3"/>
  <c r="CI141" i="3"/>
  <c r="Y280" i="33" s="1"/>
  <c r="CH141" i="3"/>
  <c r="CG141" i="3"/>
  <c r="R280" i="33" s="1"/>
  <c r="S280" i="33" s="1"/>
  <c r="P17" i="38" s="1"/>
  <c r="CE141" i="3"/>
  <c r="K280" i="33" s="1"/>
  <c r="CB141" i="3"/>
  <c r="AH280" i="33" s="1"/>
  <c r="AI280" i="33" s="1"/>
  <c r="CA141" i="3"/>
  <c r="BZ141" i="3"/>
  <c r="CL140" i="3"/>
  <c r="CK140" i="3"/>
  <c r="AF183" i="33" s="1"/>
  <c r="CJ140" i="3"/>
  <c r="CI140" i="3"/>
  <c r="Y183" i="33" s="1"/>
  <c r="CH140" i="3"/>
  <c r="CG140" i="3"/>
  <c r="R183" i="33" s="1"/>
  <c r="CF140" i="3"/>
  <c r="CE140" i="3"/>
  <c r="K183" i="33" s="1"/>
  <c r="L183" i="33" s="1"/>
  <c r="CB140" i="3"/>
  <c r="AH183" i="33" s="1"/>
  <c r="AI183" i="33" s="1"/>
  <c r="CA140" i="3"/>
  <c r="BZ140" i="3"/>
  <c r="BR145" i="3"/>
  <c r="AA273" i="33" s="1"/>
  <c r="AB273" i="33" s="1"/>
  <c r="AC273" i="33" s="1"/>
  <c r="BQ145" i="3"/>
  <c r="BP145" i="3"/>
  <c r="BR144" i="3"/>
  <c r="AA272" i="33" s="1"/>
  <c r="AB272" i="33" s="1"/>
  <c r="AC272" i="33" s="1"/>
  <c r="BQ144" i="3"/>
  <c r="BP144" i="3"/>
  <c r="BR143" i="3"/>
  <c r="BQ143" i="3"/>
  <c r="BP143" i="3"/>
  <c r="BR142" i="3"/>
  <c r="AA281" i="33" s="1"/>
  <c r="AB281" i="33" s="1"/>
  <c r="AC281" i="33" s="1"/>
  <c r="BQ142" i="3"/>
  <c r="BP142" i="3"/>
  <c r="BR141" i="3"/>
  <c r="AA280" i="33" s="1"/>
  <c r="AB280" i="33" s="1"/>
  <c r="AC280" i="33" s="1"/>
  <c r="BQ141" i="3"/>
  <c r="BP141" i="3"/>
  <c r="BR140" i="3"/>
  <c r="AA183" i="33" s="1"/>
  <c r="AB183" i="33" s="1"/>
  <c r="AC183" i="33" s="1"/>
  <c r="BQ140" i="3"/>
  <c r="BP140" i="3"/>
  <c r="BH144" i="3"/>
  <c r="T272" i="33" s="1"/>
  <c r="U272" i="33" s="1"/>
  <c r="V272" i="33" s="1"/>
  <c r="BG144" i="3"/>
  <c r="BF144" i="3"/>
  <c r="BH143" i="3"/>
  <c r="BG143" i="3"/>
  <c r="BF143" i="3"/>
  <c r="BH142" i="3"/>
  <c r="T281" i="33" s="1"/>
  <c r="U281" i="33" s="1"/>
  <c r="BG142" i="3"/>
  <c r="BF142" i="3"/>
  <c r="BH141" i="3"/>
  <c r="T280" i="33" s="1"/>
  <c r="U280" i="33" s="1"/>
  <c r="V280" i="33" s="1"/>
  <c r="V17" i="38" s="1"/>
  <c r="BG141" i="3"/>
  <c r="BF141" i="3"/>
  <c r="BH140" i="3"/>
  <c r="T183" i="33" s="1"/>
  <c r="U183" i="33" s="1"/>
  <c r="V183" i="33" s="1"/>
  <c r="BG140" i="3"/>
  <c r="BF140" i="3"/>
  <c r="AX143" i="3"/>
  <c r="AV143" i="3"/>
  <c r="AX142" i="3"/>
  <c r="M281" i="33" s="1"/>
  <c r="N281" i="33" s="1"/>
  <c r="AV142" i="3"/>
  <c r="AX141" i="3"/>
  <c r="M280" i="33" s="1"/>
  <c r="N280" i="33" s="1"/>
  <c r="AV141" i="3"/>
  <c r="AX140" i="3"/>
  <c r="M183" i="33" s="1"/>
  <c r="N183" i="33" s="1"/>
  <c r="O183" i="33" s="1"/>
  <c r="AW140" i="3"/>
  <c r="AV140" i="3"/>
  <c r="AO143" i="3"/>
  <c r="BW143" i="3" s="1"/>
  <c r="AO142" i="3"/>
  <c r="BI142" i="3" s="1"/>
  <c r="AO141" i="3"/>
  <c r="AS141" i="3" s="1"/>
  <c r="CM141" i="3" s="1"/>
  <c r="AO140" i="3"/>
  <c r="BI140" i="3" s="1"/>
  <c r="AN143" i="3"/>
  <c r="BB143" i="3" s="1"/>
  <c r="AN142" i="3"/>
  <c r="BB142" i="3" s="1"/>
  <c r="AN141" i="3"/>
  <c r="AR141" i="3" s="1"/>
  <c r="AN140" i="3"/>
  <c r="BV140" i="3" s="1"/>
  <c r="R335" i="33" l="1"/>
  <c r="S335" i="33" s="1"/>
  <c r="R338" i="33"/>
  <c r="S338" i="33" s="1"/>
  <c r="AF335" i="33"/>
  <c r="AF338" i="33"/>
  <c r="M335" i="33"/>
  <c r="N335" i="33" s="1"/>
  <c r="M338" i="33"/>
  <c r="N338" i="33" s="1"/>
  <c r="T335" i="33"/>
  <c r="U335" i="33" s="1"/>
  <c r="V335" i="33" s="1"/>
  <c r="T338" i="33"/>
  <c r="U338" i="33" s="1"/>
  <c r="V338" i="33" s="1"/>
  <c r="AH335" i="33"/>
  <c r="AI335" i="33" s="1"/>
  <c r="AH338" i="33"/>
  <c r="AI338" i="33" s="1"/>
  <c r="Y335" i="33"/>
  <c r="Y338" i="33"/>
  <c r="AA335" i="33"/>
  <c r="AB335" i="33" s="1"/>
  <c r="AC335" i="33" s="1"/>
  <c r="AA338" i="33"/>
  <c r="AB338" i="33" s="1"/>
  <c r="AC338" i="33" s="1"/>
  <c r="K335" i="33"/>
  <c r="K338" i="33"/>
  <c r="I16" i="38"/>
  <c r="C9" i="38"/>
  <c r="D9" i="38" s="1"/>
  <c r="P16" i="38"/>
  <c r="V16" i="38"/>
  <c r="AP14" i="38"/>
  <c r="AP9" i="38"/>
  <c r="I9" i="38"/>
  <c r="AI17" i="38"/>
  <c r="AI16" i="38"/>
  <c r="AS17" i="38"/>
  <c r="AU17" i="38"/>
  <c r="AR17" i="38"/>
  <c r="AT17" i="38"/>
  <c r="AQ17" i="38"/>
  <c r="AA17" i="38"/>
  <c r="Y17" i="38"/>
  <c r="X17" i="38"/>
  <c r="Z17" i="38"/>
  <c r="W17" i="38"/>
  <c r="AV17" i="38"/>
  <c r="S17" i="38"/>
  <c r="U17" i="38"/>
  <c r="Q17" i="38"/>
  <c r="T17" i="38"/>
  <c r="R17" i="38"/>
  <c r="AC16" i="38"/>
  <c r="AC9" i="38"/>
  <c r="CC146" i="3"/>
  <c r="CC145" i="3"/>
  <c r="AY141" i="3"/>
  <c r="BS145" i="3"/>
  <c r="CC143" i="3"/>
  <c r="AS147" i="3"/>
  <c r="AS145" i="3"/>
  <c r="BL144" i="3"/>
  <c r="AY143" i="3"/>
  <c r="AR142" i="3"/>
  <c r="CC141" i="3"/>
  <c r="BB141" i="3"/>
  <c r="AR145" i="3"/>
  <c r="AY147" i="3"/>
  <c r="CC147" i="3"/>
  <c r="BI144" i="3"/>
  <c r="AS149" i="3"/>
  <c r="AW149" i="3" s="1"/>
  <c r="AY146" i="3"/>
  <c r="BL141" i="3"/>
  <c r="BW144" i="3"/>
  <c r="CL144" i="3" s="1"/>
  <c r="BS143" i="3"/>
  <c r="BV141" i="3"/>
  <c r="BB145" i="3"/>
  <c r="BS147" i="3"/>
  <c r="BW147" i="3"/>
  <c r="CA147" i="3" s="1"/>
  <c r="BS141" i="3"/>
  <c r="AY144" i="3"/>
  <c r="BS146" i="3"/>
  <c r="CA143" i="3"/>
  <c r="CL143" i="3"/>
  <c r="CL146" i="3"/>
  <c r="CA146" i="3"/>
  <c r="AW141" i="3"/>
  <c r="CF141" i="3"/>
  <c r="AR143" i="3"/>
  <c r="BI141" i="3"/>
  <c r="BI143" i="3"/>
  <c r="BL142" i="3"/>
  <c r="BV142" i="3"/>
  <c r="AS146" i="3"/>
  <c r="CM146" i="3" s="1"/>
  <c r="BB147" i="3"/>
  <c r="BI146" i="3"/>
  <c r="BL145" i="3"/>
  <c r="BB140" i="3"/>
  <c r="BL143" i="3"/>
  <c r="BS140" i="3"/>
  <c r="BS142" i="3"/>
  <c r="BV143" i="3"/>
  <c r="AR144" i="3"/>
  <c r="BL146" i="3"/>
  <c r="BW145" i="3"/>
  <c r="BL148" i="3"/>
  <c r="BW142" i="3"/>
  <c r="BV146" i="3"/>
  <c r="BL149" i="3"/>
  <c r="AS143" i="3"/>
  <c r="CM143" i="3" s="1"/>
  <c r="AY140" i="3"/>
  <c r="AY142" i="3"/>
  <c r="CC140" i="3"/>
  <c r="CC142" i="3"/>
  <c r="CC144" i="3"/>
  <c r="AR146" i="3"/>
  <c r="AY145" i="3"/>
  <c r="BL147" i="3"/>
  <c r="BV148" i="3"/>
  <c r="AS142" i="3"/>
  <c r="BB144" i="3"/>
  <c r="BW148" i="3"/>
  <c r="AR147" i="3"/>
  <c r="BV149" i="3"/>
  <c r="AR140" i="3"/>
  <c r="BL140" i="3"/>
  <c r="AS144" i="3"/>
  <c r="BW149" i="3"/>
  <c r="CA149" i="3" s="1"/>
  <c r="CC149" i="3"/>
  <c r="BS148" i="3"/>
  <c r="AY149" i="3"/>
  <c r="BI148" i="3"/>
  <c r="AS148" i="3"/>
  <c r="AY148" i="3"/>
  <c r="BI149" i="3"/>
  <c r="AR149" i="3"/>
  <c r="AR148" i="3"/>
  <c r="BH116" i="3"/>
  <c r="T258" i="33" s="1"/>
  <c r="U258" i="33" s="1"/>
  <c r="BG116" i="3"/>
  <c r="BF116" i="3"/>
  <c r="AX116" i="3"/>
  <c r="M258" i="33" s="1"/>
  <c r="N258" i="33" s="1"/>
  <c r="AW116" i="3"/>
  <c r="AV116" i="3"/>
  <c r="CL116" i="3"/>
  <c r="CK116" i="3"/>
  <c r="AF258" i="33" s="1"/>
  <c r="CJ116" i="3"/>
  <c r="CI116" i="3"/>
  <c r="Y258" i="33" s="1"/>
  <c r="Z258" i="33" s="1"/>
  <c r="AC12" i="38" s="1"/>
  <c r="CH116" i="3"/>
  <c r="CG116" i="3"/>
  <c r="R258" i="33" s="1"/>
  <c r="CF116" i="3"/>
  <c r="CE116" i="3"/>
  <c r="K258" i="33" s="1"/>
  <c r="CB116" i="3"/>
  <c r="AH258" i="33" s="1"/>
  <c r="AI258" i="33" s="1"/>
  <c r="AV12" i="38" s="1"/>
  <c r="CA116" i="3"/>
  <c r="BZ116" i="3"/>
  <c r="CB93" i="3"/>
  <c r="AH311" i="33" s="1"/>
  <c r="AI311" i="33" s="1"/>
  <c r="AV11" i="38" s="1"/>
  <c r="BZ93" i="3"/>
  <c r="BR116" i="3"/>
  <c r="AA258" i="33" s="1"/>
  <c r="AB258" i="33" s="1"/>
  <c r="AC258" i="33" s="1"/>
  <c r="AI12" i="38" s="1"/>
  <c r="BQ116" i="3"/>
  <c r="BP116" i="3"/>
  <c r="BR93" i="3"/>
  <c r="AA311" i="33" s="1"/>
  <c r="AB311" i="33" s="1"/>
  <c r="AC311" i="33" s="1"/>
  <c r="AI11" i="38" s="1"/>
  <c r="BP93" i="3"/>
  <c r="BH93" i="3"/>
  <c r="T311" i="33" s="1"/>
  <c r="U311" i="33" s="1"/>
  <c r="V311" i="33" s="1"/>
  <c r="V11" i="38" s="1"/>
  <c r="BF93" i="3"/>
  <c r="AX93" i="3"/>
  <c r="M311" i="33" s="1"/>
  <c r="N311" i="33" s="1"/>
  <c r="AW93" i="3"/>
  <c r="J95" i="33" s="1"/>
  <c r="AV93" i="3"/>
  <c r="BQ93" i="3"/>
  <c r="X95" i="33" s="1"/>
  <c r="BG93" i="3"/>
  <c r="Q95" i="33" s="1"/>
  <c r="AO116" i="3"/>
  <c r="CC116" i="3" s="1"/>
  <c r="AN116" i="3"/>
  <c r="AR116" i="3" s="1"/>
  <c r="AN99" i="3"/>
  <c r="AN93" i="3"/>
  <c r="N16" i="38" l="1"/>
  <c r="M16" i="38"/>
  <c r="L16" i="38"/>
  <c r="K16" i="38"/>
  <c r="J16" i="38"/>
  <c r="AH12" i="38"/>
  <c r="AF12" i="38"/>
  <c r="AE12" i="38"/>
  <c r="AG12" i="38"/>
  <c r="AD12" i="38"/>
  <c r="AA11" i="38"/>
  <c r="Y11" i="38"/>
  <c r="Z11" i="38"/>
  <c r="X11" i="38"/>
  <c r="W11" i="38"/>
  <c r="AJ17" i="38"/>
  <c r="AM17" i="38"/>
  <c r="AN17" i="38"/>
  <c r="AK17" i="38"/>
  <c r="AL17" i="38"/>
  <c r="BA11" i="38"/>
  <c r="AW11" i="38"/>
  <c r="AZ11" i="38"/>
  <c r="AX11" i="38"/>
  <c r="AY11" i="38"/>
  <c r="H9" i="38"/>
  <c r="F9" i="38"/>
  <c r="E9" i="38"/>
  <c r="G9" i="38"/>
  <c r="BA12" i="38"/>
  <c r="AZ12" i="38"/>
  <c r="AW12" i="38"/>
  <c r="AX12" i="38"/>
  <c r="AY12" i="38"/>
  <c r="AC14" i="38"/>
  <c r="BA17" i="38"/>
  <c r="AX17" i="38"/>
  <c r="AZ17" i="38"/>
  <c r="AW17" i="38"/>
  <c r="AY17" i="38"/>
  <c r="K9" i="38"/>
  <c r="M9" i="38"/>
  <c r="J9" i="38"/>
  <c r="N9" i="38"/>
  <c r="L9" i="38"/>
  <c r="AJ11" i="38"/>
  <c r="AL11" i="38"/>
  <c r="AM11" i="38"/>
  <c r="AK11" i="38"/>
  <c r="AN11" i="38"/>
  <c r="AJ12" i="38"/>
  <c r="AM12" i="38"/>
  <c r="AN12" i="38"/>
  <c r="AL12" i="38"/>
  <c r="AK12" i="38"/>
  <c r="AH9" i="38"/>
  <c r="AF9" i="38"/>
  <c r="AG9" i="38"/>
  <c r="AD9" i="38"/>
  <c r="AE9" i="38"/>
  <c r="AS9" i="38"/>
  <c r="AU9" i="38"/>
  <c r="AQ9" i="38"/>
  <c r="AR9" i="38"/>
  <c r="AT9" i="38"/>
  <c r="CM142" i="3"/>
  <c r="CM144" i="3"/>
  <c r="CM148" i="3"/>
  <c r="AW145" i="3"/>
  <c r="CM145" i="3"/>
  <c r="CF147" i="3"/>
  <c r="CM147" i="3"/>
  <c r="CM149" i="3"/>
  <c r="AW147" i="3"/>
  <c r="AR93" i="3"/>
  <c r="BV93" i="3"/>
  <c r="BB93" i="3"/>
  <c r="BL93" i="3"/>
  <c r="BL99" i="3"/>
  <c r="BV99" i="3"/>
  <c r="BB99" i="3"/>
  <c r="CF145" i="3"/>
  <c r="CA144" i="3"/>
  <c r="CF149" i="3"/>
  <c r="CL147" i="3"/>
  <c r="CL148" i="3"/>
  <c r="CA148" i="3"/>
  <c r="AW143" i="3"/>
  <c r="CF143" i="3"/>
  <c r="AW144" i="3"/>
  <c r="CF144" i="3"/>
  <c r="CA145" i="3"/>
  <c r="CL145" i="3"/>
  <c r="CF142" i="3"/>
  <c r="AW142" i="3"/>
  <c r="CL142" i="3"/>
  <c r="CA142" i="3"/>
  <c r="CL149" i="3"/>
  <c r="AW146" i="3"/>
  <c r="CF146" i="3"/>
  <c r="CF148" i="3"/>
  <c r="AW148" i="3"/>
  <c r="AY93" i="3"/>
  <c r="M95" i="33" s="1"/>
  <c r="N95" i="33" s="1"/>
  <c r="BV116" i="3"/>
  <c r="BL116" i="3"/>
  <c r="AR99" i="3"/>
  <c r="BB116" i="3"/>
  <c r="CA93" i="3"/>
  <c r="AE95" i="33" s="1"/>
  <c r="BS93" i="3"/>
  <c r="AA95" i="33" s="1"/>
  <c r="AB95" i="33" s="1"/>
  <c r="AC95" i="33" s="1"/>
  <c r="CC93" i="3"/>
  <c r="AH95" i="33" s="1"/>
  <c r="AI95" i="33" s="1"/>
  <c r="BI93" i="3"/>
  <c r="T95" i="33" s="1"/>
  <c r="U95" i="33" s="1"/>
  <c r="V95" i="33" s="1"/>
  <c r="BI116" i="3"/>
  <c r="BS116" i="3"/>
  <c r="AY116" i="3"/>
  <c r="AN49" i="3"/>
  <c r="BL49" i="3" s="1"/>
  <c r="AX49" i="3"/>
  <c r="M237" i="33" s="1"/>
  <c r="BF49" i="3"/>
  <c r="BH49" i="3"/>
  <c r="T237" i="33" s="1"/>
  <c r="U237" i="33" s="1"/>
  <c r="V237" i="33" s="1"/>
  <c r="BP49" i="3"/>
  <c r="BR49" i="3"/>
  <c r="AA237" i="33" s="1"/>
  <c r="AB237" i="33" s="1"/>
  <c r="AC237" i="33" s="1"/>
  <c r="BZ49" i="3"/>
  <c r="CB49" i="3"/>
  <c r="AH237" i="33" s="1"/>
  <c r="AI237" i="33" s="1"/>
  <c r="CE49" i="3"/>
  <c r="K237" i="33" s="1"/>
  <c r="L237" i="33" s="1"/>
  <c r="C8" i="38" s="1"/>
  <c r="CG49" i="3"/>
  <c r="R237" i="33" s="1"/>
  <c r="S237" i="33" s="1"/>
  <c r="CI49" i="3"/>
  <c r="Y237" i="33" s="1"/>
  <c r="Z237" i="33" s="1"/>
  <c r="AN50" i="3"/>
  <c r="BB50" i="3" s="1"/>
  <c r="AO50" i="3"/>
  <c r="CC50" i="3" s="1"/>
  <c r="AV50" i="3"/>
  <c r="AW50" i="3"/>
  <c r="AX50" i="3"/>
  <c r="M238" i="33" s="1"/>
  <c r="N238" i="33" s="1"/>
  <c r="BF50" i="3"/>
  <c r="BG50" i="3"/>
  <c r="BH50" i="3"/>
  <c r="T238" i="33" s="1"/>
  <c r="U238" i="33" s="1"/>
  <c r="BP50" i="3"/>
  <c r="BQ50" i="3"/>
  <c r="BR50" i="3"/>
  <c r="AA238" i="33" s="1"/>
  <c r="AB238" i="33" s="1"/>
  <c r="AC238" i="33" s="1"/>
  <c r="BZ50" i="3"/>
  <c r="CA50" i="3"/>
  <c r="CB50" i="3"/>
  <c r="AH238" i="33" s="1"/>
  <c r="AI238" i="33" s="1"/>
  <c r="CE50" i="3"/>
  <c r="K238" i="33" s="1"/>
  <c r="CF50" i="3"/>
  <c r="CG50" i="3"/>
  <c r="R238" i="33" s="1"/>
  <c r="CH50" i="3"/>
  <c r="CI50" i="3"/>
  <c r="Y238" i="33" s="1"/>
  <c r="Z238" i="33" s="1"/>
  <c r="CJ50" i="3"/>
  <c r="AN51" i="3"/>
  <c r="BV51" i="3" s="1"/>
  <c r="AO51" i="3"/>
  <c r="CC51" i="3" s="1"/>
  <c r="AV51" i="3"/>
  <c r="AW51" i="3"/>
  <c r="AX51" i="3"/>
  <c r="M239" i="33" s="1"/>
  <c r="N239" i="33" s="1"/>
  <c r="BF51" i="3"/>
  <c r="BG51" i="3"/>
  <c r="BH51" i="3"/>
  <c r="T239" i="33" s="1"/>
  <c r="U239" i="33" s="1"/>
  <c r="BP51" i="3"/>
  <c r="BQ51" i="3"/>
  <c r="BR51" i="3"/>
  <c r="AA239" i="33" s="1"/>
  <c r="AB239" i="33" s="1"/>
  <c r="AC239" i="33" s="1"/>
  <c r="BZ51" i="3"/>
  <c r="CA51" i="3"/>
  <c r="CB51" i="3"/>
  <c r="AH239" i="33" s="1"/>
  <c r="AI239" i="33" s="1"/>
  <c r="CE51" i="3"/>
  <c r="K239" i="33" s="1"/>
  <c r="CF51" i="3"/>
  <c r="CG51" i="3"/>
  <c r="R239" i="33" s="1"/>
  <c r="CH51" i="3"/>
  <c r="CI51" i="3"/>
  <c r="Y239" i="33" s="1"/>
  <c r="Z239" i="33" s="1"/>
  <c r="CJ51" i="3"/>
  <c r="AN52" i="3"/>
  <c r="BL52" i="3" s="1"/>
  <c r="AO52" i="3"/>
  <c r="CC52" i="3" s="1"/>
  <c r="AV52" i="3"/>
  <c r="AW52" i="3"/>
  <c r="AX52" i="3"/>
  <c r="M240" i="33" s="1"/>
  <c r="N240" i="33" s="1"/>
  <c r="BF52" i="3"/>
  <c r="BG52" i="3"/>
  <c r="BH52" i="3"/>
  <c r="T240" i="33" s="1"/>
  <c r="U240" i="33" s="1"/>
  <c r="V240" i="33" s="1"/>
  <c r="BP52" i="3"/>
  <c r="BQ52" i="3"/>
  <c r="BR52" i="3"/>
  <c r="AA240" i="33" s="1"/>
  <c r="AB240" i="33" s="1"/>
  <c r="BZ52" i="3"/>
  <c r="CA52" i="3"/>
  <c r="CB52" i="3"/>
  <c r="AH240" i="33" s="1"/>
  <c r="AI240" i="33" s="1"/>
  <c r="CE52" i="3"/>
  <c r="K240" i="33" s="1"/>
  <c r="CF52" i="3"/>
  <c r="CG52" i="3"/>
  <c r="R240" i="33" s="1"/>
  <c r="S240" i="33" s="1"/>
  <c r="CH52" i="3"/>
  <c r="CI52" i="3"/>
  <c r="Y240" i="33" s="1"/>
  <c r="CJ52" i="3"/>
  <c r="AO53" i="3"/>
  <c r="AN53" i="3"/>
  <c r="BB53" i="3" s="1"/>
  <c r="AV53" i="3"/>
  <c r="AW53" i="3"/>
  <c r="AX53" i="3"/>
  <c r="M241" i="33" s="1"/>
  <c r="N241" i="33" s="1"/>
  <c r="BF53" i="3"/>
  <c r="BG53" i="3"/>
  <c r="BH53" i="3"/>
  <c r="T241" i="33" s="1"/>
  <c r="U241" i="33" s="1"/>
  <c r="BP53" i="3"/>
  <c r="BQ53" i="3"/>
  <c r="BR53" i="3"/>
  <c r="AA241" i="33" s="1"/>
  <c r="AB241" i="33" s="1"/>
  <c r="AC241" i="33" s="1"/>
  <c r="BZ53" i="3"/>
  <c r="CA53" i="3"/>
  <c r="CB53" i="3"/>
  <c r="AH241" i="33" s="1"/>
  <c r="AI241" i="33" s="1"/>
  <c r="CE53" i="3"/>
  <c r="K241" i="33" s="1"/>
  <c r="CF53" i="3"/>
  <c r="CG53" i="3"/>
  <c r="R241" i="33" s="1"/>
  <c r="CH53" i="3"/>
  <c r="CI53" i="3"/>
  <c r="Y241" i="33" s="1"/>
  <c r="Z241" i="33" s="1"/>
  <c r="CJ53" i="3"/>
  <c r="AO54" i="3"/>
  <c r="BS54" i="3" s="1"/>
  <c r="AN54" i="3"/>
  <c r="AR54" i="3" s="1"/>
  <c r="AV54" i="3"/>
  <c r="AW54" i="3"/>
  <c r="AX54" i="3"/>
  <c r="M242" i="33" s="1"/>
  <c r="BF54" i="3"/>
  <c r="BG54" i="3"/>
  <c r="BH54" i="3"/>
  <c r="T242" i="33" s="1"/>
  <c r="U242" i="33" s="1"/>
  <c r="V242" i="33" s="1"/>
  <c r="BP54" i="3"/>
  <c r="BQ54" i="3"/>
  <c r="BR54" i="3"/>
  <c r="AA242" i="33" s="1"/>
  <c r="AB242" i="33" s="1"/>
  <c r="AC242" i="33" s="1"/>
  <c r="BZ54" i="3"/>
  <c r="CA54" i="3"/>
  <c r="CB54" i="3"/>
  <c r="AH242" i="33" s="1"/>
  <c r="AI242" i="33" s="1"/>
  <c r="CE54" i="3"/>
  <c r="K242" i="33" s="1"/>
  <c r="L242" i="33" s="1"/>
  <c r="CF54" i="3"/>
  <c r="CG54" i="3"/>
  <c r="R242" i="33" s="1"/>
  <c r="CH54" i="3"/>
  <c r="CI54" i="3"/>
  <c r="Y242" i="33" s="1"/>
  <c r="CJ54" i="3"/>
  <c r="AN55" i="3"/>
  <c r="BB55" i="3" s="1"/>
  <c r="AO55" i="3"/>
  <c r="AV55" i="3"/>
  <c r="AX55" i="3"/>
  <c r="M289" i="33" s="1"/>
  <c r="BF55" i="3"/>
  <c r="BG55" i="3"/>
  <c r="Q65" i="33" s="1"/>
  <c r="BH55" i="3"/>
  <c r="T289" i="33" s="1"/>
  <c r="BP55" i="3"/>
  <c r="BQ55" i="3"/>
  <c r="X65" i="33" s="1"/>
  <c r="BR55" i="3"/>
  <c r="AA289" i="33" s="1"/>
  <c r="BZ55" i="3"/>
  <c r="CB55" i="3"/>
  <c r="AH289" i="33" s="1"/>
  <c r="CE55" i="3"/>
  <c r="K289" i="33" s="1"/>
  <c r="CG55" i="3"/>
  <c r="R289" i="33" s="1"/>
  <c r="CH55" i="3"/>
  <c r="R65" i="33" s="1"/>
  <c r="S65" i="33" s="1"/>
  <c r="CI55" i="3"/>
  <c r="Y289" i="33" s="1"/>
  <c r="CJ55" i="3"/>
  <c r="Y65" i="33" s="1"/>
  <c r="Z65" i="33" s="1"/>
  <c r="AN75" i="3"/>
  <c r="BL75" i="3" s="1"/>
  <c r="AO75" i="3"/>
  <c r="AV75" i="3"/>
  <c r="AW75" i="3"/>
  <c r="J85" i="33" s="1"/>
  <c r="AX75" i="3"/>
  <c r="M293" i="33" s="1"/>
  <c r="N293" i="33" s="1"/>
  <c r="BF75" i="3"/>
  <c r="BH75" i="3"/>
  <c r="T293" i="33" s="1"/>
  <c r="U293" i="33" s="1"/>
  <c r="V293" i="33" s="1"/>
  <c r="BP75" i="3"/>
  <c r="BQ75" i="3"/>
  <c r="X85" i="33" s="1"/>
  <c r="BR75" i="3"/>
  <c r="AA293" i="33" s="1"/>
  <c r="AB293" i="33" s="1"/>
  <c r="AC293" i="33" s="1"/>
  <c r="BZ75" i="3"/>
  <c r="CA75" i="3"/>
  <c r="AE85" i="33" s="1"/>
  <c r="CB75" i="3"/>
  <c r="AH293" i="33" s="1"/>
  <c r="AI293" i="33" s="1"/>
  <c r="CE75" i="3"/>
  <c r="K293" i="33" s="1"/>
  <c r="CF75" i="3"/>
  <c r="K85" i="33" s="1"/>
  <c r="CG75" i="3"/>
  <c r="R293" i="33" s="1"/>
  <c r="S293" i="33" s="1"/>
  <c r="CI75" i="3"/>
  <c r="Y293" i="33" s="1"/>
  <c r="CJ75" i="3"/>
  <c r="Y85" i="33" s="1"/>
  <c r="AV8" i="38" l="1"/>
  <c r="AX8" i="38" s="1"/>
  <c r="P14" i="38"/>
  <c r="P9" i="38"/>
  <c r="AI8" i="38"/>
  <c r="AV9" i="38"/>
  <c r="V8" i="38"/>
  <c r="AC8" i="38"/>
  <c r="P8" i="38"/>
  <c r="V9" i="38"/>
  <c r="AI9" i="38"/>
  <c r="H8" i="38"/>
  <c r="D8" i="38"/>
  <c r="E8" i="38"/>
  <c r="G8" i="38"/>
  <c r="F8" i="38"/>
  <c r="N237" i="33"/>
  <c r="O237" i="33" s="1"/>
  <c r="I8" i="38" s="1"/>
  <c r="J8" i="38" s="1"/>
  <c r="N242" i="33"/>
  <c r="O242" i="33" s="1"/>
  <c r="N289" i="33"/>
  <c r="L289" i="33"/>
  <c r="C14" i="38" s="1"/>
  <c r="AI289" i="33"/>
  <c r="AV10" i="38" s="1"/>
  <c r="AB289" i="33"/>
  <c r="U289" i="33"/>
  <c r="BI75" i="3"/>
  <c r="T85" i="33" s="1"/>
  <c r="U85" i="33" s="1"/>
  <c r="V85" i="33" s="1"/>
  <c r="BC75" i="3"/>
  <c r="CM75" i="3" s="1"/>
  <c r="CC55" i="3"/>
  <c r="AH65" i="33" s="1"/>
  <c r="AI65" i="33" s="1"/>
  <c r="AS55" i="3"/>
  <c r="CM55" i="3" s="1"/>
  <c r="BI50" i="3"/>
  <c r="BL50" i="3"/>
  <c r="AR50" i="3"/>
  <c r="BI55" i="3"/>
  <c r="T65" i="33" s="1"/>
  <c r="U65" i="33" s="1"/>
  <c r="V65" i="33" s="1"/>
  <c r="AR75" i="3"/>
  <c r="BI51" i="3"/>
  <c r="BL55" i="3"/>
  <c r="BS50" i="3"/>
  <c r="AY50" i="3"/>
  <c r="BV49" i="3"/>
  <c r="BB49" i="3"/>
  <c r="BI53" i="3"/>
  <c r="CC53" i="3"/>
  <c r="BS53" i="3"/>
  <c r="AY53" i="3"/>
  <c r="BV54" i="3"/>
  <c r="BV52" i="3"/>
  <c r="BB52" i="3"/>
  <c r="BS51" i="3"/>
  <c r="AY51" i="3"/>
  <c r="BL53" i="3"/>
  <c r="AR53" i="3"/>
  <c r="BI52" i="3"/>
  <c r="AR52" i="3"/>
  <c r="AR55" i="3"/>
  <c r="BV55" i="3"/>
  <c r="BV75" i="3"/>
  <c r="BB75" i="3"/>
  <c r="BS55" i="3"/>
  <c r="AA65" i="33" s="1"/>
  <c r="AB65" i="33" s="1"/>
  <c r="AC65" i="33" s="1"/>
  <c r="AY54" i="3"/>
  <c r="BS52" i="3"/>
  <c r="BV50" i="3"/>
  <c r="AR49" i="3"/>
  <c r="CC54" i="3"/>
  <c r="BL51" i="3"/>
  <c r="BS75" i="3"/>
  <c r="AA85" i="33" s="1"/>
  <c r="AB85" i="33" s="1"/>
  <c r="AC85" i="33" s="1"/>
  <c r="CC75" i="3"/>
  <c r="AH85" i="33" s="1"/>
  <c r="AI85" i="33" s="1"/>
  <c r="AY55" i="3"/>
  <c r="M65" i="33" s="1"/>
  <c r="BL54" i="3"/>
  <c r="BV53" i="3"/>
  <c r="AY52" i="3"/>
  <c r="BB54" i="3"/>
  <c r="BI54" i="3"/>
  <c r="AR51" i="3"/>
  <c r="BB51" i="3"/>
  <c r="AY75" i="3"/>
  <c r="M85" i="33" s="1"/>
  <c r="N85" i="33" s="1"/>
  <c r="BX12" i="29"/>
  <c r="AF203" i="33" s="1"/>
  <c r="AG203" i="33" s="1"/>
  <c r="BV12" i="29"/>
  <c r="Y203" i="33" s="1"/>
  <c r="BT12" i="29"/>
  <c r="R203" i="33" s="1"/>
  <c r="BR12" i="29"/>
  <c r="K203" i="33" s="1"/>
  <c r="BX11" i="29"/>
  <c r="AF202" i="33" s="1"/>
  <c r="AG202" i="33" s="1"/>
  <c r="BV11" i="29"/>
  <c r="Y202" i="33" s="1"/>
  <c r="BT11" i="29"/>
  <c r="R202" i="33" s="1"/>
  <c r="K202" i="33"/>
  <c r="BX10" i="29"/>
  <c r="AF148" i="33" s="1"/>
  <c r="AG148" i="33" s="1"/>
  <c r="BV10" i="29"/>
  <c r="Y148" i="33" s="1"/>
  <c r="Z148" i="33" s="1"/>
  <c r="BT10" i="29"/>
  <c r="R148" i="33" s="1"/>
  <c r="S148" i="33" s="1"/>
  <c r="BR10" i="29"/>
  <c r="K148" i="33" s="1"/>
  <c r="L148" i="33" s="1"/>
  <c r="BO12" i="29"/>
  <c r="AH203" i="33" s="1"/>
  <c r="AI203" i="33" s="1"/>
  <c r="BM12" i="29"/>
  <c r="BO11" i="29"/>
  <c r="AH202" i="33" s="1"/>
  <c r="AI202" i="33" s="1"/>
  <c r="BM11" i="29"/>
  <c r="BM10" i="29"/>
  <c r="BE12" i="29"/>
  <c r="AA203" i="33" s="1"/>
  <c r="AB203" i="33" s="1"/>
  <c r="BC12" i="29"/>
  <c r="BE11" i="29"/>
  <c r="AA202" i="33" s="1"/>
  <c r="AB202" i="33" s="1"/>
  <c r="BC11" i="29"/>
  <c r="BC10" i="29"/>
  <c r="AU12" i="29"/>
  <c r="T203" i="33" s="1"/>
  <c r="U203" i="33" s="1"/>
  <c r="AS12" i="29"/>
  <c r="AU11" i="29"/>
  <c r="T202" i="33" s="1"/>
  <c r="U202" i="33" s="1"/>
  <c r="AS11" i="29"/>
  <c r="AS10" i="29"/>
  <c r="AK12" i="29"/>
  <c r="M203" i="33" s="1"/>
  <c r="N203" i="33" s="1"/>
  <c r="AI12" i="29"/>
  <c r="AK11" i="29"/>
  <c r="M202" i="33" s="1"/>
  <c r="N202" i="33" s="1"/>
  <c r="AI10" i="29"/>
  <c r="AA11" i="29"/>
  <c r="AY11" i="29" s="1"/>
  <c r="BY36" i="27"/>
  <c r="BW36" i="27"/>
  <c r="BU36" i="27"/>
  <c r="BN36" i="27"/>
  <c r="BD36" i="27"/>
  <c r="AT36" i="27"/>
  <c r="AJ36" i="27"/>
  <c r="BS36" i="27"/>
  <c r="BM36" i="27"/>
  <c r="BX36" i="27"/>
  <c r="BC36" i="27"/>
  <c r="BV36" i="27"/>
  <c r="AS36" i="27"/>
  <c r="BT36" i="27"/>
  <c r="AI36" i="27"/>
  <c r="BR36" i="27"/>
  <c r="AA36" i="27"/>
  <c r="AE36" i="27" s="1"/>
  <c r="AK36" i="27"/>
  <c r="AU36" i="27"/>
  <c r="BE36" i="27"/>
  <c r="BO36" i="27"/>
  <c r="AB36" i="27"/>
  <c r="BN35" i="27"/>
  <c r="BY35" i="27"/>
  <c r="BM35" i="27"/>
  <c r="BX35" i="27"/>
  <c r="BD35" i="27"/>
  <c r="BW35" i="27"/>
  <c r="BC35" i="27"/>
  <c r="BV35" i="27"/>
  <c r="AT35" i="27"/>
  <c r="BU35" i="27"/>
  <c r="AS35" i="27"/>
  <c r="BT35" i="27"/>
  <c r="AJ35" i="27"/>
  <c r="BS35" i="27"/>
  <c r="AI35" i="27"/>
  <c r="BR35" i="27"/>
  <c r="AK35" i="27"/>
  <c r="AU35" i="27"/>
  <c r="BE35" i="27"/>
  <c r="BO35" i="27"/>
  <c r="AB35" i="27"/>
  <c r="AA35" i="27"/>
  <c r="AO35" i="27" s="1"/>
  <c r="K201" i="33" l="1"/>
  <c r="M200" i="33"/>
  <c r="N200" i="33" s="1"/>
  <c r="Y200" i="33"/>
  <c r="AH201" i="33"/>
  <c r="AI201" i="33" s="1"/>
  <c r="R200" i="33"/>
  <c r="AA201" i="33"/>
  <c r="AB201" i="33" s="1"/>
  <c r="Y201" i="33"/>
  <c r="AH200" i="33"/>
  <c r="AI200" i="33" s="1"/>
  <c r="T200" i="33"/>
  <c r="U200" i="33" s="1"/>
  <c r="K200" i="33"/>
  <c r="R201" i="33"/>
  <c r="T201" i="33"/>
  <c r="U201" i="33" s="1"/>
  <c r="AF200" i="33"/>
  <c r="AG200" i="33" s="1"/>
  <c r="M201" i="33"/>
  <c r="N201" i="33" s="1"/>
  <c r="AF201" i="33"/>
  <c r="AG201" i="33" s="1"/>
  <c r="AA200" i="33"/>
  <c r="AB200" i="33" s="1"/>
  <c r="AW8" i="38"/>
  <c r="BA8" i="38"/>
  <c r="AV14" i="38"/>
  <c r="AY8" i="38"/>
  <c r="AZ8" i="38"/>
  <c r="AJ9" i="38"/>
  <c r="AN9" i="38"/>
  <c r="AM9" i="38"/>
  <c r="AL9" i="38"/>
  <c r="AK9" i="38"/>
  <c r="AA8" i="38"/>
  <c r="Y8" i="38"/>
  <c r="W8" i="38"/>
  <c r="X8" i="38"/>
  <c r="Z8" i="38"/>
  <c r="S8" i="38"/>
  <c r="U8" i="38"/>
  <c r="T8" i="38"/>
  <c r="R8" i="38"/>
  <c r="Q8" i="38"/>
  <c r="AJ8" i="38"/>
  <c r="AN8" i="38"/>
  <c r="AL8" i="38"/>
  <c r="AK8" i="38"/>
  <c r="AM8" i="38"/>
  <c r="N8" i="38"/>
  <c r="L8" i="38"/>
  <c r="M8" i="38"/>
  <c r="K8" i="38"/>
  <c r="BA9" i="38"/>
  <c r="AZ9" i="38"/>
  <c r="AW9" i="38"/>
  <c r="AX9" i="38"/>
  <c r="AY9" i="38"/>
  <c r="C10" i="38"/>
  <c r="S9" i="38"/>
  <c r="U9" i="38"/>
  <c r="Q9" i="38"/>
  <c r="R9" i="38"/>
  <c r="T9" i="38"/>
  <c r="AH8" i="38"/>
  <c r="AG8" i="38"/>
  <c r="AD8" i="38"/>
  <c r="AE8" i="38"/>
  <c r="AF8" i="38"/>
  <c r="AA9" i="38"/>
  <c r="W9" i="38"/>
  <c r="Y9" i="38"/>
  <c r="Z9" i="38"/>
  <c r="X9" i="38"/>
  <c r="N65" i="33"/>
  <c r="O65" i="33" s="1"/>
  <c r="AC289" i="33"/>
  <c r="O289" i="33"/>
  <c r="V289" i="33"/>
  <c r="AL35" i="27"/>
  <c r="BZ35" i="27"/>
  <c r="BF36" i="27"/>
  <c r="BZ36" i="27"/>
  <c r="BG75" i="3"/>
  <c r="Q85" i="33" s="1"/>
  <c r="CH75" i="3"/>
  <c r="R85" i="33" s="1"/>
  <c r="S85" i="33" s="1"/>
  <c r="AW55" i="3"/>
  <c r="J65" i="33" s="1"/>
  <c r="CF55" i="3"/>
  <c r="K65" i="33" s="1"/>
  <c r="L65" i="33" s="1"/>
  <c r="BF35" i="27"/>
  <c r="BP35" i="27"/>
  <c r="AO36" i="27"/>
  <c r="AY36" i="27"/>
  <c r="BI36" i="27"/>
  <c r="AV36" i="27"/>
  <c r="AO11" i="29"/>
  <c r="AE11" i="29"/>
  <c r="BI11" i="29"/>
  <c r="AL36" i="27"/>
  <c r="BP36" i="27"/>
  <c r="AV35" i="27"/>
  <c r="BI35" i="27"/>
  <c r="AY35" i="27"/>
  <c r="AE35" i="27"/>
  <c r="G14" i="38" l="1"/>
  <c r="F14" i="38"/>
  <c r="H14" i="38"/>
  <c r="E14" i="38"/>
  <c r="D14" i="38"/>
  <c r="F10" i="38"/>
  <c r="E10" i="38"/>
  <c r="D10" i="38"/>
  <c r="H10" i="38"/>
  <c r="G10" i="38"/>
  <c r="V10" i="38"/>
  <c r="V14" i="38"/>
  <c r="I10" i="38"/>
  <c r="I14" i="38"/>
  <c r="AI10" i="38"/>
  <c r="AI14" i="38"/>
  <c r="AA12" i="29"/>
  <c r="AY12" i="29" s="1"/>
  <c r="AP10" i="29"/>
  <c r="AA10" i="29"/>
  <c r="AY10" i="29" s="1"/>
  <c r="M10" i="29"/>
  <c r="Z10" i="29"/>
  <c r="N14" i="38" l="1"/>
  <c r="J14" i="38"/>
  <c r="M14" i="38"/>
  <c r="K14" i="38"/>
  <c r="L14" i="38"/>
  <c r="L10" i="38"/>
  <c r="K10" i="38"/>
  <c r="J10" i="38"/>
  <c r="N10" i="38"/>
  <c r="M10" i="38"/>
  <c r="BO10" i="29"/>
  <c r="AH148" i="33" s="1"/>
  <c r="AI148" i="33" s="1"/>
  <c r="BE10" i="29"/>
  <c r="AA148" i="33" s="1"/>
  <c r="AB148" i="33" s="1"/>
  <c r="AC148" i="33" s="1"/>
  <c r="AU10" i="29"/>
  <c r="T148" i="33" s="1"/>
  <c r="U148" i="33" s="1"/>
  <c r="V148" i="33" s="1"/>
  <c r="AK10" i="29"/>
  <c r="M148" i="33" s="1"/>
  <c r="N148" i="33" s="1"/>
  <c r="O148" i="33" s="1"/>
  <c r="AZ10" i="29"/>
  <c r="BD10" i="29" s="1"/>
  <c r="X30" i="33" s="1"/>
  <c r="AT10" i="29"/>
  <c r="Q30" i="33" s="1"/>
  <c r="BU10" i="29"/>
  <c r="R30" i="33" s="1"/>
  <c r="S30" i="33" s="1"/>
  <c r="AE12" i="29"/>
  <c r="AO10" i="29"/>
  <c r="AO12" i="29"/>
  <c r="AF10" i="29"/>
  <c r="AL10" i="29"/>
  <c r="M30" i="33" s="1"/>
  <c r="N30" i="33" s="1"/>
  <c r="O30" i="33" s="1"/>
  <c r="AV10" i="29"/>
  <c r="T30" i="33" s="1"/>
  <c r="U30" i="33" s="1"/>
  <c r="V30" i="33" s="1"/>
  <c r="BF10" i="29"/>
  <c r="AA30" i="33" s="1"/>
  <c r="AB30" i="33" s="1"/>
  <c r="AC30" i="33" s="1"/>
  <c r="BP10" i="29"/>
  <c r="AH30" i="33" s="1"/>
  <c r="AI30" i="33" s="1"/>
  <c r="AE10" i="29"/>
  <c r="BI10" i="29"/>
  <c r="BJ10" i="29"/>
  <c r="BI12" i="29"/>
  <c r="BW10" i="29" l="1"/>
  <c r="Y30" i="33" s="1"/>
  <c r="Z30" i="33" s="1"/>
  <c r="BZ10" i="29"/>
  <c r="AJ10" i="29"/>
  <c r="J30" i="33" s="1"/>
  <c r="BS10" i="29"/>
  <c r="K30" i="33" s="1"/>
  <c r="L30" i="33" s="1"/>
  <c r="BN10" i="29"/>
  <c r="AE30" i="33" s="1"/>
  <c r="BY10" i="29"/>
  <c r="AF30" i="33" s="1"/>
  <c r="AG30" i="33" s="1"/>
  <c r="BX20" i="29" l="1"/>
  <c r="BV20" i="29"/>
  <c r="BT20" i="29"/>
  <c r="BR20" i="29"/>
  <c r="BO20" i="29"/>
  <c r="BM20" i="29"/>
  <c r="BE20" i="29"/>
  <c r="BC20" i="29"/>
  <c r="AU20" i="29"/>
  <c r="AS20" i="29"/>
  <c r="AK20" i="29"/>
  <c r="AI20" i="29"/>
  <c r="AB20" i="29"/>
  <c r="AA20" i="29"/>
  <c r="AE20" i="29" s="1"/>
  <c r="BX19" i="29"/>
  <c r="BV19" i="29"/>
  <c r="BT19" i="29"/>
  <c r="BR19" i="29"/>
  <c r="BO19" i="29"/>
  <c r="BM19" i="29"/>
  <c r="BE19" i="29"/>
  <c r="BC19" i="29"/>
  <c r="AU19" i="29"/>
  <c r="AS19" i="29"/>
  <c r="AK19" i="29"/>
  <c r="AI19" i="29"/>
  <c r="AB19" i="29"/>
  <c r="AA19" i="29"/>
  <c r="BI19" i="29" s="1"/>
  <c r="BX18" i="29"/>
  <c r="BV18" i="29"/>
  <c r="BT18" i="29"/>
  <c r="BR18" i="29"/>
  <c r="BO18" i="29"/>
  <c r="BM18" i="29"/>
  <c r="BE18" i="29"/>
  <c r="BC18" i="29"/>
  <c r="AU18" i="29"/>
  <c r="AS18" i="29"/>
  <c r="AK18" i="29"/>
  <c r="AI18" i="29"/>
  <c r="AB18" i="29"/>
  <c r="AA18" i="29"/>
  <c r="AY18" i="29" s="1"/>
  <c r="BX17" i="29"/>
  <c r="BV17" i="29"/>
  <c r="BT17" i="29"/>
  <c r="BR17" i="29"/>
  <c r="BO17" i="29"/>
  <c r="BM17" i="29"/>
  <c r="BE17" i="29"/>
  <c r="BC17" i="29"/>
  <c r="AU17" i="29"/>
  <c r="AS17" i="29"/>
  <c r="AK17" i="29"/>
  <c r="AB17" i="29"/>
  <c r="AL17" i="29" s="1"/>
  <c r="M35" i="33" s="1"/>
  <c r="AA17" i="29"/>
  <c r="AO17" i="29" s="1"/>
  <c r="BY16" i="29"/>
  <c r="BX16" i="29"/>
  <c r="AF150" i="33" s="1"/>
  <c r="AG150" i="33" s="1"/>
  <c r="BW16" i="29"/>
  <c r="BV16" i="29"/>
  <c r="Y150" i="33" s="1"/>
  <c r="Z150" i="33" s="1"/>
  <c r="BU16" i="29"/>
  <c r="BT16" i="29"/>
  <c r="R150" i="33" s="1"/>
  <c r="S150" i="33" s="1"/>
  <c r="BS16" i="29"/>
  <c r="BR16" i="29"/>
  <c r="K150" i="33" s="1"/>
  <c r="L150" i="33" s="1"/>
  <c r="BO16" i="29"/>
  <c r="AH150" i="33" s="1"/>
  <c r="AI150" i="33" s="1"/>
  <c r="BN16" i="29"/>
  <c r="BM16" i="29"/>
  <c r="BE16" i="29"/>
  <c r="AA150" i="33" s="1"/>
  <c r="AB150" i="33" s="1"/>
  <c r="AC150" i="33" s="1"/>
  <c r="BD16" i="29"/>
  <c r="BC16" i="29"/>
  <c r="AU16" i="29"/>
  <c r="T150" i="33" s="1"/>
  <c r="U150" i="33" s="1"/>
  <c r="V150" i="33" s="1"/>
  <c r="AT16" i="29"/>
  <c r="AS16" i="29"/>
  <c r="AK16" i="29"/>
  <c r="M150" i="33" s="1"/>
  <c r="N150" i="33" s="1"/>
  <c r="O150" i="33" s="1"/>
  <c r="AJ16" i="29"/>
  <c r="AI16" i="29"/>
  <c r="AB16" i="29"/>
  <c r="AA16" i="29"/>
  <c r="AE16" i="29" s="1"/>
  <c r="BY15" i="29"/>
  <c r="BX15" i="29"/>
  <c r="AF34" i="33" s="1"/>
  <c r="AG34" i="33" s="1"/>
  <c r="BW15" i="29"/>
  <c r="BV15" i="29"/>
  <c r="Y34" i="33" s="1"/>
  <c r="BU15" i="29"/>
  <c r="BT15" i="29"/>
  <c r="R34" i="33" s="1"/>
  <c r="BS15" i="29"/>
  <c r="K34" i="33" s="1"/>
  <c r="BR15" i="29"/>
  <c r="BO15" i="29"/>
  <c r="AH34" i="33" s="1"/>
  <c r="AI34" i="33" s="1"/>
  <c r="BN15" i="29"/>
  <c r="BM15" i="29"/>
  <c r="BE15" i="29"/>
  <c r="AA34" i="33" s="1"/>
  <c r="AB34" i="33" s="1"/>
  <c r="BD15" i="29"/>
  <c r="BC15" i="29"/>
  <c r="AU15" i="29"/>
  <c r="T34" i="33" s="1"/>
  <c r="U34" i="33" s="1"/>
  <c r="AT15" i="29"/>
  <c r="AS15" i="29"/>
  <c r="AK15" i="29"/>
  <c r="M34" i="33" s="1"/>
  <c r="N34" i="33" s="1"/>
  <c r="AJ15" i="29"/>
  <c r="AI15" i="29"/>
  <c r="AV15" i="29"/>
  <c r="BI15" i="29"/>
  <c r="BY14" i="29"/>
  <c r="BX14" i="29"/>
  <c r="AF149" i="33" s="1"/>
  <c r="AG149" i="33" s="1"/>
  <c r="BW14" i="29"/>
  <c r="BV14" i="29"/>
  <c r="Y149" i="33" s="1"/>
  <c r="BU14" i="29"/>
  <c r="BT14" i="29"/>
  <c r="R149" i="33" s="1"/>
  <c r="BS14" i="29"/>
  <c r="BR14" i="29"/>
  <c r="K149" i="33" s="1"/>
  <c r="BO14" i="29"/>
  <c r="AH149" i="33" s="1"/>
  <c r="AI149" i="33" s="1"/>
  <c r="BN14" i="29"/>
  <c r="BM14" i="29"/>
  <c r="BE14" i="29"/>
  <c r="AA149" i="33" s="1"/>
  <c r="AB149" i="33" s="1"/>
  <c r="BD14" i="29"/>
  <c r="BC14" i="29"/>
  <c r="AU14" i="29"/>
  <c r="T149" i="33" s="1"/>
  <c r="U149" i="33" s="1"/>
  <c r="AT14" i="29"/>
  <c r="AS14" i="29"/>
  <c r="AK14" i="29"/>
  <c r="M149" i="33" s="1"/>
  <c r="N149" i="33" s="1"/>
  <c r="AJ14" i="29"/>
  <c r="AI14" i="29"/>
  <c r="AB14" i="29"/>
  <c r="AA14" i="29"/>
  <c r="AY14" i="29" s="1"/>
  <c r="BX9" i="29"/>
  <c r="AF147" i="33" s="1"/>
  <c r="AG147" i="33" s="1"/>
  <c r="BV9" i="29"/>
  <c r="Y147" i="33" s="1"/>
  <c r="Z147" i="33" s="1"/>
  <c r="AC10" i="35" s="1"/>
  <c r="BT9" i="29"/>
  <c r="R147" i="33" s="1"/>
  <c r="S147" i="33" s="1"/>
  <c r="P10" i="35" s="1"/>
  <c r="BR9" i="29"/>
  <c r="K147" i="33" s="1"/>
  <c r="L147" i="33" s="1"/>
  <c r="BO9" i="29"/>
  <c r="AH147" i="33" s="1"/>
  <c r="AI147" i="33" s="1"/>
  <c r="BM9" i="29"/>
  <c r="BE9" i="29"/>
  <c r="AA147" i="33" s="1"/>
  <c r="AB147" i="33" s="1"/>
  <c r="AC147" i="33" s="1"/>
  <c r="AI10" i="35" s="1"/>
  <c r="BC9" i="29"/>
  <c r="AU9" i="29"/>
  <c r="T147" i="33" s="1"/>
  <c r="U147" i="33" s="1"/>
  <c r="V147" i="33" s="1"/>
  <c r="V10" i="35" s="1"/>
  <c r="AS9" i="29"/>
  <c r="AK9" i="29"/>
  <c r="M147" i="33" s="1"/>
  <c r="AI9" i="29"/>
  <c r="AB9" i="29"/>
  <c r="AA9" i="29"/>
  <c r="AO9" i="29" s="1"/>
  <c r="U10" i="35" l="1"/>
  <c r="T10" i="35"/>
  <c r="S10" i="35"/>
  <c r="R10" i="35"/>
  <c r="Q10" i="35"/>
  <c r="N147" i="33"/>
  <c r="O147" i="33" s="1"/>
  <c r="I10" i="35" s="1"/>
  <c r="AA10" i="35"/>
  <c r="Z10" i="35"/>
  <c r="Y10" i="35"/>
  <c r="X10" i="35"/>
  <c r="W10" i="35"/>
  <c r="AF10" i="35"/>
  <c r="AE10" i="35"/>
  <c r="AD10" i="35"/>
  <c r="AH10" i="35"/>
  <c r="AG10" i="35"/>
  <c r="AN10" i="35"/>
  <c r="AM10" i="35"/>
  <c r="AL10" i="35"/>
  <c r="AK10" i="35"/>
  <c r="AJ10" i="35"/>
  <c r="AV10" i="35"/>
  <c r="AP10" i="35"/>
  <c r="AH205" i="33"/>
  <c r="AI205" i="33" s="1"/>
  <c r="AH35" i="33"/>
  <c r="AI35" i="33" s="1"/>
  <c r="M151" i="33"/>
  <c r="N151" i="33" s="1"/>
  <c r="O151" i="33" s="1"/>
  <c r="AF206" i="33"/>
  <c r="AG206" i="33" s="1"/>
  <c r="AF37" i="33"/>
  <c r="AG37" i="33" s="1"/>
  <c r="Y151" i="33"/>
  <c r="Z151" i="33" s="1"/>
  <c r="Y36" i="33"/>
  <c r="Z36" i="33" s="1"/>
  <c r="N35" i="33"/>
  <c r="O35" i="33" s="1"/>
  <c r="M205" i="33"/>
  <c r="N205" i="33" s="1"/>
  <c r="O205" i="33" s="1"/>
  <c r="R35" i="33"/>
  <c r="S35" i="33" s="1"/>
  <c r="R205" i="33"/>
  <c r="S205" i="33" s="1"/>
  <c r="T36" i="33"/>
  <c r="U36" i="33" s="1"/>
  <c r="V36" i="33" s="1"/>
  <c r="T151" i="33"/>
  <c r="U151" i="33" s="1"/>
  <c r="V151" i="33" s="1"/>
  <c r="AF36" i="33"/>
  <c r="AG36" i="33" s="1"/>
  <c r="AF151" i="33"/>
  <c r="AG151" i="33" s="1"/>
  <c r="AA37" i="33"/>
  <c r="AB37" i="33" s="1"/>
  <c r="AC37" i="33" s="1"/>
  <c r="AA206" i="33"/>
  <c r="AB206" i="33" s="1"/>
  <c r="AC206" i="33" s="1"/>
  <c r="AH38" i="33"/>
  <c r="AI38" i="33" s="1"/>
  <c r="AH152" i="33"/>
  <c r="AI152" i="33" s="1"/>
  <c r="Y37" i="33"/>
  <c r="Z37" i="33" s="1"/>
  <c r="Y206" i="33"/>
  <c r="Z206" i="33" s="1"/>
  <c r="T206" i="33"/>
  <c r="U206" i="33" s="1"/>
  <c r="V206" i="33" s="1"/>
  <c r="T37" i="33"/>
  <c r="U37" i="33" s="1"/>
  <c r="V37" i="33" s="1"/>
  <c r="Y35" i="33"/>
  <c r="Z35" i="33" s="1"/>
  <c r="Y205" i="33"/>
  <c r="Z205" i="33" s="1"/>
  <c r="K152" i="33"/>
  <c r="L152" i="33" s="1"/>
  <c r="K151" i="33"/>
  <c r="L151" i="33" s="1"/>
  <c r="C10" i="35"/>
  <c r="T205" i="33"/>
  <c r="U205" i="33" s="1"/>
  <c r="V205" i="33" s="1"/>
  <c r="T35" i="33"/>
  <c r="U35" i="33" s="1"/>
  <c r="V35" i="33" s="1"/>
  <c r="AF35" i="33"/>
  <c r="AG35" i="33" s="1"/>
  <c r="AF205" i="33"/>
  <c r="AG205" i="33" s="1"/>
  <c r="AA151" i="33"/>
  <c r="AB151" i="33" s="1"/>
  <c r="AC151" i="33" s="1"/>
  <c r="AA36" i="33"/>
  <c r="AB36" i="33" s="1"/>
  <c r="AC36" i="33" s="1"/>
  <c r="AH206" i="33"/>
  <c r="AI206" i="33" s="1"/>
  <c r="AH37" i="33"/>
  <c r="AI37" i="33" s="1"/>
  <c r="M152" i="33"/>
  <c r="N152" i="33" s="1"/>
  <c r="O152" i="33" s="1"/>
  <c r="R152" i="33"/>
  <c r="S152" i="33" s="1"/>
  <c r="R38" i="33"/>
  <c r="S38" i="33" s="1"/>
  <c r="K206" i="33"/>
  <c r="L206" i="33" s="1"/>
  <c r="Y152" i="33"/>
  <c r="Z152" i="33" s="1"/>
  <c r="Y38" i="33"/>
  <c r="Z38" i="33" s="1"/>
  <c r="R36" i="33"/>
  <c r="S36" i="33" s="1"/>
  <c r="R151" i="33"/>
  <c r="S151" i="33" s="1"/>
  <c r="AA152" i="33"/>
  <c r="AB152" i="33" s="1"/>
  <c r="AC152" i="33" s="1"/>
  <c r="AA38" i="33"/>
  <c r="AB38" i="33" s="1"/>
  <c r="AC38" i="33" s="1"/>
  <c r="K205" i="33"/>
  <c r="AA35" i="33"/>
  <c r="AB35" i="33" s="1"/>
  <c r="AC35" i="33" s="1"/>
  <c r="AA205" i="33"/>
  <c r="AB205" i="33" s="1"/>
  <c r="AC205" i="33" s="1"/>
  <c r="AH36" i="33"/>
  <c r="AI36" i="33" s="1"/>
  <c r="AH151" i="33"/>
  <c r="AI151" i="33" s="1"/>
  <c r="M206" i="33"/>
  <c r="N206" i="33" s="1"/>
  <c r="O206" i="33" s="1"/>
  <c r="R206" i="33"/>
  <c r="S206" i="33" s="1"/>
  <c r="R37" i="33"/>
  <c r="S37" i="33" s="1"/>
  <c r="T38" i="33"/>
  <c r="U38" i="33" s="1"/>
  <c r="V38" i="33" s="1"/>
  <c r="T152" i="33"/>
  <c r="U152" i="33" s="1"/>
  <c r="V152" i="33" s="1"/>
  <c r="AF38" i="33"/>
  <c r="AG38" i="33" s="1"/>
  <c r="AF152" i="33"/>
  <c r="AG152" i="33" s="1"/>
  <c r="AP17" i="29"/>
  <c r="AT17" i="29" s="1"/>
  <c r="AL16" i="29"/>
  <c r="BZ16" i="29"/>
  <c r="BP20" i="29"/>
  <c r="BP19" i="29"/>
  <c r="BF14" i="29"/>
  <c r="BZ14" i="29"/>
  <c r="BP18" i="29"/>
  <c r="BF18" i="29"/>
  <c r="AF20" i="29"/>
  <c r="AJ20" i="29" s="1"/>
  <c r="BF9" i="29"/>
  <c r="AA29" i="33" s="1"/>
  <c r="AB29" i="33" s="1"/>
  <c r="AC29" i="33" s="1"/>
  <c r="AF9" i="29"/>
  <c r="AF19" i="29"/>
  <c r="BS19" i="29" s="1"/>
  <c r="K37" i="33" s="1"/>
  <c r="L37" i="33" s="1"/>
  <c r="BI14" i="29"/>
  <c r="BJ18" i="29"/>
  <c r="BY18" i="29" s="1"/>
  <c r="BF19" i="29"/>
  <c r="AO14" i="29"/>
  <c r="AO16" i="29"/>
  <c r="BJ19" i="29"/>
  <c r="BN19" i="29" s="1"/>
  <c r="AV18" i="29"/>
  <c r="AZ18" i="29"/>
  <c r="BW18" i="29" s="1"/>
  <c r="AF18" i="29"/>
  <c r="BI9" i="29"/>
  <c r="AE9" i="29"/>
  <c r="AV19" i="29"/>
  <c r="AE15" i="29"/>
  <c r="AE18" i="29"/>
  <c r="AE19" i="29"/>
  <c r="AY15" i="29"/>
  <c r="BI16" i="29"/>
  <c r="BF20" i="29"/>
  <c r="AV16" i="29"/>
  <c r="AO15" i="29"/>
  <c r="AY16" i="29"/>
  <c r="BP16" i="29"/>
  <c r="AY17" i="29"/>
  <c r="AL18" i="29"/>
  <c r="M36" i="33" s="1"/>
  <c r="N36" i="33" s="1"/>
  <c r="O36" i="33" s="1"/>
  <c r="BI18" i="29"/>
  <c r="AZ9" i="29"/>
  <c r="BP9" i="29"/>
  <c r="AH29" i="33" s="1"/>
  <c r="AI29" i="33" s="1"/>
  <c r="AL14" i="29"/>
  <c r="AV14" i="29"/>
  <c r="AL9" i="29"/>
  <c r="M29" i="33" s="1"/>
  <c r="N29" i="33" s="1"/>
  <c r="O29" i="33" s="1"/>
  <c r="AE14" i="29"/>
  <c r="BP14" i="29"/>
  <c r="AP9" i="29"/>
  <c r="BF15" i="29"/>
  <c r="AL15" i="29"/>
  <c r="BP15" i="29"/>
  <c r="BJ9" i="29"/>
  <c r="AV9" i="29"/>
  <c r="T29" i="33" s="1"/>
  <c r="U29" i="33" s="1"/>
  <c r="V29" i="33" s="1"/>
  <c r="AY9" i="29"/>
  <c r="AZ17" i="29"/>
  <c r="BJ17" i="29"/>
  <c r="AV17" i="29"/>
  <c r="BF17" i="29"/>
  <c r="AF17" i="29"/>
  <c r="AJ17" i="29" s="1"/>
  <c r="BP17" i="29"/>
  <c r="BF16" i="29"/>
  <c r="AE17" i="29"/>
  <c r="AO18" i="29"/>
  <c r="AY19" i="29"/>
  <c r="BI20" i="29"/>
  <c r="AP18" i="29"/>
  <c r="AL19" i="29"/>
  <c r="M37" i="33" s="1"/>
  <c r="N37" i="33" s="1"/>
  <c r="O37" i="33" s="1"/>
  <c r="AZ19" i="29"/>
  <c r="AV20" i="29"/>
  <c r="BJ20" i="29"/>
  <c r="BI17" i="29"/>
  <c r="AO19" i="29"/>
  <c r="AY20" i="29"/>
  <c r="AP19" i="29"/>
  <c r="AL20" i="29"/>
  <c r="M38" i="33" s="1"/>
  <c r="N38" i="33" s="1"/>
  <c r="O38" i="33" s="1"/>
  <c r="AZ20" i="29"/>
  <c r="AO20" i="29"/>
  <c r="AP20" i="29"/>
  <c r="BN34" i="27"/>
  <c r="BY34" i="27"/>
  <c r="BD34" i="27"/>
  <c r="BW34" i="27"/>
  <c r="AT34" i="27"/>
  <c r="BU34" i="27"/>
  <c r="AJ34" i="27"/>
  <c r="BS34" i="27"/>
  <c r="BM34" i="27"/>
  <c r="BX34" i="27"/>
  <c r="BC34" i="27"/>
  <c r="BV34" i="27"/>
  <c r="AS34" i="27"/>
  <c r="BT34" i="27"/>
  <c r="AI34" i="27"/>
  <c r="BR34" i="27"/>
  <c r="AB34" i="27"/>
  <c r="AK34" i="27"/>
  <c r="AU34" i="27"/>
  <c r="BE34" i="27"/>
  <c r="BO34" i="27"/>
  <c r="AA34" i="27"/>
  <c r="AY34" i="27" s="1"/>
  <c r="BY19" i="29" l="1"/>
  <c r="L205" i="33"/>
  <c r="K10" i="35"/>
  <c r="J10" i="35"/>
  <c r="N10" i="35"/>
  <c r="L10" i="35"/>
  <c r="M10" i="35"/>
  <c r="AQ10" i="35"/>
  <c r="AU10" i="35"/>
  <c r="AT10" i="35"/>
  <c r="AS10" i="35"/>
  <c r="AR10" i="35"/>
  <c r="H10" i="35"/>
  <c r="G10" i="35"/>
  <c r="F10" i="35"/>
  <c r="D10" i="35"/>
  <c r="E10" i="35"/>
  <c r="AZ10" i="35"/>
  <c r="AY10" i="35"/>
  <c r="AX10" i="35"/>
  <c r="AW10" i="35"/>
  <c r="BA10" i="35"/>
  <c r="AV7" i="36"/>
  <c r="AY7" i="36" s="1"/>
  <c r="AC7" i="36"/>
  <c r="AG7" i="36" s="1"/>
  <c r="AI14" i="35"/>
  <c r="AK14" i="35" s="1"/>
  <c r="V7" i="36"/>
  <c r="AA7" i="36" s="1"/>
  <c r="I7" i="36"/>
  <c r="L7" i="36" s="1"/>
  <c r="P7" i="36"/>
  <c r="T7" i="36" s="1"/>
  <c r="AP7" i="36"/>
  <c r="AS7" i="36" s="1"/>
  <c r="AI7" i="36"/>
  <c r="R199" i="33"/>
  <c r="S199" i="33" s="1"/>
  <c r="P9" i="35" s="1"/>
  <c r="Y199" i="33"/>
  <c r="T199" i="33"/>
  <c r="U199" i="33" s="1"/>
  <c r="V199" i="33" s="1"/>
  <c r="V9" i="35" s="1"/>
  <c r="AH199" i="33"/>
  <c r="AI199" i="33" s="1"/>
  <c r="AV9" i="35" s="1"/>
  <c r="AA199" i="33"/>
  <c r="AB199" i="33" s="1"/>
  <c r="M199" i="33"/>
  <c r="N199" i="33" s="1"/>
  <c r="AF199" i="33"/>
  <c r="AG199" i="33" s="1"/>
  <c r="K199" i="33"/>
  <c r="AV14" i="35"/>
  <c r="AZ14" i="35" s="1"/>
  <c r="AP14" i="35"/>
  <c r="AU14" i="35" s="1"/>
  <c r="P14" i="35"/>
  <c r="S14" i="35" s="1"/>
  <c r="V14" i="35"/>
  <c r="Z14" i="35" s="1"/>
  <c r="AC14" i="35"/>
  <c r="AD14" i="35" s="1"/>
  <c r="C7" i="36"/>
  <c r="E7" i="36" s="1"/>
  <c r="C14" i="35"/>
  <c r="H14" i="35" s="1"/>
  <c r="I14" i="35"/>
  <c r="L14" i="35" s="1"/>
  <c r="BF34" i="27"/>
  <c r="BZ34" i="27"/>
  <c r="BU17" i="29"/>
  <c r="BZ18" i="29"/>
  <c r="BZ9" i="29"/>
  <c r="BZ20" i="29"/>
  <c r="BZ17" i="29"/>
  <c r="BZ19" i="29"/>
  <c r="BN18" i="29"/>
  <c r="BS20" i="29"/>
  <c r="K38" i="33" s="1"/>
  <c r="L38" i="33" s="1"/>
  <c r="AJ19" i="29"/>
  <c r="BD18" i="29"/>
  <c r="BS18" i="29"/>
  <c r="K36" i="33" s="1"/>
  <c r="L36" i="33" s="1"/>
  <c r="AJ18" i="29"/>
  <c r="BD19" i="29"/>
  <c r="BW19" i="29"/>
  <c r="BW9" i="29"/>
  <c r="Y29" i="33" s="1"/>
  <c r="Z29" i="33" s="1"/>
  <c r="BD9" i="29"/>
  <c r="X29" i="33" s="1"/>
  <c r="AJ9" i="29"/>
  <c r="J29" i="33" s="1"/>
  <c r="BS9" i="29"/>
  <c r="K29" i="33" s="1"/>
  <c r="L29" i="33" s="1"/>
  <c r="BU18" i="29"/>
  <c r="AT18" i="29"/>
  <c r="BU9" i="29"/>
  <c r="R29" i="33" s="1"/>
  <c r="S29" i="33" s="1"/>
  <c r="AT9" i="29"/>
  <c r="Q29" i="33" s="1"/>
  <c r="AT19" i="29"/>
  <c r="BU19" i="29"/>
  <c r="BN17" i="29"/>
  <c r="BY17" i="29"/>
  <c r="BU20" i="29"/>
  <c r="AT20" i="29"/>
  <c r="BW17" i="29"/>
  <c r="BD17" i="29"/>
  <c r="BS17" i="29"/>
  <c r="K35" i="33" s="1"/>
  <c r="L35" i="33" s="1"/>
  <c r="BD20" i="29"/>
  <c r="BW20" i="29"/>
  <c r="BY9" i="29"/>
  <c r="AF29" i="33" s="1"/>
  <c r="AG29" i="33" s="1"/>
  <c r="BN9" i="29"/>
  <c r="AE29" i="33" s="1"/>
  <c r="BY20" i="29"/>
  <c r="BN20" i="29"/>
  <c r="AV34" i="27"/>
  <c r="AL34" i="27"/>
  <c r="BP34" i="27"/>
  <c r="AO34" i="27"/>
  <c r="AE34" i="27"/>
  <c r="BI34" i="27"/>
  <c r="BC40" i="3"/>
  <c r="BM40" i="3"/>
  <c r="BW40" i="3"/>
  <c r="AS40" i="3"/>
  <c r="AN14" i="35" l="1"/>
  <c r="AJ14" i="35"/>
  <c r="AZ7" i="36"/>
  <c r="AX7" i="36"/>
  <c r="AL14" i="35"/>
  <c r="T9" i="35"/>
  <c r="S9" i="35"/>
  <c r="R9" i="35"/>
  <c r="Q9" i="35"/>
  <c r="U9" i="35" s="1"/>
  <c r="W9" i="35"/>
  <c r="AA9" i="35"/>
  <c r="Z9" i="35"/>
  <c r="Y9" i="35"/>
  <c r="X9" i="35"/>
  <c r="AM14" i="35"/>
  <c r="AZ9" i="35"/>
  <c r="AY9" i="35"/>
  <c r="AX9" i="35"/>
  <c r="AW9" i="35"/>
  <c r="BA9" i="35"/>
  <c r="Z7" i="36"/>
  <c r="BA7" i="36"/>
  <c r="AW7" i="36"/>
  <c r="T14" i="35"/>
  <c r="Y7" i="36"/>
  <c r="AD7" i="36"/>
  <c r="M7" i="36"/>
  <c r="N7" i="36"/>
  <c r="AS14" i="35"/>
  <c r="K7" i="36"/>
  <c r="AT14" i="35"/>
  <c r="J7" i="36"/>
  <c r="BA14" i="35"/>
  <c r="W7" i="36"/>
  <c r="S7" i="36"/>
  <c r="R7" i="36"/>
  <c r="X7" i="36"/>
  <c r="Q7" i="36"/>
  <c r="AE7" i="36"/>
  <c r="AH7" i="36"/>
  <c r="AR7" i="36"/>
  <c r="AF7" i="36"/>
  <c r="AY14" i="35"/>
  <c r="AU7" i="36"/>
  <c r="AX14" i="35"/>
  <c r="AT7" i="36"/>
  <c r="U7" i="36"/>
  <c r="D14" i="35"/>
  <c r="R14" i="35"/>
  <c r="AQ7" i="36"/>
  <c r="U14" i="35"/>
  <c r="AE14" i="35"/>
  <c r="AW14" i="35"/>
  <c r="AF14" i="35"/>
  <c r="Y14" i="35"/>
  <c r="W14" i="35"/>
  <c r="Q14" i="35"/>
  <c r="AQ14" i="35"/>
  <c r="AK7" i="36"/>
  <c r="AM7" i="36"/>
  <c r="AL7" i="36"/>
  <c r="AJ7" i="36"/>
  <c r="AN7" i="36"/>
  <c r="AR14" i="35"/>
  <c r="AH14" i="35"/>
  <c r="X14" i="35"/>
  <c r="AP9" i="35"/>
  <c r="AG14" i="35"/>
  <c r="AA14" i="35"/>
  <c r="D7" i="36"/>
  <c r="F7" i="36"/>
  <c r="G7" i="36"/>
  <c r="H7" i="36"/>
  <c r="AI9" i="35"/>
  <c r="F14" i="35"/>
  <c r="G14" i="35"/>
  <c r="K14" i="35"/>
  <c r="E14" i="35"/>
  <c r="J14" i="35"/>
  <c r="N14" i="35"/>
  <c r="M14" i="35"/>
  <c r="CM40" i="3"/>
  <c r="CL51" i="3"/>
  <c r="CK51" i="3"/>
  <c r="AF239" i="33" s="1"/>
  <c r="CL50" i="3"/>
  <c r="CK50" i="3"/>
  <c r="AF238" i="33" s="1"/>
  <c r="CK49" i="3"/>
  <c r="AF237" i="33" s="1"/>
  <c r="AG237" i="33" s="1"/>
  <c r="AP8" i="38" s="1"/>
  <c r="AQ9" i="35" l="1"/>
  <c r="AU9" i="35"/>
  <c r="AT9" i="35"/>
  <c r="AR9" i="35"/>
  <c r="AS9" i="35"/>
  <c r="AN9" i="35"/>
  <c r="AM9" i="35"/>
  <c r="AL9" i="35"/>
  <c r="AJ9" i="35"/>
  <c r="AK9" i="35"/>
  <c r="AS8" i="38"/>
  <c r="AR8" i="38"/>
  <c r="AT8" i="38"/>
  <c r="AQ8" i="38"/>
  <c r="AU8" i="38"/>
  <c r="CK39" i="3"/>
  <c r="AF218" i="33" s="1"/>
  <c r="AG218" i="33" s="1"/>
  <c r="CI39" i="3"/>
  <c r="Y218" i="33" s="1"/>
  <c r="Z218" i="33" s="1"/>
  <c r="CG39" i="3"/>
  <c r="R218" i="33" s="1"/>
  <c r="S218" i="33" s="1"/>
  <c r="CE39" i="3"/>
  <c r="K218" i="33" s="1"/>
  <c r="L218" i="33" s="1"/>
  <c r="CB39" i="3"/>
  <c r="AH218" i="33" s="1"/>
  <c r="AI218" i="33" s="1"/>
  <c r="BZ39" i="3"/>
  <c r="BR39" i="3"/>
  <c r="AA218" i="33" s="1"/>
  <c r="AB218" i="33" s="1"/>
  <c r="AC218" i="33" s="1"/>
  <c r="BP39" i="3"/>
  <c r="BF39" i="3"/>
  <c r="AX39" i="3"/>
  <c r="M218" i="33" s="1"/>
  <c r="N218" i="33" s="1"/>
  <c r="O218" i="33" s="1"/>
  <c r="AV39" i="3"/>
  <c r="BH36" i="3"/>
  <c r="T157" i="33" s="1"/>
  <c r="U157" i="33" s="1"/>
  <c r="V157" i="33" s="1"/>
  <c r="BF36" i="3"/>
  <c r="BR36" i="3"/>
  <c r="AA157" i="33" s="1"/>
  <c r="AB157" i="33" s="1"/>
  <c r="AC157" i="33" s="1"/>
  <c r="BP36" i="3"/>
  <c r="CK36" i="3"/>
  <c r="AF157" i="33" s="1"/>
  <c r="AG157" i="33" s="1"/>
  <c r="CI36" i="3"/>
  <c r="Y157" i="33" s="1"/>
  <c r="Z157" i="33" s="1"/>
  <c r="CG36" i="3"/>
  <c r="R157" i="33" s="1"/>
  <c r="S157" i="33" s="1"/>
  <c r="CE36" i="3"/>
  <c r="K157" i="33" s="1"/>
  <c r="L157" i="33" s="1"/>
  <c r="CB36" i="3"/>
  <c r="AH157" i="33" s="1"/>
  <c r="AI157" i="33" s="1"/>
  <c r="BZ36" i="3"/>
  <c r="AX36" i="3"/>
  <c r="M157" i="33" s="1"/>
  <c r="AV36" i="3"/>
  <c r="CK34" i="3"/>
  <c r="AF215" i="33" s="1"/>
  <c r="AG215" i="33" s="1"/>
  <c r="CI34" i="3"/>
  <c r="Y215" i="33" s="1"/>
  <c r="Z215" i="33" s="1"/>
  <c r="CG34" i="3"/>
  <c r="R215" i="33" s="1"/>
  <c r="S215" i="33" s="1"/>
  <c r="CE34" i="3"/>
  <c r="K215" i="33" s="1"/>
  <c r="L215" i="33" s="1"/>
  <c r="CK33" i="3"/>
  <c r="AF214" i="33" s="1"/>
  <c r="AG214" i="33" s="1"/>
  <c r="CI33" i="3"/>
  <c r="Y214" i="33" s="1"/>
  <c r="Z214" i="33" s="1"/>
  <c r="CG33" i="3"/>
  <c r="R214" i="33" s="1"/>
  <c r="S214" i="33" s="1"/>
  <c r="CE33" i="3"/>
  <c r="K214" i="33" s="1"/>
  <c r="L214" i="33" s="1"/>
  <c r="CK32" i="3"/>
  <c r="AF155" i="33" s="1"/>
  <c r="AG155" i="33" s="1"/>
  <c r="CI32" i="3"/>
  <c r="Y155" i="33" s="1"/>
  <c r="Z155" i="33" s="1"/>
  <c r="CG32" i="3"/>
  <c r="R155" i="33" s="1"/>
  <c r="S155" i="33" s="1"/>
  <c r="CE32" i="3"/>
  <c r="K155" i="33" s="1"/>
  <c r="L155" i="33" s="1"/>
  <c r="CB34" i="3"/>
  <c r="AH215" i="33" s="1"/>
  <c r="AI215" i="33" s="1"/>
  <c r="BZ34" i="3"/>
  <c r="CB33" i="3"/>
  <c r="AH214" i="33" s="1"/>
  <c r="AI214" i="33" s="1"/>
  <c r="BZ33" i="3"/>
  <c r="CB32" i="3"/>
  <c r="AH155" i="33" s="1"/>
  <c r="AI155" i="33" s="1"/>
  <c r="BZ32" i="3"/>
  <c r="BR34" i="3"/>
  <c r="AA215" i="33" s="1"/>
  <c r="AB215" i="33" s="1"/>
  <c r="AC215" i="33" s="1"/>
  <c r="BP34" i="3"/>
  <c r="BR33" i="3"/>
  <c r="AA214" i="33" s="1"/>
  <c r="AB214" i="33" s="1"/>
  <c r="AC214" i="33" s="1"/>
  <c r="BP33" i="3"/>
  <c r="BR32" i="3"/>
  <c r="AA155" i="33" s="1"/>
  <c r="AB155" i="33" s="1"/>
  <c r="AC155" i="33" s="1"/>
  <c r="BP32" i="3"/>
  <c r="BH34" i="3"/>
  <c r="T215" i="33" s="1"/>
  <c r="U215" i="33" s="1"/>
  <c r="V215" i="33" s="1"/>
  <c r="BF34" i="3"/>
  <c r="BH33" i="3"/>
  <c r="T214" i="33" s="1"/>
  <c r="U214" i="33" s="1"/>
  <c r="V214" i="33" s="1"/>
  <c r="BF33" i="3"/>
  <c r="BH32" i="3"/>
  <c r="T155" i="33" s="1"/>
  <c r="U155" i="33" s="1"/>
  <c r="V155" i="33" s="1"/>
  <c r="BF32" i="3"/>
  <c r="AX34" i="3"/>
  <c r="M215" i="33" s="1"/>
  <c r="N215" i="33" s="1"/>
  <c r="O215" i="33" s="1"/>
  <c r="AV34" i="3"/>
  <c r="AX33" i="3"/>
  <c r="M214" i="33" s="1"/>
  <c r="N214" i="33" s="1"/>
  <c r="O214" i="33" s="1"/>
  <c r="AV33" i="3"/>
  <c r="AX32" i="3"/>
  <c r="M155" i="33" s="1"/>
  <c r="AV32" i="3"/>
  <c r="CK28" i="3"/>
  <c r="AF211" i="33" s="1"/>
  <c r="CI28" i="3"/>
  <c r="Y211" i="33" s="1"/>
  <c r="CG28" i="3"/>
  <c r="R211" i="33" s="1"/>
  <c r="CB28" i="3"/>
  <c r="AH211" i="33" s="1"/>
  <c r="BZ28" i="3"/>
  <c r="BR28" i="3"/>
  <c r="AA211" i="33" s="1"/>
  <c r="AB211" i="33" s="1"/>
  <c r="BP28" i="3"/>
  <c r="BH39" i="3"/>
  <c r="T218" i="33" s="1"/>
  <c r="U218" i="33" s="1"/>
  <c r="V218" i="33" s="1"/>
  <c r="CE28" i="3"/>
  <c r="K211" i="33" s="1"/>
  <c r="BZ27" i="3"/>
  <c r="CK27" i="3"/>
  <c r="AF210" i="33" s="1"/>
  <c r="AG210" i="33" s="1"/>
  <c r="BP27" i="3"/>
  <c r="CI27" i="3"/>
  <c r="Y210" i="33" s="1"/>
  <c r="Z210" i="33" s="1"/>
  <c r="BF27" i="3"/>
  <c r="CG27" i="3"/>
  <c r="R210" i="33" s="1"/>
  <c r="S210" i="33" s="1"/>
  <c r="AV27" i="3"/>
  <c r="CE27" i="3"/>
  <c r="K210" i="33" s="1"/>
  <c r="L210" i="33" s="1"/>
  <c r="AX27" i="3"/>
  <c r="M210" i="33" s="1"/>
  <c r="N210" i="33" s="1"/>
  <c r="O210" i="33" s="1"/>
  <c r="BH27" i="3"/>
  <c r="T210" i="33" s="1"/>
  <c r="U210" i="33" s="1"/>
  <c r="V210" i="33" s="1"/>
  <c r="BR27" i="3"/>
  <c r="AA210" i="33" s="1"/>
  <c r="AB210" i="33" s="1"/>
  <c r="AC210" i="33" s="1"/>
  <c r="CB27" i="3"/>
  <c r="AH210" i="33" s="1"/>
  <c r="AI210" i="33" s="1"/>
  <c r="N155" i="33" l="1"/>
  <c r="O155" i="33" s="1"/>
  <c r="N157" i="33"/>
  <c r="O157" i="33" s="1"/>
  <c r="BC15" i="3"/>
  <c r="BO18" i="27" l="1"/>
  <c r="BN18" i="27"/>
  <c r="BM18" i="27"/>
  <c r="BO17" i="27"/>
  <c r="BN17" i="27"/>
  <c r="BM17" i="27"/>
  <c r="BO16" i="27"/>
  <c r="BN16" i="27"/>
  <c r="BM16" i="27"/>
  <c r="BO15" i="27"/>
  <c r="BM15" i="27"/>
  <c r="BO14" i="27"/>
  <c r="BN14" i="27"/>
  <c r="BM14" i="27"/>
  <c r="AF131" i="33" s="1"/>
  <c r="BO13" i="27"/>
  <c r="BM13" i="27"/>
  <c r="BO11" i="27"/>
  <c r="BM11" i="27"/>
  <c r="BE18" i="27"/>
  <c r="BD18" i="27"/>
  <c r="BC18" i="27"/>
  <c r="BE17" i="27"/>
  <c r="BD17" i="27"/>
  <c r="BC17" i="27"/>
  <c r="BE16" i="27"/>
  <c r="BD16" i="27"/>
  <c r="BC16" i="27"/>
  <c r="BE15" i="27"/>
  <c r="BC15" i="27"/>
  <c r="BE14" i="27"/>
  <c r="BD14" i="27"/>
  <c r="BC14" i="27"/>
  <c r="BE13" i="27"/>
  <c r="BD13" i="27"/>
  <c r="BC13" i="27"/>
  <c r="BE11" i="27"/>
  <c r="BC11" i="27"/>
  <c r="AU18" i="27"/>
  <c r="AT18" i="27"/>
  <c r="AS18" i="27"/>
  <c r="AU17" i="27"/>
  <c r="AT17" i="27"/>
  <c r="AS17" i="27"/>
  <c r="AU16" i="27"/>
  <c r="AT16" i="27"/>
  <c r="AS16" i="27"/>
  <c r="AU15" i="27"/>
  <c r="AS15" i="27"/>
  <c r="AU14" i="27"/>
  <c r="AT14" i="27"/>
  <c r="AS14" i="27"/>
  <c r="AU13" i="27"/>
  <c r="AT13" i="27"/>
  <c r="AS13" i="27"/>
  <c r="AU11" i="27"/>
  <c r="AS11" i="27"/>
  <c r="AK18" i="27"/>
  <c r="AJ18" i="27"/>
  <c r="AI18" i="27"/>
  <c r="AK17" i="27"/>
  <c r="AJ17" i="27"/>
  <c r="AI17" i="27"/>
  <c r="AK16" i="27"/>
  <c r="AJ16" i="27"/>
  <c r="AI16" i="27"/>
  <c r="AK15" i="27"/>
  <c r="AI15" i="27"/>
  <c r="AK14" i="27"/>
  <c r="AJ14" i="27"/>
  <c r="AI14" i="27"/>
  <c r="K131" i="33" s="1"/>
  <c r="AK13" i="27"/>
  <c r="AJ13" i="27"/>
  <c r="AI13" i="27"/>
  <c r="AK11" i="27"/>
  <c r="AI11" i="27"/>
  <c r="BY18" i="27"/>
  <c r="BX18" i="27"/>
  <c r="BW18" i="27"/>
  <c r="BV18" i="27"/>
  <c r="BU18" i="27"/>
  <c r="BT18" i="27"/>
  <c r="BS18" i="27"/>
  <c r="BR18" i="27"/>
  <c r="BY17" i="27"/>
  <c r="BX17" i="27"/>
  <c r="BW17" i="27"/>
  <c r="BV17" i="27"/>
  <c r="BU17" i="27"/>
  <c r="BT17" i="27"/>
  <c r="BS17" i="27"/>
  <c r="BR17" i="27"/>
  <c r="BY16" i="27"/>
  <c r="BX16" i="27"/>
  <c r="BW16" i="27"/>
  <c r="BV16" i="27"/>
  <c r="BU16" i="27"/>
  <c r="BT16" i="27"/>
  <c r="BS16" i="27"/>
  <c r="BR16" i="27"/>
  <c r="BX15" i="27"/>
  <c r="BV15" i="27"/>
  <c r="BT15" i="27"/>
  <c r="BR15" i="27"/>
  <c r="BY14" i="27"/>
  <c r="BX14" i="27"/>
  <c r="BW14" i="27"/>
  <c r="BV14" i="27"/>
  <c r="BU14" i="27"/>
  <c r="BT14" i="27"/>
  <c r="BS14" i="27"/>
  <c r="BR14" i="27"/>
  <c r="BY13" i="27"/>
  <c r="BX13" i="27"/>
  <c r="BW13" i="27"/>
  <c r="BV13" i="27"/>
  <c r="BU13" i="27"/>
  <c r="BT13" i="27"/>
  <c r="BS13" i="27"/>
  <c r="BR13" i="27"/>
  <c r="BX11" i="27"/>
  <c r="BV11" i="27"/>
  <c r="BT11" i="27"/>
  <c r="BR11" i="27"/>
  <c r="AB18" i="27"/>
  <c r="AA18" i="27"/>
  <c r="BI18" i="27" s="1"/>
  <c r="AB17" i="27"/>
  <c r="AA17" i="27"/>
  <c r="BI17" i="27" s="1"/>
  <c r="AB16" i="27"/>
  <c r="AA16" i="27"/>
  <c r="BI16" i="27" s="1"/>
  <c r="AA15" i="27"/>
  <c r="BI15" i="27" s="1"/>
  <c r="AB14" i="27"/>
  <c r="AA14" i="27"/>
  <c r="BI14" i="27" s="1"/>
  <c r="AB13" i="27"/>
  <c r="AA13" i="27"/>
  <c r="AE13" i="27" s="1"/>
  <c r="AB11" i="27"/>
  <c r="AA11" i="27"/>
  <c r="M131" i="33" l="1"/>
  <c r="AH131" i="33"/>
  <c r="AA131" i="33"/>
  <c r="Y131" i="33"/>
  <c r="Z131" i="33" s="1"/>
  <c r="R131" i="33"/>
  <c r="S131" i="33" s="1"/>
  <c r="T131" i="33"/>
  <c r="U131" i="33" s="1"/>
  <c r="V131" i="33" s="1"/>
  <c r="T193" i="33"/>
  <c r="U193" i="33" s="1"/>
  <c r="V193" i="33" s="1"/>
  <c r="L131" i="33"/>
  <c r="K134" i="33"/>
  <c r="L134" i="33" s="1"/>
  <c r="R130" i="33"/>
  <c r="S130" i="33" s="1"/>
  <c r="R133" i="33"/>
  <c r="S133" i="33" s="1"/>
  <c r="T135" i="33"/>
  <c r="U135" i="33" s="1"/>
  <c r="V135" i="33" s="1"/>
  <c r="AB131" i="33"/>
  <c r="AC131" i="33" s="1"/>
  <c r="AA134" i="33"/>
  <c r="AB134" i="33" s="1"/>
  <c r="AC134" i="33" s="1"/>
  <c r="AG131" i="33"/>
  <c r="AF134" i="33"/>
  <c r="AG134" i="33" s="1"/>
  <c r="Y134" i="33"/>
  <c r="Z134" i="33" s="1"/>
  <c r="Y193" i="33"/>
  <c r="Z193" i="33" s="1"/>
  <c r="Y135" i="33"/>
  <c r="Z135" i="33" s="1"/>
  <c r="AF130" i="33"/>
  <c r="AG130" i="33" s="1"/>
  <c r="M130" i="33"/>
  <c r="AH130" i="33"/>
  <c r="AI130" i="33" s="1"/>
  <c r="N131" i="33"/>
  <c r="O131" i="33" s="1"/>
  <c r="M134" i="33"/>
  <c r="N134" i="33" s="1"/>
  <c r="O134" i="33" s="1"/>
  <c r="T130" i="33"/>
  <c r="U130" i="33" s="1"/>
  <c r="V130" i="33" s="1"/>
  <c r="T133" i="33"/>
  <c r="U133" i="33" s="1"/>
  <c r="V133" i="33" s="1"/>
  <c r="AA193" i="33"/>
  <c r="AB193" i="33" s="1"/>
  <c r="AC193" i="33" s="1"/>
  <c r="AI131" i="33"/>
  <c r="AH134" i="33"/>
  <c r="AI134" i="33" s="1"/>
  <c r="AH133" i="33"/>
  <c r="AI133" i="33" s="1"/>
  <c r="K193" i="33"/>
  <c r="K135" i="33"/>
  <c r="L135" i="33" s="1"/>
  <c r="R134" i="33"/>
  <c r="S134" i="33" s="1"/>
  <c r="Y130" i="33"/>
  <c r="Z130" i="33" s="1"/>
  <c r="Y133" i="33"/>
  <c r="Z133" i="33" s="1"/>
  <c r="AA135" i="33"/>
  <c r="AB135" i="33" s="1"/>
  <c r="AC135" i="33" s="1"/>
  <c r="AF135" i="33"/>
  <c r="AG135" i="33" s="1"/>
  <c r="R193" i="33"/>
  <c r="S193" i="33" s="1"/>
  <c r="R135" i="33"/>
  <c r="S135" i="33" s="1"/>
  <c r="M133" i="33"/>
  <c r="N133" i="33" s="1"/>
  <c r="O133" i="33" s="1"/>
  <c r="M193" i="33"/>
  <c r="AF193" i="33"/>
  <c r="AG193" i="33" s="1"/>
  <c r="K130" i="33"/>
  <c r="K133" i="33"/>
  <c r="L133" i="33" s="1"/>
  <c r="M135" i="33"/>
  <c r="N135" i="33" s="1"/>
  <c r="O135" i="33" s="1"/>
  <c r="T134" i="33"/>
  <c r="U134" i="33" s="1"/>
  <c r="V134" i="33" s="1"/>
  <c r="AA130" i="33"/>
  <c r="AB130" i="33" s="1"/>
  <c r="AC130" i="33" s="1"/>
  <c r="AA133" i="33"/>
  <c r="AB133" i="33" s="1"/>
  <c r="AC133" i="33" s="1"/>
  <c r="AH193" i="33"/>
  <c r="AI193" i="33" s="1"/>
  <c r="AF133" i="33"/>
  <c r="AG133" i="33" s="1"/>
  <c r="AH135" i="33"/>
  <c r="AI135" i="33" s="1"/>
  <c r="BP17" i="27"/>
  <c r="BZ17" i="27"/>
  <c r="BP13" i="27"/>
  <c r="BZ13" i="27"/>
  <c r="BP16" i="27"/>
  <c r="BZ16" i="27"/>
  <c r="BF18" i="27"/>
  <c r="BZ18" i="27"/>
  <c r="BJ11" i="27"/>
  <c r="BY11" i="27" s="1"/>
  <c r="BF14" i="27"/>
  <c r="BZ14" i="27"/>
  <c r="AO13" i="27"/>
  <c r="AY13" i="27"/>
  <c r="BI13" i="27"/>
  <c r="AE14" i="27"/>
  <c r="AL13" i="27"/>
  <c r="AV11" i="27"/>
  <c r="AV14" i="27"/>
  <c r="BF13" i="27"/>
  <c r="BP11" i="27"/>
  <c r="BP14" i="27"/>
  <c r="AO14" i="27"/>
  <c r="AY14" i="27"/>
  <c r="AE15" i="27"/>
  <c r="AO15" i="27"/>
  <c r="AY15" i="27"/>
  <c r="AE16" i="27"/>
  <c r="AL16" i="27"/>
  <c r="AL17" i="27"/>
  <c r="AV18" i="27"/>
  <c r="BF16" i="27"/>
  <c r="BF17" i="27"/>
  <c r="BP18" i="27"/>
  <c r="AO16" i="27"/>
  <c r="AY16" i="27"/>
  <c r="AE17" i="27"/>
  <c r="AL11" i="27"/>
  <c r="AL14" i="27"/>
  <c r="AV13" i="27"/>
  <c r="BF11" i="27"/>
  <c r="AO17" i="27"/>
  <c r="AY17" i="27"/>
  <c r="AE18" i="27"/>
  <c r="AO18" i="27"/>
  <c r="AY18" i="27"/>
  <c r="AL18" i="27"/>
  <c r="AV16" i="27"/>
  <c r="AV17" i="27"/>
  <c r="BN11" i="27"/>
  <c r="AF11" i="27"/>
  <c r="AP11" i="27"/>
  <c r="AZ11" i="27"/>
  <c r="L130" i="33" l="1"/>
  <c r="L193" i="33"/>
  <c r="N193" i="33"/>
  <c r="O193" i="33" s="1"/>
  <c r="N130" i="33"/>
  <c r="AH16" i="33"/>
  <c r="AI16" i="33" s="1"/>
  <c r="T16" i="33"/>
  <c r="U16" i="33" s="1"/>
  <c r="V16" i="33" s="1"/>
  <c r="AF16" i="33"/>
  <c r="AG16" i="33" s="1"/>
  <c r="M16" i="33"/>
  <c r="N16" i="33" s="1"/>
  <c r="AA16" i="33"/>
  <c r="AB16" i="33" s="1"/>
  <c r="AC16" i="33" s="1"/>
  <c r="BZ11" i="27"/>
  <c r="BU11" i="27"/>
  <c r="AT11" i="27"/>
  <c r="BW11" i="27"/>
  <c r="BD11" i="27"/>
  <c r="BS11" i="27"/>
  <c r="AJ11" i="27"/>
  <c r="C6" i="35" l="1"/>
  <c r="D6" i="35" s="1"/>
  <c r="C9" i="36"/>
  <c r="H9" i="36" s="1"/>
  <c r="O130" i="33"/>
  <c r="O16" i="33"/>
  <c r="X16" i="33"/>
  <c r="Y16" i="33"/>
  <c r="Z16" i="33" s="1"/>
  <c r="K16" i="33"/>
  <c r="L16" i="33" s="1"/>
  <c r="R16" i="33"/>
  <c r="S16" i="33" s="1"/>
  <c r="J16" i="33"/>
  <c r="Q16" i="33"/>
  <c r="AE16" i="33"/>
  <c r="CK138" i="3"/>
  <c r="AF277" i="33" s="1"/>
  <c r="AG277" i="33" s="1"/>
  <c r="D9" i="36" l="1"/>
  <c r="G6" i="35"/>
  <c r="E6" i="35"/>
  <c r="H6" i="35"/>
  <c r="F6" i="35"/>
  <c r="E9" i="36"/>
  <c r="G9" i="36"/>
  <c r="F9" i="36"/>
  <c r="I6" i="35"/>
  <c r="I9" i="36"/>
  <c r="BK136" i="3"/>
  <c r="BA137" i="3"/>
  <c r="AQ137" i="3"/>
  <c r="M9" i="36" l="1"/>
  <c r="L9" i="36"/>
  <c r="J9" i="36"/>
  <c r="K9" i="36"/>
  <c r="N9" i="36"/>
  <c r="M6" i="35"/>
  <c r="N6" i="35"/>
  <c r="J6" i="35"/>
  <c r="L6" i="35"/>
  <c r="K6" i="35"/>
  <c r="AB33" i="27"/>
  <c r="BZ33" i="27" s="1"/>
  <c r="AA33" i="27"/>
  <c r="AO47" i="3" l="1"/>
  <c r="BS47" i="3" s="1"/>
  <c r="AN47" i="3"/>
  <c r="BV47" i="3" s="1"/>
  <c r="AO46" i="3"/>
  <c r="CC46" i="3" s="1"/>
  <c r="AN46" i="3"/>
  <c r="BL46" i="3" s="1"/>
  <c r="AO45" i="3"/>
  <c r="BS45" i="3" s="1"/>
  <c r="AN45" i="3"/>
  <c r="BV45" i="3" s="1"/>
  <c r="AO44" i="3"/>
  <c r="BI44" i="3" s="1"/>
  <c r="AN44" i="3"/>
  <c r="BL44" i="3" s="1"/>
  <c r="CL47" i="3"/>
  <c r="CK47" i="3"/>
  <c r="AF339" i="33" s="1"/>
  <c r="AG339" i="33" s="1"/>
  <c r="CJ47" i="3"/>
  <c r="CI47" i="3"/>
  <c r="Y339" i="33" s="1"/>
  <c r="Z339" i="33" s="1"/>
  <c r="CH47" i="3"/>
  <c r="CG47" i="3"/>
  <c r="R339" i="33" s="1"/>
  <c r="S339" i="33" s="1"/>
  <c r="CF47" i="3"/>
  <c r="CE47" i="3"/>
  <c r="K339" i="33" s="1"/>
  <c r="L339" i="33" s="1"/>
  <c r="CB47" i="3"/>
  <c r="AH339" i="33" s="1"/>
  <c r="AI339" i="33" s="1"/>
  <c r="CA47" i="3"/>
  <c r="BZ47" i="3"/>
  <c r="BR47" i="3"/>
  <c r="AA339" i="33" s="1"/>
  <c r="AB339" i="33" s="1"/>
  <c r="AC339" i="33" s="1"/>
  <c r="BQ47" i="3"/>
  <c r="BP47" i="3"/>
  <c r="BH47" i="3"/>
  <c r="T339" i="33" s="1"/>
  <c r="U339" i="33" s="1"/>
  <c r="V339" i="33" s="1"/>
  <c r="BG47" i="3"/>
  <c r="BF47" i="3"/>
  <c r="AX47" i="3"/>
  <c r="M339" i="33" s="1"/>
  <c r="AW47" i="3"/>
  <c r="AV47" i="3"/>
  <c r="CL46" i="3"/>
  <c r="CK46" i="3"/>
  <c r="AF234" i="33" s="1"/>
  <c r="CJ46" i="3"/>
  <c r="CI46" i="3"/>
  <c r="Y234" i="33" s="1"/>
  <c r="Z234" i="33" s="1"/>
  <c r="CH46" i="3"/>
  <c r="CG46" i="3"/>
  <c r="R234" i="33" s="1"/>
  <c r="CF46" i="3"/>
  <c r="CE46" i="3"/>
  <c r="K234" i="33" s="1"/>
  <c r="L234" i="33" s="1"/>
  <c r="CB46" i="3"/>
  <c r="AH234" i="33" s="1"/>
  <c r="AI234" i="33" s="1"/>
  <c r="CA46" i="3"/>
  <c r="BZ46" i="3"/>
  <c r="BR46" i="3"/>
  <c r="AA234" i="33" s="1"/>
  <c r="AB234" i="33" s="1"/>
  <c r="AC234" i="33" s="1"/>
  <c r="BQ46" i="3"/>
  <c r="BP46" i="3"/>
  <c r="BH46" i="3"/>
  <c r="T234" i="33" s="1"/>
  <c r="U234" i="33" s="1"/>
  <c r="V234" i="33" s="1"/>
  <c r="BG46" i="3"/>
  <c r="BF46" i="3"/>
  <c r="AX46" i="3"/>
  <c r="M234" i="33" s="1"/>
  <c r="AW46" i="3"/>
  <c r="AV46" i="3"/>
  <c r="CL45" i="3"/>
  <c r="CK45" i="3"/>
  <c r="AF166" i="33" s="1"/>
  <c r="AG166" i="33" s="1"/>
  <c r="CJ45" i="3"/>
  <c r="CI45" i="3"/>
  <c r="Y166" i="33" s="1"/>
  <c r="Z166" i="33" s="1"/>
  <c r="CH45" i="3"/>
  <c r="CG45" i="3"/>
  <c r="R166" i="33" s="1"/>
  <c r="S166" i="33" s="1"/>
  <c r="CF45" i="3"/>
  <c r="CE45" i="3"/>
  <c r="K166" i="33" s="1"/>
  <c r="L166" i="33" s="1"/>
  <c r="CB45" i="3"/>
  <c r="AH166" i="33" s="1"/>
  <c r="AI166" i="33" s="1"/>
  <c r="CA45" i="3"/>
  <c r="BZ45" i="3"/>
  <c r="BR45" i="3"/>
  <c r="AA166" i="33" s="1"/>
  <c r="AB166" i="33" s="1"/>
  <c r="AC166" i="33" s="1"/>
  <c r="BQ45" i="3"/>
  <c r="BP45" i="3"/>
  <c r="BH45" i="3"/>
  <c r="T166" i="33" s="1"/>
  <c r="U166" i="33" s="1"/>
  <c r="V166" i="33" s="1"/>
  <c r="BG45" i="3"/>
  <c r="BF45" i="3"/>
  <c r="M166" i="33"/>
  <c r="AW45" i="3"/>
  <c r="AV45" i="3"/>
  <c r="CL44" i="3"/>
  <c r="CK44" i="3"/>
  <c r="AF233" i="33" s="1"/>
  <c r="AG233" i="33" s="1"/>
  <c r="CJ44" i="3"/>
  <c r="CI44" i="3"/>
  <c r="Y233" i="33" s="1"/>
  <c r="Z233" i="33" s="1"/>
  <c r="CH44" i="3"/>
  <c r="CG44" i="3"/>
  <c r="R233" i="33" s="1"/>
  <c r="S233" i="33" s="1"/>
  <c r="CF44" i="3"/>
  <c r="CE44" i="3"/>
  <c r="K233" i="33" s="1"/>
  <c r="L233" i="33" s="1"/>
  <c r="CB44" i="3"/>
  <c r="AH233" i="33" s="1"/>
  <c r="AI233" i="33" s="1"/>
  <c r="CA44" i="3"/>
  <c r="BZ44" i="3"/>
  <c r="BR44" i="3"/>
  <c r="AA233" i="33" s="1"/>
  <c r="AB233" i="33" s="1"/>
  <c r="AC233" i="33" s="1"/>
  <c r="BQ44" i="3"/>
  <c r="BP44" i="3"/>
  <c r="BH44" i="3"/>
  <c r="T233" i="33" s="1"/>
  <c r="U233" i="33" s="1"/>
  <c r="V233" i="33" s="1"/>
  <c r="BG44" i="3"/>
  <c r="BF44" i="3"/>
  <c r="AX44" i="3"/>
  <c r="M233" i="33" s="1"/>
  <c r="AW44" i="3"/>
  <c r="AV44" i="3"/>
  <c r="CL43" i="3"/>
  <c r="CK43" i="3"/>
  <c r="AF232" i="33" s="1"/>
  <c r="AG232" i="33" s="1"/>
  <c r="CJ43" i="3"/>
  <c r="CI43" i="3"/>
  <c r="Y232" i="33" s="1"/>
  <c r="Z232" i="33" s="1"/>
  <c r="CH43" i="3"/>
  <c r="CG43" i="3"/>
  <c r="R232" i="33" s="1"/>
  <c r="S232" i="33" s="1"/>
  <c r="CF43" i="3"/>
  <c r="CE43" i="3"/>
  <c r="K232" i="33" s="1"/>
  <c r="L232" i="33" s="1"/>
  <c r="CB43" i="3"/>
  <c r="AH232" i="33" s="1"/>
  <c r="AI232" i="33" s="1"/>
  <c r="CA43" i="3"/>
  <c r="BZ43" i="3"/>
  <c r="BR43" i="3"/>
  <c r="AA232" i="33" s="1"/>
  <c r="AB232" i="33" s="1"/>
  <c r="AC232" i="33" s="1"/>
  <c r="BQ43" i="3"/>
  <c r="BP43" i="3"/>
  <c r="BH43" i="3"/>
  <c r="T232" i="33" s="1"/>
  <c r="U232" i="33" s="1"/>
  <c r="V232" i="33" s="1"/>
  <c r="BG43" i="3"/>
  <c r="BF43" i="3"/>
  <c r="AX43" i="3"/>
  <c r="M232" i="33" s="1"/>
  <c r="AW43" i="3"/>
  <c r="AV43" i="3"/>
  <c r="CL42" i="3"/>
  <c r="CK42" i="3"/>
  <c r="CJ42" i="3"/>
  <c r="CI42" i="3"/>
  <c r="CH42" i="3"/>
  <c r="CG42" i="3"/>
  <c r="CF42" i="3"/>
  <c r="CE42" i="3"/>
  <c r="CB42" i="3"/>
  <c r="CA42" i="3"/>
  <c r="BZ42" i="3"/>
  <c r="BR42" i="3"/>
  <c r="BQ42" i="3"/>
  <c r="BP42" i="3"/>
  <c r="BH42" i="3"/>
  <c r="BG42" i="3"/>
  <c r="BF42" i="3"/>
  <c r="AX42" i="3"/>
  <c r="AW42" i="3"/>
  <c r="AV42" i="3"/>
  <c r="AO43" i="3"/>
  <c r="AY43" i="3" s="1"/>
  <c r="AN43" i="3"/>
  <c r="BL43" i="3" s="1"/>
  <c r="AO42" i="3"/>
  <c r="CC42" i="3" s="1"/>
  <c r="AN42" i="3"/>
  <c r="BL42" i="3" s="1"/>
  <c r="N233" i="33" l="1"/>
  <c r="O233" i="33" s="1"/>
  <c r="N339" i="33"/>
  <c r="O339" i="33" s="1"/>
  <c r="N234" i="33"/>
  <c r="O234" i="33" s="1"/>
  <c r="N232" i="33"/>
  <c r="O232" i="33" s="1"/>
  <c r="N166" i="33"/>
  <c r="O166" i="33" s="1"/>
  <c r="Y231" i="33"/>
  <c r="Z231" i="33" s="1"/>
  <c r="AC14" i="36" s="1"/>
  <c r="AF231" i="33"/>
  <c r="AG231" i="33" s="1"/>
  <c r="AP14" i="36" s="1"/>
  <c r="M231" i="33"/>
  <c r="K231" i="33"/>
  <c r="L231" i="33" s="1"/>
  <c r="C14" i="36" s="1"/>
  <c r="AA231" i="33"/>
  <c r="AB231" i="33" s="1"/>
  <c r="AC231" i="33" s="1"/>
  <c r="AI14" i="36" s="1"/>
  <c r="AH231" i="33"/>
  <c r="AI231" i="33" s="1"/>
  <c r="AV14" i="36" s="1"/>
  <c r="T231" i="33"/>
  <c r="U231" i="33" s="1"/>
  <c r="V231" i="33" s="1"/>
  <c r="V14" i="36" s="1"/>
  <c r="R231" i="33"/>
  <c r="S231" i="33" s="1"/>
  <c r="P14" i="36" s="1"/>
  <c r="BB47" i="3"/>
  <c r="AR47" i="3"/>
  <c r="CC45" i="3"/>
  <c r="BI47" i="3"/>
  <c r="CC47" i="3"/>
  <c r="AY47" i="3"/>
  <c r="AY44" i="3"/>
  <c r="CC44" i="3"/>
  <c r="BI46" i="3"/>
  <c r="BB42" i="3"/>
  <c r="AY42" i="3"/>
  <c r="BS42" i="3"/>
  <c r="BB43" i="3"/>
  <c r="AY46" i="3"/>
  <c r="BV46" i="3"/>
  <c r="BI42" i="3"/>
  <c r="BS43" i="3"/>
  <c r="BB45" i="3"/>
  <c r="BV42" i="3"/>
  <c r="BV43" i="3"/>
  <c r="AR42" i="3"/>
  <c r="AR43" i="3"/>
  <c r="BI43" i="3"/>
  <c r="AR45" i="3"/>
  <c r="BL45" i="3"/>
  <c r="CC43" i="3"/>
  <c r="BI45" i="3"/>
  <c r="BB46" i="3"/>
  <c r="BS46" i="3"/>
  <c r="BL47" i="3"/>
  <c r="AY45" i="3"/>
  <c r="AR46" i="3"/>
  <c r="BB44" i="3"/>
  <c r="BV44" i="3"/>
  <c r="AR44" i="3"/>
  <c r="BS44" i="3"/>
  <c r="AG14" i="36" l="1"/>
  <c r="AD14" i="36"/>
  <c r="AF14" i="36"/>
  <c r="AH14" i="36"/>
  <c r="AE14" i="36"/>
  <c r="AJ14" i="36"/>
  <c r="AL14" i="36"/>
  <c r="AN14" i="36"/>
  <c r="AM14" i="36"/>
  <c r="AK14" i="36"/>
  <c r="U14" i="36"/>
  <c r="T14" i="36"/>
  <c r="R14" i="36"/>
  <c r="S14" i="36"/>
  <c r="Q14" i="36"/>
  <c r="AT14" i="36"/>
  <c r="AS14" i="36"/>
  <c r="AR14" i="36"/>
  <c r="AU14" i="36"/>
  <c r="AQ14" i="36"/>
  <c r="BA14" i="36"/>
  <c r="AZ14" i="36"/>
  <c r="AX14" i="36"/>
  <c r="AW14" i="36"/>
  <c r="AY14" i="36"/>
  <c r="X14" i="36"/>
  <c r="W14" i="36"/>
  <c r="AA14" i="36" s="1"/>
  <c r="Z14" i="36"/>
  <c r="Y14" i="36"/>
  <c r="E14" i="36"/>
  <c r="D14" i="36"/>
  <c r="G14" i="36"/>
  <c r="H14" i="36"/>
  <c r="F14" i="36"/>
  <c r="N231" i="33"/>
  <c r="O231" i="33" s="1"/>
  <c r="I14" i="36" s="1"/>
  <c r="BW9" i="28"/>
  <c r="BV9" i="28"/>
  <c r="BU9" i="28"/>
  <c r="BT9" i="28"/>
  <c r="BS9" i="28"/>
  <c r="BR9" i="28"/>
  <c r="BQ9" i="28"/>
  <c r="BP9" i="28"/>
  <c r="K220" i="33" s="1"/>
  <c r="L220" i="33" s="1"/>
  <c r="BM9" i="28"/>
  <c r="AH220" i="33" s="1"/>
  <c r="AI220" i="33" s="1"/>
  <c r="BL9" i="28"/>
  <c r="BK9" i="28"/>
  <c r="BC9" i="28"/>
  <c r="AA220" i="33" s="1"/>
  <c r="AB220" i="33" s="1"/>
  <c r="BB9" i="28"/>
  <c r="BA9" i="28"/>
  <c r="AS9" i="28"/>
  <c r="T220" i="33" s="1"/>
  <c r="U220" i="33" s="1"/>
  <c r="AR9" i="28"/>
  <c r="AQ9" i="28"/>
  <c r="AI9" i="28"/>
  <c r="M220" i="33" s="1"/>
  <c r="N220" i="33" s="1"/>
  <c r="O220" i="33" s="1"/>
  <c r="AH9" i="28"/>
  <c r="AG9" i="28"/>
  <c r="Z9" i="28"/>
  <c r="BN9" i="28" s="1"/>
  <c r="Y9" i="28"/>
  <c r="BG9" i="28" s="1"/>
  <c r="BW8" i="28"/>
  <c r="BV8" i="28"/>
  <c r="BU8" i="28"/>
  <c r="BT8" i="28"/>
  <c r="BS8" i="28"/>
  <c r="BR8" i="28"/>
  <c r="BQ8" i="28"/>
  <c r="BP8" i="28"/>
  <c r="K219" i="33" s="1"/>
  <c r="L219" i="33" s="1"/>
  <c r="BM8" i="28"/>
  <c r="AH219" i="33" s="1"/>
  <c r="AI219" i="33" s="1"/>
  <c r="BL8" i="28"/>
  <c r="BK8" i="28"/>
  <c r="BC8" i="28"/>
  <c r="AA219" i="33" s="1"/>
  <c r="AB219" i="33" s="1"/>
  <c r="BB8" i="28"/>
  <c r="BA8" i="28"/>
  <c r="AS8" i="28"/>
  <c r="T219" i="33" s="1"/>
  <c r="U219" i="33" s="1"/>
  <c r="AR8" i="28"/>
  <c r="AQ8" i="28"/>
  <c r="AI8" i="28"/>
  <c r="M219" i="33" s="1"/>
  <c r="N219" i="33" s="1"/>
  <c r="O219" i="33" s="1"/>
  <c r="AH8" i="28"/>
  <c r="AG8" i="28"/>
  <c r="Z8" i="28"/>
  <c r="BN8" i="28" s="1"/>
  <c r="Y8" i="28"/>
  <c r="BG8" i="28" s="1"/>
  <c r="K14" i="36" l="1"/>
  <c r="M14" i="36"/>
  <c r="L14" i="36"/>
  <c r="N14" i="36"/>
  <c r="J14" i="36"/>
  <c r="AW9" i="28"/>
  <c r="AC9" i="28"/>
  <c r="AJ8" i="28"/>
  <c r="BD8" i="28"/>
  <c r="AJ9" i="28"/>
  <c r="AC8" i="28"/>
  <c r="AT8" i="28"/>
  <c r="AM9" i="28"/>
  <c r="AW8" i="28"/>
  <c r="AM8" i="28"/>
  <c r="BD9" i="28"/>
  <c r="AT9" i="28"/>
  <c r="CL130" i="3" l="1"/>
  <c r="CK130" i="3"/>
  <c r="AF179" i="33" s="1"/>
  <c r="AG179" i="33" s="1"/>
  <c r="CJ130" i="3"/>
  <c r="CI130" i="3"/>
  <c r="Y179" i="33" s="1"/>
  <c r="CH130" i="3"/>
  <c r="CG130" i="3"/>
  <c r="R179" i="33" s="1"/>
  <c r="CF130" i="3"/>
  <c r="CE130" i="3"/>
  <c r="K179" i="33" s="1"/>
  <c r="CB130" i="3"/>
  <c r="AH179" i="33" s="1"/>
  <c r="AI179" i="33" s="1"/>
  <c r="CA130" i="3"/>
  <c r="BZ130" i="3"/>
  <c r="BR130" i="3"/>
  <c r="AA179" i="33" s="1"/>
  <c r="AB179" i="33" s="1"/>
  <c r="BQ130" i="3"/>
  <c r="BP130" i="3"/>
  <c r="BH130" i="3"/>
  <c r="T179" i="33" s="1"/>
  <c r="U179" i="33" s="1"/>
  <c r="BG130" i="3"/>
  <c r="BF130" i="3"/>
  <c r="AX130" i="3"/>
  <c r="M179" i="33" s="1"/>
  <c r="N179" i="33" s="1"/>
  <c r="AW130" i="3"/>
  <c r="AV130" i="3"/>
  <c r="AO130" i="3"/>
  <c r="BS130" i="3" s="1"/>
  <c r="AN130" i="3"/>
  <c r="BV130" i="3" s="1"/>
  <c r="CK129" i="3"/>
  <c r="AF178" i="33" s="1"/>
  <c r="AG178" i="33" s="1"/>
  <c r="CI129" i="3"/>
  <c r="Y178" i="33" s="1"/>
  <c r="Z178" i="33" s="1"/>
  <c r="CG129" i="3"/>
  <c r="R178" i="33" s="1"/>
  <c r="S178" i="33" s="1"/>
  <c r="CE129" i="3"/>
  <c r="K178" i="33" s="1"/>
  <c r="L178" i="33" s="1"/>
  <c r="CB129" i="3"/>
  <c r="AH178" i="33" s="1"/>
  <c r="AI178" i="33" s="1"/>
  <c r="BZ129" i="3"/>
  <c r="CL129" i="3"/>
  <c r="BR129" i="3"/>
  <c r="AA178" i="33" s="1"/>
  <c r="AB178" i="33" s="1"/>
  <c r="AC178" i="33" s="1"/>
  <c r="BP129" i="3"/>
  <c r="BH129" i="3"/>
  <c r="T178" i="33" s="1"/>
  <c r="U178" i="33" s="1"/>
  <c r="V178" i="33" s="1"/>
  <c r="BF129" i="3"/>
  <c r="AX129" i="3"/>
  <c r="M178" i="33" s="1"/>
  <c r="AV129" i="3"/>
  <c r="AW129" i="3"/>
  <c r="AO129" i="3"/>
  <c r="CC129" i="3" s="1"/>
  <c r="AN129" i="3"/>
  <c r="BB129" i="3" s="1"/>
  <c r="CK128" i="3"/>
  <c r="AF177" i="33" s="1"/>
  <c r="CI128" i="3"/>
  <c r="Y177" i="33" s="1"/>
  <c r="Z177" i="33" s="1"/>
  <c r="CG128" i="3"/>
  <c r="R177" i="33" s="1"/>
  <c r="CE128" i="3"/>
  <c r="K177" i="33" s="1"/>
  <c r="L177" i="33" s="1"/>
  <c r="CB128" i="3"/>
  <c r="AH177" i="33" s="1"/>
  <c r="AI177" i="33" s="1"/>
  <c r="BZ128" i="3"/>
  <c r="CL128" i="3"/>
  <c r="BR128" i="3"/>
  <c r="AA177" i="33" s="1"/>
  <c r="AB177" i="33" s="1"/>
  <c r="AC177" i="33" s="1"/>
  <c r="BP128" i="3"/>
  <c r="BQ128" i="3"/>
  <c r="BH128" i="3"/>
  <c r="T177" i="33" s="1"/>
  <c r="U177" i="33" s="1"/>
  <c r="V177" i="33" s="1"/>
  <c r="BF128" i="3"/>
  <c r="AX128" i="3"/>
  <c r="M177" i="33" s="1"/>
  <c r="AW128" i="3"/>
  <c r="AV128" i="3"/>
  <c r="CF128" i="3"/>
  <c r="AO128" i="3"/>
  <c r="CC128" i="3" s="1"/>
  <c r="AN128" i="3"/>
  <c r="AR128" i="3" s="1"/>
  <c r="CK127" i="3"/>
  <c r="AF176" i="33" s="1"/>
  <c r="AG176" i="33" s="1"/>
  <c r="CI127" i="3"/>
  <c r="Y176" i="33" s="1"/>
  <c r="Z176" i="33" s="1"/>
  <c r="CG127" i="3"/>
  <c r="R176" i="33" s="1"/>
  <c r="S176" i="33" s="1"/>
  <c r="CE127" i="3"/>
  <c r="K176" i="33" s="1"/>
  <c r="CB127" i="3"/>
  <c r="AH176" i="33" s="1"/>
  <c r="AI176" i="33" s="1"/>
  <c r="BZ127" i="3"/>
  <c r="BR127" i="3"/>
  <c r="AA176" i="33" s="1"/>
  <c r="AB176" i="33" s="1"/>
  <c r="AC176" i="33" s="1"/>
  <c r="BP127" i="3"/>
  <c r="BQ127" i="3"/>
  <c r="BH127" i="3"/>
  <c r="T176" i="33" s="1"/>
  <c r="U176" i="33" s="1"/>
  <c r="V176" i="33" s="1"/>
  <c r="BF127" i="3"/>
  <c r="AX127" i="3"/>
  <c r="M176" i="33" s="1"/>
  <c r="N176" i="33" s="1"/>
  <c r="AV127" i="3"/>
  <c r="AO127" i="3"/>
  <c r="AY127" i="3" s="1"/>
  <c r="AN127" i="3"/>
  <c r="BV127" i="3" s="1"/>
  <c r="CK126" i="3"/>
  <c r="AF175" i="33" s="1"/>
  <c r="AG175" i="33" s="1"/>
  <c r="CI126" i="3"/>
  <c r="Y175" i="33" s="1"/>
  <c r="Z175" i="33" s="1"/>
  <c r="CG126" i="3"/>
  <c r="R175" i="33" s="1"/>
  <c r="CE126" i="3"/>
  <c r="K175" i="33" s="1"/>
  <c r="CB126" i="3"/>
  <c r="AH175" i="33" s="1"/>
  <c r="AI175" i="33" s="1"/>
  <c r="BZ126" i="3"/>
  <c r="BR126" i="3"/>
  <c r="AA175" i="33" s="1"/>
  <c r="AB175" i="33" s="1"/>
  <c r="AC175" i="33" s="1"/>
  <c r="BP126" i="3"/>
  <c r="BH126" i="3"/>
  <c r="T175" i="33" s="1"/>
  <c r="U175" i="33" s="1"/>
  <c r="BF126" i="3"/>
  <c r="CH126" i="3"/>
  <c r="AX126" i="3"/>
  <c r="M175" i="33" s="1"/>
  <c r="N175" i="33" s="1"/>
  <c r="AV126" i="3"/>
  <c r="AO126" i="3"/>
  <c r="AN126" i="3"/>
  <c r="BB126" i="3" s="1"/>
  <c r="CK125" i="3"/>
  <c r="AF174" i="33" s="1"/>
  <c r="AG174" i="33" s="1"/>
  <c r="CI125" i="3"/>
  <c r="Y174" i="33" s="1"/>
  <c r="Z174" i="33" s="1"/>
  <c r="CG125" i="3"/>
  <c r="R174" i="33" s="1"/>
  <c r="S174" i="33" s="1"/>
  <c r="CE125" i="3"/>
  <c r="K174" i="33" s="1"/>
  <c r="L174" i="33" s="1"/>
  <c r="CB125" i="3"/>
  <c r="AH174" i="33" s="1"/>
  <c r="AI174" i="33" s="1"/>
  <c r="BZ125" i="3"/>
  <c r="CL125" i="3"/>
  <c r="BR125" i="3"/>
  <c r="AA174" i="33" s="1"/>
  <c r="AB174" i="33" s="1"/>
  <c r="AC174" i="33" s="1"/>
  <c r="BP125" i="3"/>
  <c r="BQ125" i="3"/>
  <c r="BH125" i="3"/>
  <c r="T174" i="33" s="1"/>
  <c r="U174" i="33" s="1"/>
  <c r="V174" i="33" s="1"/>
  <c r="BF125" i="3"/>
  <c r="AX125" i="3"/>
  <c r="M174" i="33" s="1"/>
  <c r="AV125" i="3"/>
  <c r="AO125" i="3"/>
  <c r="BS125" i="3" s="1"/>
  <c r="AN125" i="3"/>
  <c r="AR125" i="3" s="1"/>
  <c r="CK124" i="3"/>
  <c r="AF173" i="33" s="1"/>
  <c r="AG173" i="33" s="1"/>
  <c r="CI124" i="3"/>
  <c r="Y173" i="33" s="1"/>
  <c r="Z173" i="33" s="1"/>
  <c r="CG124" i="3"/>
  <c r="R173" i="33" s="1"/>
  <c r="S173" i="33" s="1"/>
  <c r="CE124" i="3"/>
  <c r="K173" i="33" s="1"/>
  <c r="L173" i="33" s="1"/>
  <c r="CB124" i="3"/>
  <c r="AH173" i="33" s="1"/>
  <c r="AI173" i="33" s="1"/>
  <c r="BZ124" i="3"/>
  <c r="BR124" i="3"/>
  <c r="AA173" i="33" s="1"/>
  <c r="AB173" i="33" s="1"/>
  <c r="AC173" i="33" s="1"/>
  <c r="BP124" i="3"/>
  <c r="BQ124" i="3"/>
  <c r="BH124" i="3"/>
  <c r="T173" i="33" s="1"/>
  <c r="U173" i="33" s="1"/>
  <c r="V173" i="33" s="1"/>
  <c r="BF124" i="3"/>
  <c r="AX124" i="3"/>
  <c r="M173" i="33" s="1"/>
  <c r="AV124" i="3"/>
  <c r="AO124" i="3"/>
  <c r="AY124" i="3" s="1"/>
  <c r="AN124" i="3"/>
  <c r="BV124" i="3" s="1"/>
  <c r="CK123" i="3"/>
  <c r="AF172" i="33" s="1"/>
  <c r="AG172" i="33" s="1"/>
  <c r="CI123" i="3"/>
  <c r="Y172" i="33" s="1"/>
  <c r="Z172" i="33" s="1"/>
  <c r="CG123" i="3"/>
  <c r="R172" i="33" s="1"/>
  <c r="S172" i="33" s="1"/>
  <c r="CE123" i="3"/>
  <c r="K172" i="33" s="1"/>
  <c r="L172" i="33" s="1"/>
  <c r="CB123" i="3"/>
  <c r="AH172" i="33" s="1"/>
  <c r="AI172" i="33" s="1"/>
  <c r="BZ123" i="3"/>
  <c r="BR123" i="3"/>
  <c r="AA172" i="33" s="1"/>
  <c r="AB172" i="33" s="1"/>
  <c r="AC172" i="33" s="1"/>
  <c r="BP123" i="3"/>
  <c r="BH123" i="3"/>
  <c r="T172" i="33" s="1"/>
  <c r="U172" i="33" s="1"/>
  <c r="V172" i="33" s="1"/>
  <c r="BF123" i="3"/>
  <c r="AX123" i="3"/>
  <c r="M172" i="33" s="1"/>
  <c r="AV123" i="3"/>
  <c r="AO123" i="3"/>
  <c r="AN123" i="3"/>
  <c r="BB123" i="3" s="1"/>
  <c r="CK122" i="3"/>
  <c r="AF334" i="33" s="1"/>
  <c r="AG334" i="33" s="1"/>
  <c r="CI122" i="3"/>
  <c r="Y334" i="33" s="1"/>
  <c r="Y342" i="33" s="1"/>
  <c r="Z342" i="33" s="1"/>
  <c r="AE9" i="34" s="1"/>
  <c r="CG122" i="3"/>
  <c r="R334" i="33" s="1"/>
  <c r="R342" i="33" s="1"/>
  <c r="S342" i="33" s="1"/>
  <c r="Q9" i="34" s="1"/>
  <c r="CE122" i="3"/>
  <c r="K334" i="33" s="1"/>
  <c r="K342" i="33" s="1"/>
  <c r="CB122" i="3"/>
  <c r="AH334" i="33" s="1"/>
  <c r="AH342" i="33" s="1"/>
  <c r="BZ122" i="3"/>
  <c r="CL122" i="3"/>
  <c r="BR122" i="3"/>
  <c r="AA334" i="33" s="1"/>
  <c r="AA342" i="33" s="1"/>
  <c r="AB342" i="33" s="1"/>
  <c r="BP122" i="3"/>
  <c r="BH122" i="3"/>
  <c r="T334" i="33" s="1"/>
  <c r="T342" i="33" s="1"/>
  <c r="U342" i="33" s="1"/>
  <c r="BF122" i="3"/>
  <c r="AX122" i="3"/>
  <c r="M334" i="33" s="1"/>
  <c r="AV122" i="3"/>
  <c r="AO122" i="3"/>
  <c r="BS122" i="3" s="1"/>
  <c r="AN122" i="3"/>
  <c r="BB122" i="3" s="1"/>
  <c r="AP7" i="38" l="1"/>
  <c r="L342" i="33"/>
  <c r="C9" i="34" s="1"/>
  <c r="N172" i="33"/>
  <c r="O172" i="33" s="1"/>
  <c r="N334" i="33"/>
  <c r="M342" i="33"/>
  <c r="N342" i="33" s="1"/>
  <c r="N174" i="33"/>
  <c r="O174" i="33" s="1"/>
  <c r="N177" i="33"/>
  <c r="O177" i="33" s="1"/>
  <c r="AI9" i="34"/>
  <c r="AJ9" i="34"/>
  <c r="AF9" i="34"/>
  <c r="AH9" i="34"/>
  <c r="AG9" i="34"/>
  <c r="N178" i="33"/>
  <c r="O178" i="33" s="1"/>
  <c r="U9" i="34"/>
  <c r="R9" i="34"/>
  <c r="S9" i="34"/>
  <c r="V9" i="34"/>
  <c r="T9" i="34"/>
  <c r="N173" i="33"/>
  <c r="O173" i="33" s="1"/>
  <c r="L334" i="33"/>
  <c r="C7" i="38" s="1"/>
  <c r="AI334" i="33"/>
  <c r="AI342" i="33" s="1"/>
  <c r="AY9" i="34" s="1"/>
  <c r="U334" i="33"/>
  <c r="Z334" i="33"/>
  <c r="AB334" i="33"/>
  <c r="S334" i="33"/>
  <c r="P7" i="38" s="1"/>
  <c r="AR126" i="3"/>
  <c r="BI122" i="3"/>
  <c r="BV123" i="3"/>
  <c r="AR123" i="3"/>
  <c r="CC130" i="3"/>
  <c r="BV126" i="3"/>
  <c r="AY122" i="3"/>
  <c r="AY125" i="3"/>
  <c r="AR130" i="3"/>
  <c r="AY128" i="3"/>
  <c r="BI130" i="3"/>
  <c r="BL126" i="3"/>
  <c r="BL130" i="3"/>
  <c r="AY130" i="3"/>
  <c r="BL123" i="3"/>
  <c r="BB130" i="3"/>
  <c r="BI125" i="3"/>
  <c r="AR122" i="3"/>
  <c r="BS129" i="3"/>
  <c r="BI128" i="3"/>
  <c r="BI129" i="3"/>
  <c r="BS128" i="3"/>
  <c r="CJ126" i="3"/>
  <c r="BQ126" i="3"/>
  <c r="CL127" i="3"/>
  <c r="CA127" i="3"/>
  <c r="CJ123" i="3"/>
  <c r="BQ123" i="3"/>
  <c r="CA124" i="3"/>
  <c r="CL124" i="3"/>
  <c r="CJ127" i="3"/>
  <c r="BV122" i="3"/>
  <c r="BL124" i="3"/>
  <c r="BV125" i="3"/>
  <c r="BL127" i="3"/>
  <c r="BV128" i="3"/>
  <c r="AR129" i="3"/>
  <c r="CJ124" i="3"/>
  <c r="BL122" i="3"/>
  <c r="BB124" i="3"/>
  <c r="BL125" i="3"/>
  <c r="BB127" i="3"/>
  <c r="BL128" i="3"/>
  <c r="BV129" i="3"/>
  <c r="CC126" i="3"/>
  <c r="CF129" i="3"/>
  <c r="CA122" i="3"/>
  <c r="BS123" i="3"/>
  <c r="CC124" i="3"/>
  <c r="CA125" i="3"/>
  <c r="CJ125" i="3"/>
  <c r="BG126" i="3"/>
  <c r="BS126" i="3"/>
  <c r="CC127" i="3"/>
  <c r="CA128" i="3"/>
  <c r="CJ128" i="3"/>
  <c r="AR124" i="3"/>
  <c r="BB125" i="3"/>
  <c r="AR127" i="3"/>
  <c r="BB128" i="3"/>
  <c r="BL129" i="3"/>
  <c r="CC122" i="3"/>
  <c r="BI123" i="3"/>
  <c r="BS124" i="3"/>
  <c r="CC125" i="3"/>
  <c r="BI126" i="3"/>
  <c r="BS127" i="3"/>
  <c r="AY129" i="3"/>
  <c r="CA129" i="3"/>
  <c r="CC123" i="3"/>
  <c r="AY123" i="3"/>
  <c r="BI124" i="3"/>
  <c r="AY126" i="3"/>
  <c r="BI127" i="3"/>
  <c r="H7" i="38" l="1"/>
  <c r="D7" i="38"/>
  <c r="G7" i="38"/>
  <c r="F7" i="38"/>
  <c r="E7" i="38"/>
  <c r="S7" i="38"/>
  <c r="T7" i="38"/>
  <c r="U7" i="38"/>
  <c r="Q7" i="38"/>
  <c r="R7" i="38"/>
  <c r="AS7" i="38"/>
  <c r="AR7" i="38"/>
  <c r="AT7" i="38"/>
  <c r="AQ7" i="38"/>
  <c r="AU7" i="38"/>
  <c r="H9" i="34"/>
  <c r="F9" i="34"/>
  <c r="E9" i="34"/>
  <c r="G9" i="34"/>
  <c r="D9" i="34"/>
  <c r="BD9" i="34"/>
  <c r="BC9" i="34"/>
  <c r="BB9" i="34"/>
  <c r="AZ9" i="34"/>
  <c r="BA9" i="34"/>
  <c r="AC334" i="33"/>
  <c r="AC342" i="33" s="1"/>
  <c r="AK9" i="34" s="1"/>
  <c r="V334" i="33"/>
  <c r="O334" i="33"/>
  <c r="O342" i="33" s="1"/>
  <c r="I9" i="34" s="1"/>
  <c r="AW123" i="3"/>
  <c r="CF123" i="3"/>
  <c r="CF122" i="3"/>
  <c r="AW122" i="3"/>
  <c r="AW127" i="3"/>
  <c r="CF127" i="3"/>
  <c r="AW126" i="3"/>
  <c r="CF126" i="3"/>
  <c r="CA126" i="3"/>
  <c r="CL126" i="3"/>
  <c r="AW124" i="3"/>
  <c r="CF124" i="3"/>
  <c r="BG125" i="3"/>
  <c r="CH125" i="3"/>
  <c r="BG122" i="3"/>
  <c r="CH122" i="3"/>
  <c r="BG129" i="3"/>
  <c r="CH129" i="3"/>
  <c r="CA123" i="3"/>
  <c r="CL123" i="3"/>
  <c r="CH127" i="3"/>
  <c r="BG127" i="3"/>
  <c r="BQ122" i="3"/>
  <c r="CJ122" i="3"/>
  <c r="CH123" i="3"/>
  <c r="BG123" i="3"/>
  <c r="CF125" i="3"/>
  <c r="AW125" i="3"/>
  <c r="BQ129" i="3"/>
  <c r="CJ129" i="3"/>
  <c r="CH124" i="3"/>
  <c r="BG124" i="3"/>
  <c r="BG128" i="3"/>
  <c r="CH128" i="3"/>
  <c r="I7" i="38" l="1"/>
  <c r="N7" i="38" s="1"/>
  <c r="V342" i="33"/>
  <c r="W9" i="34" s="1"/>
  <c r="Y9" i="34" s="1"/>
  <c r="V7" i="38"/>
  <c r="AN9" i="34"/>
  <c r="AO9" i="34"/>
  <c r="AL9" i="34"/>
  <c r="AM9" i="34"/>
  <c r="AP9" i="34"/>
  <c r="N9" i="34"/>
  <c r="M9" i="34"/>
  <c r="K9" i="34"/>
  <c r="J9" i="34"/>
  <c r="L9" i="34"/>
  <c r="BY29" i="27"/>
  <c r="AF28" i="33" s="1"/>
  <c r="AG28" i="33" s="1"/>
  <c r="BX29" i="27"/>
  <c r="BW29" i="27"/>
  <c r="Y28" i="33" s="1"/>
  <c r="Z28" i="33" s="1"/>
  <c r="BV29" i="27"/>
  <c r="BU29" i="27"/>
  <c r="R28" i="33" s="1"/>
  <c r="S28" i="33" s="1"/>
  <c r="BT29" i="27"/>
  <c r="BS29" i="27"/>
  <c r="K28" i="33" s="1"/>
  <c r="L28" i="33" s="1"/>
  <c r="BR29" i="27"/>
  <c r="BX28" i="27"/>
  <c r="BV28" i="27"/>
  <c r="BT28" i="27"/>
  <c r="BR28" i="27"/>
  <c r="BP29" i="27"/>
  <c r="AH28" i="33" s="1"/>
  <c r="AI28" i="33" s="1"/>
  <c r="BO29" i="27"/>
  <c r="BN29" i="27"/>
  <c r="BM29" i="27"/>
  <c r="BO28" i="27"/>
  <c r="BM28" i="27"/>
  <c r="BF29" i="27"/>
  <c r="BE29" i="27"/>
  <c r="BD29" i="27"/>
  <c r="X28" i="33" s="1"/>
  <c r="BC29" i="27"/>
  <c r="BE28" i="27"/>
  <c r="BC28" i="27"/>
  <c r="AV29" i="27"/>
  <c r="T28" i="33" s="1"/>
  <c r="U28" i="33" s="1"/>
  <c r="V28" i="33" s="1"/>
  <c r="AU29" i="27"/>
  <c r="AT29" i="27"/>
  <c r="AS29" i="27"/>
  <c r="AU28" i="27"/>
  <c r="AS28" i="27"/>
  <c r="AL29" i="27"/>
  <c r="AK29" i="27"/>
  <c r="AJ29" i="27"/>
  <c r="J28" i="33" s="1"/>
  <c r="AI29" i="27"/>
  <c r="AK28" i="27"/>
  <c r="AI28" i="27"/>
  <c r="AO11" i="27"/>
  <c r="CE138" i="3"/>
  <c r="K277" i="33" s="1"/>
  <c r="CB138" i="3"/>
  <c r="AH277" i="33" s="1"/>
  <c r="AI277" i="33" s="1"/>
  <c r="BZ138" i="3"/>
  <c r="BR138" i="3"/>
  <c r="AA277" i="33" s="1"/>
  <c r="AB277" i="33" s="1"/>
  <c r="AC277" i="33" s="1"/>
  <c r="BP138" i="3"/>
  <c r="BH138" i="3"/>
  <c r="T277" i="33" s="1"/>
  <c r="U277" i="33" s="1"/>
  <c r="BF138" i="3"/>
  <c r="AX138" i="3"/>
  <c r="M277" i="33" s="1"/>
  <c r="N277" i="33" s="1"/>
  <c r="AV138" i="3"/>
  <c r="AO138" i="3"/>
  <c r="AN138" i="3"/>
  <c r="AR138" i="3" s="1"/>
  <c r="M28" i="33" l="1"/>
  <c r="N28" i="33" s="1"/>
  <c r="O28" i="33" s="1"/>
  <c r="AA28" i="33"/>
  <c r="AB28" i="33" s="1"/>
  <c r="AC28" i="33" s="1"/>
  <c r="AE28" i="33"/>
  <c r="Q28" i="33"/>
  <c r="L7" i="38"/>
  <c r="K7" i="38"/>
  <c r="M7" i="38"/>
  <c r="J7" i="38"/>
  <c r="Z9" i="34"/>
  <c r="X9" i="34"/>
  <c r="AA9" i="34"/>
  <c r="AA143" i="33"/>
  <c r="AB143" i="33" s="1"/>
  <c r="AC143" i="33" s="1"/>
  <c r="M142" i="33"/>
  <c r="N142" i="33" s="1"/>
  <c r="O142" i="33" s="1"/>
  <c r="K143" i="33"/>
  <c r="L143" i="33" s="1"/>
  <c r="M143" i="33"/>
  <c r="N143" i="33" s="1"/>
  <c r="O143" i="33" s="1"/>
  <c r="Y142" i="33"/>
  <c r="Z142" i="33" s="1"/>
  <c r="AF143" i="33"/>
  <c r="AG143" i="33" s="1"/>
  <c r="R143" i="33"/>
  <c r="S143" i="33" s="1"/>
  <c r="T143" i="33"/>
  <c r="U143" i="33" s="1"/>
  <c r="V143" i="33" s="1"/>
  <c r="AA142" i="33"/>
  <c r="AB142" i="33" s="1"/>
  <c r="AC142" i="33" s="1"/>
  <c r="R142" i="33"/>
  <c r="S142" i="33" s="1"/>
  <c r="Y143" i="33"/>
  <c r="Z143" i="33" s="1"/>
  <c r="AH143" i="33"/>
  <c r="AI143" i="33" s="1"/>
  <c r="K142" i="33"/>
  <c r="L142" i="33" s="1"/>
  <c r="AF142" i="33"/>
  <c r="AG142" i="33" s="1"/>
  <c r="AH142" i="33"/>
  <c r="AI142" i="33" s="1"/>
  <c r="T142" i="33"/>
  <c r="U142" i="33" s="1"/>
  <c r="V142" i="33" s="1"/>
  <c r="AB9" i="34"/>
  <c r="AA7" i="38"/>
  <c r="W7" i="38"/>
  <c r="Y7" i="38"/>
  <c r="X7" i="38"/>
  <c r="Z7" i="38"/>
  <c r="CC138" i="3"/>
  <c r="AH123" i="33" s="1"/>
  <c r="AI123" i="33" s="1"/>
  <c r="AS138" i="3"/>
  <c r="BS138" i="3"/>
  <c r="AA123" i="33" s="1"/>
  <c r="AB123" i="33" s="1"/>
  <c r="AC123" i="33" s="1"/>
  <c r="AY138" i="3"/>
  <c r="M123" i="33" s="1"/>
  <c r="N123" i="33" s="1"/>
  <c r="BI138" i="3"/>
  <c r="T123" i="33" s="1"/>
  <c r="U123" i="33" s="1"/>
  <c r="BI11" i="27"/>
  <c r="AY11" i="27"/>
  <c r="AE11" i="27"/>
  <c r="BV138" i="3"/>
  <c r="BB138" i="3"/>
  <c r="BL138" i="3"/>
  <c r="CM138" i="3" l="1"/>
  <c r="AW138" i="3"/>
  <c r="J123" i="33" s="1"/>
  <c r="CF138" i="3"/>
  <c r="K123" i="33" s="1"/>
  <c r="BG138" i="3"/>
  <c r="Q123" i="33" s="1"/>
  <c r="CH138" i="3"/>
  <c r="R123" i="33" s="1"/>
  <c r="BQ138" i="3"/>
  <c r="X123" i="33" s="1"/>
  <c r="CJ138" i="3"/>
  <c r="Y123" i="33" s="1"/>
  <c r="Z123" i="33" s="1"/>
  <c r="CA138" i="3"/>
  <c r="AE123" i="33" s="1"/>
  <c r="CL138" i="3"/>
  <c r="AF123" i="33" s="1"/>
  <c r="AG123" i="33" s="1"/>
  <c r="AB28" i="27"/>
  <c r="AA29" i="27"/>
  <c r="AE29" i="27" s="1"/>
  <c r="AA28" i="27"/>
  <c r="AO28" i="27" s="1"/>
  <c r="AB32" i="27"/>
  <c r="BZ32" i="27" s="1"/>
  <c r="AA32" i="27"/>
  <c r="AB31" i="27"/>
  <c r="BZ31" i="27" s="1"/>
  <c r="AA31" i="27"/>
  <c r="AB30" i="27"/>
  <c r="BZ30" i="27" s="1"/>
  <c r="AA30" i="27"/>
  <c r="BJ28" i="27" l="1"/>
  <c r="AF28" i="27"/>
  <c r="AP28" i="27"/>
  <c r="AZ28" i="27"/>
  <c r="BP28" i="27"/>
  <c r="AV28" i="27"/>
  <c r="BF28" i="27"/>
  <c r="AL28" i="27"/>
  <c r="AY29" i="27"/>
  <c r="AO29" i="27"/>
  <c r="BI29" i="27"/>
  <c r="AE28" i="27"/>
  <c r="BI28" i="27"/>
  <c r="AY28" i="27"/>
  <c r="AH27" i="33" l="1"/>
  <c r="AI27" i="33" s="1"/>
  <c r="T27" i="33"/>
  <c r="U27" i="33" s="1"/>
  <c r="V27" i="33" s="1"/>
  <c r="M27" i="33"/>
  <c r="N27" i="33" s="1"/>
  <c r="O27" i="33" s="1"/>
  <c r="AA27" i="33"/>
  <c r="AB27" i="33" s="1"/>
  <c r="AC27" i="33" s="1"/>
  <c r="BZ28" i="27"/>
  <c r="BU28" i="27"/>
  <c r="AT28" i="27"/>
  <c r="AJ28" i="27"/>
  <c r="BS28" i="27"/>
  <c r="BW28" i="27"/>
  <c r="BD28" i="27"/>
  <c r="BY28" i="27"/>
  <c r="BN28" i="27"/>
  <c r="AB23" i="27"/>
  <c r="AB24" i="27"/>
  <c r="AB25" i="27"/>
  <c r="AB26" i="27"/>
  <c r="AB27" i="27"/>
  <c r="AA23" i="27"/>
  <c r="AY23" i="27" s="1"/>
  <c r="AA24" i="27"/>
  <c r="AO24" i="27" s="1"/>
  <c r="AA25" i="27"/>
  <c r="AY25" i="27" s="1"/>
  <c r="AA26" i="27"/>
  <c r="AO26" i="27" s="1"/>
  <c r="AA27" i="27"/>
  <c r="AY27" i="27" s="1"/>
  <c r="AO10" i="3"/>
  <c r="AO14" i="3"/>
  <c r="BM14" i="3" s="1"/>
  <c r="CM14" i="3" s="1"/>
  <c r="AO15" i="3"/>
  <c r="AO16" i="3"/>
  <c r="AO19" i="3"/>
  <c r="AO21" i="3"/>
  <c r="AO22" i="3"/>
  <c r="BM22" i="3" s="1"/>
  <c r="AO23" i="3"/>
  <c r="AO24" i="3"/>
  <c r="AO25" i="3"/>
  <c r="AO26" i="3"/>
  <c r="AO29" i="3"/>
  <c r="AO31" i="3"/>
  <c r="AO35" i="3"/>
  <c r="AO37" i="3"/>
  <c r="AO38" i="3"/>
  <c r="AO119" i="3"/>
  <c r="BC119" i="3" s="1"/>
  <c r="CM119" i="3" s="1"/>
  <c r="AO120" i="3"/>
  <c r="AO132" i="3"/>
  <c r="BW132" i="3" s="1"/>
  <c r="AO133" i="3"/>
  <c r="BW133" i="3" s="1"/>
  <c r="AO134" i="3"/>
  <c r="BW134" i="3" s="1"/>
  <c r="AO136" i="3"/>
  <c r="AO137" i="3"/>
  <c r="AO9" i="3"/>
  <c r="AN10" i="3"/>
  <c r="AN14" i="3"/>
  <c r="AN15" i="3"/>
  <c r="AN16" i="3"/>
  <c r="AN19" i="3"/>
  <c r="AN21" i="3"/>
  <c r="AN22" i="3"/>
  <c r="AN23" i="3"/>
  <c r="AN24" i="3"/>
  <c r="AN25" i="3"/>
  <c r="AN26" i="3"/>
  <c r="AN29" i="3"/>
  <c r="AN31" i="3"/>
  <c r="AN35" i="3"/>
  <c r="AN37" i="3"/>
  <c r="AN38" i="3"/>
  <c r="AN40" i="3"/>
  <c r="AN119" i="3"/>
  <c r="AN120" i="3"/>
  <c r="AN132" i="3"/>
  <c r="AN133" i="3"/>
  <c r="AN134" i="3"/>
  <c r="BV134" i="3" s="1"/>
  <c r="AN136" i="3"/>
  <c r="AN137" i="3"/>
  <c r="AN9" i="3"/>
  <c r="BY33" i="27"/>
  <c r="BX33" i="27"/>
  <c r="BW33" i="27"/>
  <c r="BV33" i="27"/>
  <c r="BU33" i="27"/>
  <c r="BT33" i="27"/>
  <c r="BS33" i="27"/>
  <c r="BR33" i="27"/>
  <c r="BO33" i="27"/>
  <c r="BN33" i="27"/>
  <c r="BM33" i="27"/>
  <c r="BI33" i="27"/>
  <c r="BE33" i="27"/>
  <c r="BD33" i="27"/>
  <c r="BC33" i="27"/>
  <c r="AY33" i="27"/>
  <c r="AU33" i="27"/>
  <c r="AT33" i="27"/>
  <c r="AS33" i="27"/>
  <c r="AO33" i="27"/>
  <c r="AK33" i="27"/>
  <c r="AJ33" i="27"/>
  <c r="AI33" i="27"/>
  <c r="AE33" i="27"/>
  <c r="BY32" i="27"/>
  <c r="BX32" i="27"/>
  <c r="BW32" i="27"/>
  <c r="BV32" i="27"/>
  <c r="BU32" i="27"/>
  <c r="BT32" i="27"/>
  <c r="BS32" i="27"/>
  <c r="BR32" i="27"/>
  <c r="BP32" i="27"/>
  <c r="BO32" i="27"/>
  <c r="BN32" i="27"/>
  <c r="BM32" i="27"/>
  <c r="BI32" i="27"/>
  <c r="BF32" i="27"/>
  <c r="BE32" i="27"/>
  <c r="BD32" i="27"/>
  <c r="BC32" i="27"/>
  <c r="AY32" i="27"/>
  <c r="AV32" i="27"/>
  <c r="AU32" i="27"/>
  <c r="AT32" i="27"/>
  <c r="AS32" i="27"/>
  <c r="AO32" i="27"/>
  <c r="AL32" i="27"/>
  <c r="AK32" i="27"/>
  <c r="AJ32" i="27"/>
  <c r="AE32" i="27"/>
  <c r="BY31" i="27"/>
  <c r="BX31" i="27"/>
  <c r="BW31" i="27"/>
  <c r="BV31" i="27"/>
  <c r="BU31" i="27"/>
  <c r="BT31" i="27"/>
  <c r="BS31" i="27"/>
  <c r="BR31" i="27"/>
  <c r="BP31" i="27"/>
  <c r="BO31" i="27"/>
  <c r="BN31" i="27"/>
  <c r="BM31" i="27"/>
  <c r="BI31" i="27"/>
  <c r="BF31" i="27"/>
  <c r="BE31" i="27"/>
  <c r="BD31" i="27"/>
  <c r="BC31" i="27"/>
  <c r="AY31" i="27"/>
  <c r="AV31" i="27"/>
  <c r="AU31" i="27"/>
  <c r="AT31" i="27"/>
  <c r="AS31" i="27"/>
  <c r="AO31" i="27"/>
  <c r="AL31" i="27"/>
  <c r="AK31" i="27"/>
  <c r="AJ31" i="27"/>
  <c r="AI31" i="27"/>
  <c r="AE31" i="27"/>
  <c r="BY30" i="27"/>
  <c r="BX30" i="27"/>
  <c r="BW30" i="27"/>
  <c r="BV30" i="27"/>
  <c r="BU30" i="27"/>
  <c r="BT30" i="27"/>
  <c r="BS30" i="27"/>
  <c r="BR30" i="27"/>
  <c r="BP30" i="27"/>
  <c r="BO30" i="27"/>
  <c r="BN30" i="27"/>
  <c r="BM30" i="27"/>
  <c r="BI30" i="27"/>
  <c r="BF30" i="27"/>
  <c r="BE30" i="27"/>
  <c r="BD30" i="27"/>
  <c r="BC30" i="27"/>
  <c r="AY30" i="27"/>
  <c r="AV30" i="27"/>
  <c r="AU30" i="27"/>
  <c r="AT30" i="27"/>
  <c r="AS30" i="27"/>
  <c r="AO30" i="27"/>
  <c r="AL30" i="27"/>
  <c r="AK30" i="27"/>
  <c r="AJ30" i="27"/>
  <c r="AI30" i="27"/>
  <c r="AE30" i="27"/>
  <c r="BX27" i="27"/>
  <c r="BV27" i="27"/>
  <c r="BT27" i="27"/>
  <c r="BR27" i="27"/>
  <c r="BO27" i="27"/>
  <c r="BM27" i="27"/>
  <c r="BE27" i="27"/>
  <c r="BC27" i="27"/>
  <c r="AU27" i="27"/>
  <c r="AS27" i="27"/>
  <c r="AK27" i="27"/>
  <c r="AI27" i="27"/>
  <c r="BX26" i="27"/>
  <c r="BV26" i="27"/>
  <c r="BT26" i="27"/>
  <c r="BR26" i="27"/>
  <c r="BO26" i="27"/>
  <c r="BM26" i="27"/>
  <c r="BE26" i="27"/>
  <c r="BC26" i="27"/>
  <c r="AU26" i="27"/>
  <c r="AS26" i="27"/>
  <c r="AK26" i="27"/>
  <c r="AI26" i="27"/>
  <c r="BX25" i="27"/>
  <c r="BV25" i="27"/>
  <c r="BT25" i="27"/>
  <c r="BR25" i="27"/>
  <c r="BO25" i="27"/>
  <c r="BM25" i="27"/>
  <c r="BE25" i="27"/>
  <c r="BC25" i="27"/>
  <c r="AU25" i="27"/>
  <c r="AS25" i="27"/>
  <c r="AK25" i="27"/>
  <c r="AI25" i="27"/>
  <c r="BX24" i="27"/>
  <c r="BV24" i="27"/>
  <c r="BT24" i="27"/>
  <c r="BR24" i="27"/>
  <c r="BO24" i="27"/>
  <c r="BM24" i="27"/>
  <c r="BE24" i="27"/>
  <c r="BC24" i="27"/>
  <c r="AU24" i="27"/>
  <c r="AS24" i="27"/>
  <c r="AK24" i="27"/>
  <c r="AI24" i="27"/>
  <c r="BX23" i="27"/>
  <c r="BV23" i="27"/>
  <c r="BT23" i="27"/>
  <c r="BR23" i="27"/>
  <c r="BO23" i="27"/>
  <c r="BM23" i="27"/>
  <c r="BE23" i="27"/>
  <c r="BC23" i="27"/>
  <c r="AU23" i="27"/>
  <c r="AS23" i="27"/>
  <c r="AK23" i="27"/>
  <c r="AI23" i="27"/>
  <c r="AI22" i="27"/>
  <c r="AH195" i="33" l="1"/>
  <c r="AI195" i="33" s="1"/>
  <c r="AV8" i="35" s="1"/>
  <c r="AY8" i="35" s="1"/>
  <c r="AH141" i="33"/>
  <c r="AI141" i="33" s="1"/>
  <c r="K196" i="33"/>
  <c r="L196" i="33" s="1"/>
  <c r="X27" i="33"/>
  <c r="M195" i="33"/>
  <c r="AA140" i="33"/>
  <c r="AB140" i="33" s="1"/>
  <c r="AC140" i="33" s="1"/>
  <c r="M196" i="33"/>
  <c r="N196" i="33" s="1"/>
  <c r="O196" i="33" s="1"/>
  <c r="AA197" i="33"/>
  <c r="AB197" i="33" s="1"/>
  <c r="AC197" i="33" s="1"/>
  <c r="M141" i="33"/>
  <c r="N141" i="33" s="1"/>
  <c r="O141" i="33" s="1"/>
  <c r="AA144" i="33"/>
  <c r="AB144" i="33" s="1"/>
  <c r="AC144" i="33" s="1"/>
  <c r="K145" i="33"/>
  <c r="L145" i="33" s="1"/>
  <c r="R198" i="33"/>
  <c r="S198" i="33" s="1"/>
  <c r="Y27" i="33"/>
  <c r="Z27" i="33" s="1"/>
  <c r="M144" i="33"/>
  <c r="N144" i="33" s="1"/>
  <c r="O144" i="33" s="1"/>
  <c r="R195" i="33"/>
  <c r="S195" i="33" s="1"/>
  <c r="P8" i="35" s="1"/>
  <c r="M146" i="33"/>
  <c r="N146" i="33" s="1"/>
  <c r="O146" i="33" s="1"/>
  <c r="I13" i="35" s="1"/>
  <c r="AA146" i="33"/>
  <c r="AB146" i="33" s="1"/>
  <c r="AC146" i="33" s="1"/>
  <c r="AI13" i="35" s="1"/>
  <c r="AN13" i="35" s="1"/>
  <c r="K27" i="33"/>
  <c r="L27" i="33" s="1"/>
  <c r="K139" i="33"/>
  <c r="AH196" i="33"/>
  <c r="AI196" i="33" s="1"/>
  <c r="Y144" i="33"/>
  <c r="Z144" i="33" s="1"/>
  <c r="K195" i="33"/>
  <c r="Y197" i="33"/>
  <c r="Z197" i="33" s="1"/>
  <c r="T145" i="33"/>
  <c r="U145" i="33" s="1"/>
  <c r="V145" i="33" s="1"/>
  <c r="AH145" i="33"/>
  <c r="AI145" i="33" s="1"/>
  <c r="T195" i="33"/>
  <c r="U195" i="33" s="1"/>
  <c r="V195" i="33" s="1"/>
  <c r="V8" i="35" s="1"/>
  <c r="AA8" i="35" s="1"/>
  <c r="AH140" i="33"/>
  <c r="AI140" i="33" s="1"/>
  <c r="T196" i="33"/>
  <c r="U196" i="33" s="1"/>
  <c r="V196" i="33" s="1"/>
  <c r="AH197" i="33"/>
  <c r="AI197" i="33" s="1"/>
  <c r="T141" i="33"/>
  <c r="U141" i="33" s="1"/>
  <c r="V141" i="33" s="1"/>
  <c r="M145" i="33"/>
  <c r="N145" i="33" s="1"/>
  <c r="O145" i="33" s="1"/>
  <c r="Y145" i="33"/>
  <c r="Z145" i="33" s="1"/>
  <c r="T198" i="33"/>
  <c r="U198" i="33" s="1"/>
  <c r="V198" i="33" s="1"/>
  <c r="AF198" i="33"/>
  <c r="AG198" i="33" s="1"/>
  <c r="J27" i="33"/>
  <c r="K146" i="33"/>
  <c r="L146" i="33" s="1"/>
  <c r="C13" i="35" s="1"/>
  <c r="H13" i="35" s="1"/>
  <c r="Y140" i="33"/>
  <c r="Z140" i="33" s="1"/>
  <c r="AF140" i="33"/>
  <c r="AG140" i="33" s="1"/>
  <c r="R141" i="33"/>
  <c r="S141" i="33" s="1"/>
  <c r="Y195" i="33"/>
  <c r="Z195" i="33" s="1"/>
  <c r="AC8" i="35" s="1"/>
  <c r="AD8" i="35" s="1"/>
  <c r="T144" i="33"/>
  <c r="U144" i="33" s="1"/>
  <c r="V144" i="33" s="1"/>
  <c r="AF146" i="33"/>
  <c r="AG146" i="33" s="1"/>
  <c r="AP13" i="35" s="1"/>
  <c r="AF27" i="33"/>
  <c r="AG27" i="33" s="1"/>
  <c r="AF145" i="33"/>
  <c r="AG145" i="33" s="1"/>
  <c r="AA198" i="33"/>
  <c r="AB198" i="33" s="1"/>
  <c r="AC198" i="33" s="1"/>
  <c r="Y146" i="33"/>
  <c r="Z146" i="33" s="1"/>
  <c r="AC13" i="35" s="1"/>
  <c r="AF13" i="35" s="1"/>
  <c r="R196" i="33"/>
  <c r="S196" i="33" s="1"/>
  <c r="AF197" i="33"/>
  <c r="AG197" i="33" s="1"/>
  <c r="K140" i="33"/>
  <c r="L140" i="33" s="1"/>
  <c r="Y196" i="33"/>
  <c r="Z196" i="33" s="1"/>
  <c r="Y141" i="33"/>
  <c r="Z141" i="33" s="1"/>
  <c r="AA195" i="33"/>
  <c r="AB195" i="33" s="1"/>
  <c r="AC195" i="33" s="1"/>
  <c r="AI8" i="35" s="1"/>
  <c r="M197" i="33"/>
  <c r="N197" i="33" s="1"/>
  <c r="O197" i="33" s="1"/>
  <c r="AA141" i="33"/>
  <c r="AB141" i="33" s="1"/>
  <c r="AC141" i="33" s="1"/>
  <c r="K144" i="33"/>
  <c r="L144" i="33" s="1"/>
  <c r="AA145" i="33"/>
  <c r="AB145" i="33" s="1"/>
  <c r="AC145" i="33" s="1"/>
  <c r="AH198" i="33"/>
  <c r="AI198" i="33" s="1"/>
  <c r="R27" i="33"/>
  <c r="S27" i="33" s="1"/>
  <c r="T140" i="33"/>
  <c r="U140" i="33" s="1"/>
  <c r="V140" i="33" s="1"/>
  <c r="T197" i="33"/>
  <c r="U197" i="33" s="1"/>
  <c r="V197" i="33" s="1"/>
  <c r="K198" i="33"/>
  <c r="K141" i="33"/>
  <c r="L141" i="33" s="1"/>
  <c r="R144" i="33"/>
  <c r="S144" i="33" s="1"/>
  <c r="K197" i="33"/>
  <c r="L197" i="33" s="1"/>
  <c r="AF144" i="33"/>
  <c r="AG144" i="33" s="1"/>
  <c r="M140" i="33"/>
  <c r="AA196" i="33"/>
  <c r="AB196" i="33" s="1"/>
  <c r="AC196" i="33" s="1"/>
  <c r="AF195" i="33"/>
  <c r="AG195" i="33" s="1"/>
  <c r="AP8" i="35" s="1"/>
  <c r="AR8" i="35" s="1"/>
  <c r="R140" i="33"/>
  <c r="S140" i="33" s="1"/>
  <c r="AF196" i="33"/>
  <c r="AG196" i="33" s="1"/>
  <c r="R197" i="33"/>
  <c r="S197" i="33" s="1"/>
  <c r="AF141" i="33"/>
  <c r="AG141" i="33" s="1"/>
  <c r="AH144" i="33"/>
  <c r="AI144" i="33" s="1"/>
  <c r="R145" i="33"/>
  <c r="S145" i="33" s="1"/>
  <c r="M198" i="33"/>
  <c r="N198" i="33" s="1"/>
  <c r="Y198" i="33"/>
  <c r="Z198" i="33" s="1"/>
  <c r="T146" i="33"/>
  <c r="U146" i="33" s="1"/>
  <c r="V146" i="33" s="1"/>
  <c r="V13" i="35" s="1"/>
  <c r="Y13" i="35" s="1"/>
  <c r="AH146" i="33"/>
  <c r="AI146" i="33" s="1"/>
  <c r="AV13" i="35" s="1"/>
  <c r="Q27" i="33"/>
  <c r="AE27" i="33"/>
  <c r="BP25" i="27"/>
  <c r="AV23" i="27"/>
  <c r="BP23" i="27"/>
  <c r="AL23" i="27"/>
  <c r="BF23" i="27"/>
  <c r="BW9" i="3"/>
  <c r="BM9" i="3"/>
  <c r="AP23" i="27"/>
  <c r="AF23" i="27"/>
  <c r="BJ23" i="27"/>
  <c r="AZ23" i="27"/>
  <c r="AV25" i="27"/>
  <c r="BF25" i="27"/>
  <c r="BI24" i="27"/>
  <c r="AL25" i="27"/>
  <c r="BC19" i="3"/>
  <c r="BW19" i="3"/>
  <c r="AS19" i="3"/>
  <c r="BM19" i="3"/>
  <c r="BC21" i="3"/>
  <c r="AS21" i="3"/>
  <c r="BW21" i="3"/>
  <c r="BM21" i="3"/>
  <c r="BC23" i="3"/>
  <c r="AS23" i="3"/>
  <c r="BM23" i="3"/>
  <c r="BW23" i="3"/>
  <c r="BW22" i="3"/>
  <c r="AS38" i="3"/>
  <c r="BC38" i="3"/>
  <c r="BM38" i="3"/>
  <c r="BW38" i="3"/>
  <c r="AS37" i="3"/>
  <c r="BC37" i="3"/>
  <c r="BM37" i="3"/>
  <c r="BW37" i="3"/>
  <c r="AS35" i="3"/>
  <c r="BC35" i="3"/>
  <c r="BM35" i="3"/>
  <c r="BW35" i="3"/>
  <c r="BM29" i="3"/>
  <c r="BC29" i="3"/>
  <c r="BW29" i="3"/>
  <c r="AS29" i="3"/>
  <c r="BM26" i="3"/>
  <c r="AS26" i="3"/>
  <c r="BW26" i="3"/>
  <c r="BC26" i="3"/>
  <c r="BC25" i="3"/>
  <c r="BM25" i="3"/>
  <c r="BW25" i="3"/>
  <c r="AS25" i="3"/>
  <c r="BM31" i="3"/>
  <c r="BW31" i="3"/>
  <c r="BC31" i="3"/>
  <c r="AS31" i="3"/>
  <c r="AW31" i="3" s="1"/>
  <c r="BC24" i="3"/>
  <c r="AS24" i="3"/>
  <c r="BM24" i="3"/>
  <c r="BW24" i="3"/>
  <c r="BW16" i="3"/>
  <c r="AS16" i="3"/>
  <c r="BC16" i="3"/>
  <c r="BM16" i="3"/>
  <c r="BW15" i="3"/>
  <c r="BM15" i="3"/>
  <c r="BC10" i="3"/>
  <c r="AS10" i="3"/>
  <c r="BW10" i="3"/>
  <c r="BM10" i="3"/>
  <c r="AS137" i="3"/>
  <c r="BM132" i="3"/>
  <c r="BC132" i="3"/>
  <c r="BC134" i="3"/>
  <c r="BM134" i="3"/>
  <c r="AS134" i="3"/>
  <c r="BC133" i="3"/>
  <c r="BM133" i="3"/>
  <c r="AS133" i="3"/>
  <c r="BF24" i="27"/>
  <c r="BJ24" i="27"/>
  <c r="AZ24" i="27"/>
  <c r="AP24" i="27"/>
  <c r="AF24" i="27"/>
  <c r="AV27" i="27"/>
  <c r="BJ27" i="27"/>
  <c r="AZ27" i="27"/>
  <c r="AF27" i="27"/>
  <c r="AP27" i="27"/>
  <c r="BF26" i="27"/>
  <c r="BJ26" i="27"/>
  <c r="AZ26" i="27"/>
  <c r="AF26" i="27"/>
  <c r="AP26" i="27"/>
  <c r="BJ25" i="27"/>
  <c r="AZ25" i="27"/>
  <c r="AP25" i="27"/>
  <c r="AF25" i="27"/>
  <c r="AV24" i="27"/>
  <c r="BP24" i="27"/>
  <c r="AL24" i="27"/>
  <c r="AY24" i="27"/>
  <c r="AE24" i="27"/>
  <c r="AO23" i="27"/>
  <c r="BI23" i="27"/>
  <c r="AE23" i="27"/>
  <c r="BC120" i="3"/>
  <c r="AS120" i="3"/>
  <c r="BM120" i="3"/>
  <c r="BW120" i="3"/>
  <c r="AO27" i="27"/>
  <c r="BI27" i="27"/>
  <c r="AE27" i="27"/>
  <c r="BP27" i="27"/>
  <c r="AL27" i="27"/>
  <c r="BF27" i="27"/>
  <c r="AO25" i="27"/>
  <c r="BI25" i="27"/>
  <c r="AE25" i="27"/>
  <c r="AV26" i="27"/>
  <c r="BP26" i="27"/>
  <c r="AL26" i="27"/>
  <c r="BI26" i="27"/>
  <c r="AE26" i="27"/>
  <c r="AY26" i="27"/>
  <c r="BV137" i="3"/>
  <c r="BV136" i="3"/>
  <c r="BV133" i="3"/>
  <c r="BV132" i="3"/>
  <c r="BV120" i="3"/>
  <c r="BV119" i="3"/>
  <c r="BV40" i="3"/>
  <c r="BV38" i="3"/>
  <c r="BV37" i="3"/>
  <c r="BV35" i="3"/>
  <c r="BV31" i="3"/>
  <c r="BV29" i="3"/>
  <c r="BV26" i="3"/>
  <c r="BV25" i="3"/>
  <c r="BV24" i="3"/>
  <c r="BV23" i="3"/>
  <c r="BV22" i="3"/>
  <c r="BV21" i="3"/>
  <c r="BV19" i="3"/>
  <c r="BV16" i="3"/>
  <c r="BV15" i="3"/>
  <c r="BV14" i="3"/>
  <c r="BV10" i="3"/>
  <c r="BV9" i="3"/>
  <c r="BL137" i="3"/>
  <c r="BL136" i="3"/>
  <c r="BL134" i="3"/>
  <c r="BL133" i="3"/>
  <c r="BL132" i="3"/>
  <c r="BL120" i="3"/>
  <c r="BL119" i="3"/>
  <c r="BL40" i="3"/>
  <c r="BL38" i="3"/>
  <c r="BL37" i="3"/>
  <c r="BL35" i="3"/>
  <c r="BL31" i="3"/>
  <c r="BL29" i="3"/>
  <c r="BL26" i="3"/>
  <c r="BL25" i="3"/>
  <c r="BL24" i="3"/>
  <c r="BL23" i="3"/>
  <c r="BL22" i="3"/>
  <c r="BL21" i="3"/>
  <c r="BL19" i="3"/>
  <c r="BL16" i="3"/>
  <c r="BL15" i="3"/>
  <c r="BL14" i="3"/>
  <c r="BL10" i="3"/>
  <c r="BL9" i="3"/>
  <c r="BB137" i="3"/>
  <c r="BB136" i="3"/>
  <c r="BB134" i="3"/>
  <c r="BB133" i="3"/>
  <c r="BB132" i="3"/>
  <c r="BB120" i="3"/>
  <c r="BB119" i="3"/>
  <c r="BB40" i="3"/>
  <c r="BB38" i="3"/>
  <c r="BB37" i="3"/>
  <c r="BB35" i="3"/>
  <c r="BB31" i="3"/>
  <c r="BB29" i="3"/>
  <c r="BB26" i="3"/>
  <c r="BB25" i="3"/>
  <c r="BB24" i="3"/>
  <c r="BB23" i="3"/>
  <c r="BB22" i="3"/>
  <c r="BB21" i="3"/>
  <c r="BB19" i="3"/>
  <c r="BB16" i="3"/>
  <c r="BB15" i="3"/>
  <c r="BB14" i="3"/>
  <c r="BB10" i="3"/>
  <c r="BB9" i="3"/>
  <c r="AR137" i="3"/>
  <c r="AR136" i="3"/>
  <c r="AR134" i="3"/>
  <c r="AR133" i="3"/>
  <c r="AR132" i="3"/>
  <c r="AR120" i="3"/>
  <c r="AR119" i="3"/>
  <c r="AR40" i="3"/>
  <c r="AR38" i="3"/>
  <c r="AR37" i="3"/>
  <c r="AR35" i="3"/>
  <c r="AR31" i="3"/>
  <c r="AR29" i="3"/>
  <c r="AR26" i="3"/>
  <c r="AR25" i="3"/>
  <c r="AR24" i="3"/>
  <c r="AR23" i="3"/>
  <c r="AR22" i="3"/>
  <c r="AR21" i="3"/>
  <c r="AR19" i="3"/>
  <c r="AR16" i="3"/>
  <c r="AR15" i="3"/>
  <c r="AR14" i="3"/>
  <c r="AR10" i="3"/>
  <c r="AR9" i="3"/>
  <c r="U82" i="26"/>
  <c r="U83" i="26" s="1"/>
  <c r="L195" i="33" l="1"/>
  <c r="N195" i="33"/>
  <c r="O195" i="33" s="1"/>
  <c r="L139" i="33"/>
  <c r="N140" i="33"/>
  <c r="K13" i="35"/>
  <c r="J13" i="35"/>
  <c r="AZ13" i="35"/>
  <c r="AY13" i="35"/>
  <c r="BA13" i="35"/>
  <c r="AX13" i="35"/>
  <c r="AW13" i="35"/>
  <c r="AU13" i="35"/>
  <c r="AS13" i="35"/>
  <c r="AR13" i="35"/>
  <c r="AT13" i="35"/>
  <c r="AQ13" i="35"/>
  <c r="AM13" i="35"/>
  <c r="E13" i="35"/>
  <c r="AV7" i="35"/>
  <c r="AY7" i="35" s="1"/>
  <c r="L13" i="35"/>
  <c r="M13" i="35"/>
  <c r="AK13" i="35"/>
  <c r="F13" i="35"/>
  <c r="D13" i="35"/>
  <c r="AL13" i="35"/>
  <c r="S8" i="35"/>
  <c r="R8" i="35"/>
  <c r="AH13" i="35"/>
  <c r="P8" i="36"/>
  <c r="R8" i="36" s="1"/>
  <c r="AE13" i="35"/>
  <c r="AA13" i="35"/>
  <c r="AG13" i="35"/>
  <c r="P7" i="35"/>
  <c r="Q7" i="35" s="1"/>
  <c r="AD13" i="35"/>
  <c r="C7" i="35"/>
  <c r="F7" i="35" s="1"/>
  <c r="AV8" i="36"/>
  <c r="BA8" i="36" s="1"/>
  <c r="AH8" i="35"/>
  <c r="U8" i="35"/>
  <c r="AP7" i="35"/>
  <c r="AQ7" i="35" s="1"/>
  <c r="AI8" i="36"/>
  <c r="AJ8" i="36" s="1"/>
  <c r="AI7" i="35"/>
  <c r="AJ7" i="35" s="1"/>
  <c r="X13" i="35"/>
  <c r="AW8" i="35"/>
  <c r="Z13" i="35"/>
  <c r="AC7" i="35"/>
  <c r="AE7" i="35" s="1"/>
  <c r="AK8" i="35"/>
  <c r="AJ8" i="35"/>
  <c r="AM8" i="35"/>
  <c r="AN8" i="35"/>
  <c r="T24" i="33"/>
  <c r="U24" i="33" s="1"/>
  <c r="V24" i="33" s="1"/>
  <c r="AC8" i="36"/>
  <c r="V8" i="36"/>
  <c r="T22" i="33"/>
  <c r="U22" i="33" s="1"/>
  <c r="V22" i="33" s="1"/>
  <c r="AJ13" i="35"/>
  <c r="T26" i="33"/>
  <c r="U26" i="33" s="1"/>
  <c r="V26" i="33" s="1"/>
  <c r="AH24" i="33"/>
  <c r="AI24" i="33" s="1"/>
  <c r="AE8" i="35"/>
  <c r="AH23" i="33"/>
  <c r="AI23" i="33" s="1"/>
  <c r="G13" i="35"/>
  <c r="N13" i="35"/>
  <c r="AG8" i="35"/>
  <c r="T23" i="33"/>
  <c r="U23" i="33" s="1"/>
  <c r="V23" i="33" s="1"/>
  <c r="AZ8" i="35"/>
  <c r="W13" i="35"/>
  <c r="AF8" i="35"/>
  <c r="C8" i="36"/>
  <c r="G8" i="36" s="1"/>
  <c r="T25" i="33"/>
  <c r="U25" i="33" s="1"/>
  <c r="V25" i="33" s="1"/>
  <c r="AH22" i="33"/>
  <c r="AI22" i="33" s="1"/>
  <c r="AH26" i="33"/>
  <c r="AI26" i="33" s="1"/>
  <c r="AP8" i="36"/>
  <c r="AH25" i="33"/>
  <c r="AI25" i="33" s="1"/>
  <c r="V7" i="35"/>
  <c r="Z7" i="35" s="1"/>
  <c r="Z8" i="35"/>
  <c r="Q8" i="35"/>
  <c r="W8" i="35"/>
  <c r="T8" i="35"/>
  <c r="AL8" i="35"/>
  <c r="BA8" i="35"/>
  <c r="AX8" i="35"/>
  <c r="Y8" i="35"/>
  <c r="AQ8" i="35"/>
  <c r="X8" i="35"/>
  <c r="AS8" i="35"/>
  <c r="AT8" i="35"/>
  <c r="AU8" i="35"/>
  <c r="M26" i="33"/>
  <c r="N26" i="33" s="1"/>
  <c r="O26" i="33" s="1"/>
  <c r="AA26" i="33"/>
  <c r="AB26" i="33" s="1"/>
  <c r="AC26" i="33" s="1"/>
  <c r="M24" i="33"/>
  <c r="N24" i="33" s="1"/>
  <c r="O24" i="33" s="1"/>
  <c r="AA24" i="33"/>
  <c r="AB24" i="33" s="1"/>
  <c r="AC24" i="33" s="1"/>
  <c r="M25" i="33"/>
  <c r="N25" i="33" s="1"/>
  <c r="O25" i="33" s="1"/>
  <c r="AA25" i="33"/>
  <c r="AB25" i="33" s="1"/>
  <c r="AC25" i="33" s="1"/>
  <c r="M22" i="33"/>
  <c r="N22" i="33" s="1"/>
  <c r="AA22" i="33"/>
  <c r="AB22" i="33" s="1"/>
  <c r="AC22" i="33" s="1"/>
  <c r="M23" i="33"/>
  <c r="N23" i="33" s="1"/>
  <c r="O23" i="33" s="1"/>
  <c r="AA23" i="33"/>
  <c r="AB23" i="33" s="1"/>
  <c r="AC23" i="33" s="1"/>
  <c r="BZ25" i="27"/>
  <c r="BZ24" i="27"/>
  <c r="BZ26" i="27"/>
  <c r="BZ23" i="27"/>
  <c r="BZ27" i="27"/>
  <c r="CM132" i="3"/>
  <c r="CM120" i="3"/>
  <c r="CM10" i="3"/>
  <c r="CM15" i="3"/>
  <c r="CM24" i="3"/>
  <c r="CM31" i="3"/>
  <c r="CM134" i="3"/>
  <c r="CM25" i="3"/>
  <c r="CM29" i="3"/>
  <c r="CM22" i="3"/>
  <c r="CM9" i="3"/>
  <c r="CM37" i="3"/>
  <c r="CM21" i="3"/>
  <c r="CM137" i="3"/>
  <c r="CM133" i="3"/>
  <c r="CM136" i="3"/>
  <c r="CM16" i="3"/>
  <c r="CM26" i="3"/>
  <c r="CM19" i="3"/>
  <c r="CM35" i="3"/>
  <c r="CM38" i="3"/>
  <c r="CM23" i="3"/>
  <c r="BD23" i="27"/>
  <c r="BW23" i="27"/>
  <c r="BN23" i="27"/>
  <c r="BY23" i="27"/>
  <c r="BS23" i="27"/>
  <c r="AJ23" i="27"/>
  <c r="BU23" i="27"/>
  <c r="AT23" i="27"/>
  <c r="AL33" i="27"/>
  <c r="BP33" i="27"/>
  <c r="AV33" i="27"/>
  <c r="BF33" i="27"/>
  <c r="BD27" i="27"/>
  <c r="BW27" i="27"/>
  <c r="BU26" i="27"/>
  <c r="AT26" i="27"/>
  <c r="BY27" i="27"/>
  <c r="BN27" i="27"/>
  <c r="BD26" i="27"/>
  <c r="BW26" i="27"/>
  <c r="AJ24" i="27"/>
  <c r="BS24" i="27"/>
  <c r="BS26" i="27"/>
  <c r="AJ26" i="27"/>
  <c r="BS25" i="27"/>
  <c r="AJ25" i="27"/>
  <c r="BN26" i="27"/>
  <c r="BY26" i="27"/>
  <c r="AT24" i="27"/>
  <c r="BU24" i="27"/>
  <c r="AT25" i="27"/>
  <c r="BU25" i="27"/>
  <c r="BW24" i="27"/>
  <c r="BD24" i="27"/>
  <c r="BW25" i="27"/>
  <c r="BD25" i="27"/>
  <c r="AT27" i="27"/>
  <c r="BU27" i="27"/>
  <c r="BY24" i="27"/>
  <c r="BN24" i="27"/>
  <c r="BY25" i="27"/>
  <c r="BN25" i="27"/>
  <c r="AJ27" i="27"/>
  <c r="BS27" i="27"/>
  <c r="O140" i="33" l="1"/>
  <c r="C8" i="35"/>
  <c r="G8" i="35" s="1"/>
  <c r="I8" i="35"/>
  <c r="O22" i="33"/>
  <c r="BA7" i="35"/>
  <c r="AX7" i="35"/>
  <c r="AZ7" i="35"/>
  <c r="AW7" i="35"/>
  <c r="AU7" i="35"/>
  <c r="AD7" i="35"/>
  <c r="AG7" i="35"/>
  <c r="AF7" i="35"/>
  <c r="S7" i="35"/>
  <c r="T7" i="35"/>
  <c r="AH7" i="35"/>
  <c r="G7" i="35"/>
  <c r="AS7" i="35"/>
  <c r="AY8" i="36"/>
  <c r="AT7" i="35"/>
  <c r="AX8" i="36"/>
  <c r="AL7" i="35"/>
  <c r="AR7" i="35"/>
  <c r="AA7" i="35"/>
  <c r="E7" i="35"/>
  <c r="Q8" i="36"/>
  <c r="T8" i="36"/>
  <c r="H7" i="35"/>
  <c r="S8" i="36"/>
  <c r="D7" i="35"/>
  <c r="U8" i="36"/>
  <c r="R7" i="35"/>
  <c r="AK7" i="35"/>
  <c r="U7" i="35"/>
  <c r="AM7" i="35"/>
  <c r="AN7" i="35"/>
  <c r="Y7" i="35"/>
  <c r="AW8" i="36"/>
  <c r="AM8" i="36"/>
  <c r="AZ8" i="36"/>
  <c r="AL8" i="36"/>
  <c r="W7" i="35"/>
  <c r="X7" i="35"/>
  <c r="AK8" i="36"/>
  <c r="AN8" i="36"/>
  <c r="J26" i="33"/>
  <c r="Y24" i="33"/>
  <c r="Z24" i="33" s="1"/>
  <c r="X25" i="33"/>
  <c r="AU8" i="36"/>
  <c r="AR8" i="36"/>
  <c r="AT8" i="36"/>
  <c r="AS8" i="36"/>
  <c r="AQ8" i="36"/>
  <c r="K26" i="33"/>
  <c r="L26" i="33" s="1"/>
  <c r="X23" i="33"/>
  <c r="J24" i="33"/>
  <c r="Y22" i="33"/>
  <c r="Z22" i="33" s="1"/>
  <c r="Y25" i="33"/>
  <c r="Z25" i="33" s="1"/>
  <c r="K24" i="33"/>
  <c r="L24" i="33" s="1"/>
  <c r="AF26" i="33"/>
  <c r="AG26" i="33" s="1"/>
  <c r="X22" i="33"/>
  <c r="E8" i="36"/>
  <c r="X24" i="33"/>
  <c r="H8" i="35"/>
  <c r="F8" i="35"/>
  <c r="AF23" i="33"/>
  <c r="AG23" i="33" s="1"/>
  <c r="K25" i="33"/>
  <c r="L25" i="33" s="1"/>
  <c r="R25" i="33"/>
  <c r="S25" i="33" s="1"/>
  <c r="R22" i="33"/>
  <c r="S22" i="33" s="1"/>
  <c r="F8" i="36"/>
  <c r="AF22" i="33"/>
  <c r="AG22" i="33" s="1"/>
  <c r="Y23" i="33"/>
  <c r="Z23" i="33" s="1"/>
  <c r="J25" i="33"/>
  <c r="K23" i="33"/>
  <c r="L23" i="33" s="1"/>
  <c r="D8" i="36"/>
  <c r="Z8" i="36"/>
  <c r="AA8" i="36"/>
  <c r="X8" i="36"/>
  <c r="Y8" i="36"/>
  <c r="W8" i="36"/>
  <c r="AF25" i="33"/>
  <c r="AG25" i="33" s="1"/>
  <c r="AF24" i="33"/>
  <c r="AG24" i="33" s="1"/>
  <c r="R24" i="33"/>
  <c r="S24" i="33" s="1"/>
  <c r="H8" i="36"/>
  <c r="R26" i="33"/>
  <c r="S26" i="33" s="1"/>
  <c r="R23" i="33"/>
  <c r="S23" i="33" s="1"/>
  <c r="Y26" i="33"/>
  <c r="Z26" i="33" s="1"/>
  <c r="J22" i="33"/>
  <c r="J23" i="33"/>
  <c r="X26" i="33"/>
  <c r="K22" i="33"/>
  <c r="L22" i="33" s="1"/>
  <c r="AD8" i="36"/>
  <c r="AF8" i="36"/>
  <c r="AG8" i="36"/>
  <c r="AE8" i="36"/>
  <c r="AH8" i="36"/>
  <c r="Q22" i="33"/>
  <c r="AE22" i="33"/>
  <c r="Q26" i="33"/>
  <c r="AE26" i="33"/>
  <c r="AE25" i="33"/>
  <c r="Q25" i="33"/>
  <c r="Q23" i="33"/>
  <c r="AE23" i="33"/>
  <c r="Q24" i="33"/>
  <c r="AE24" i="33"/>
  <c r="BF10" i="3"/>
  <c r="D8" i="35" l="1"/>
  <c r="E8" i="35"/>
  <c r="I8" i="36"/>
  <c r="I7" i="35"/>
  <c r="J8" i="35"/>
  <c r="N8" i="35"/>
  <c r="K8" i="35"/>
  <c r="L8" i="35"/>
  <c r="M8" i="35"/>
  <c r="AW10" i="3"/>
  <c r="J59" i="33" s="1"/>
  <c r="AV10" i="3"/>
  <c r="J8" i="36" l="1"/>
  <c r="K8" i="36"/>
  <c r="M8" i="36"/>
  <c r="N8" i="36"/>
  <c r="L8" i="36"/>
  <c r="M7" i="35"/>
  <c r="L7" i="35"/>
  <c r="N7" i="35"/>
  <c r="J7" i="35"/>
  <c r="K7" i="35"/>
  <c r="BP10" i="3"/>
  <c r="BZ9" i="3"/>
  <c r="CE9" i="3"/>
  <c r="CB29" i="3"/>
  <c r="CK29" i="3"/>
  <c r="CL29" i="3"/>
  <c r="BH29" i="3"/>
  <c r="BG29" i="3"/>
  <c r="Q46" i="33" s="1"/>
  <c r="BF29" i="3"/>
  <c r="CH29" i="3"/>
  <c r="CF29" i="3"/>
  <c r="CI29" i="3"/>
  <c r="CG29" i="3"/>
  <c r="CE29" i="3"/>
  <c r="AF212" i="33" l="1"/>
  <c r="AG212" i="33" s="1"/>
  <c r="K212" i="33"/>
  <c r="L212" i="33" s="1"/>
  <c r="AH212" i="33"/>
  <c r="AI212" i="33" s="1"/>
  <c r="R212" i="33"/>
  <c r="S212" i="33" s="1"/>
  <c r="Y212" i="33"/>
  <c r="Z212" i="33" s="1"/>
  <c r="T212" i="33"/>
  <c r="U212" i="33" s="1"/>
  <c r="V212" i="33" s="1"/>
  <c r="AF46" i="33"/>
  <c r="K46" i="33"/>
  <c r="R46" i="33"/>
  <c r="K159" i="33"/>
  <c r="AG46" i="33" l="1"/>
  <c r="S46" i="33"/>
  <c r="L46" i="33"/>
  <c r="CL137" i="3" l="1"/>
  <c r="AF126" i="33" s="1"/>
  <c r="AG126" i="33" s="1"/>
  <c r="CK137" i="3"/>
  <c r="AF278" i="33" s="1"/>
  <c r="AG278" i="33" s="1"/>
  <c r="AP15" i="38" s="1"/>
  <c r="CJ137" i="3"/>
  <c r="Y126" i="33" s="1"/>
  <c r="Z126" i="33" s="1"/>
  <c r="CI137" i="3"/>
  <c r="Y278" i="33" s="1"/>
  <c r="CH137" i="3"/>
  <c r="R126" i="33" s="1"/>
  <c r="CG137" i="3"/>
  <c r="R278" i="33" s="1"/>
  <c r="CF137" i="3"/>
  <c r="K126" i="33" s="1"/>
  <c r="CE137" i="3"/>
  <c r="K278" i="33" s="1"/>
  <c r="CL136" i="3"/>
  <c r="AF122" i="33" s="1"/>
  <c r="AG122" i="33" s="1"/>
  <c r="CK136" i="3"/>
  <c r="AF276" i="33" s="1"/>
  <c r="AG276" i="33" s="1"/>
  <c r="CJ136" i="3"/>
  <c r="Y122" i="33" s="1"/>
  <c r="Z122" i="33" s="1"/>
  <c r="CI136" i="3"/>
  <c r="Y276" i="33" s="1"/>
  <c r="CH136" i="3"/>
  <c r="R122" i="33" s="1"/>
  <c r="CG136" i="3"/>
  <c r="R276" i="33" s="1"/>
  <c r="CF136" i="3"/>
  <c r="K122" i="33" s="1"/>
  <c r="CE136" i="3"/>
  <c r="K276" i="33" s="1"/>
  <c r="CL134" i="3"/>
  <c r="AF125" i="33" s="1"/>
  <c r="CK134" i="3"/>
  <c r="AF269" i="33" s="1"/>
  <c r="AG269" i="33" s="1"/>
  <c r="CJ134" i="3"/>
  <c r="Y125" i="33" s="1"/>
  <c r="Z125" i="33" s="1"/>
  <c r="CI134" i="3"/>
  <c r="Y269" i="33" s="1"/>
  <c r="CH134" i="3"/>
  <c r="R125" i="33" s="1"/>
  <c r="S125" i="33" s="1"/>
  <c r="CG134" i="3"/>
  <c r="R269" i="33" s="1"/>
  <c r="CF134" i="3"/>
  <c r="K125" i="33" s="1"/>
  <c r="CE134" i="3"/>
  <c r="K269" i="33" s="1"/>
  <c r="CL133" i="3"/>
  <c r="AF124" i="33" s="1"/>
  <c r="AG124" i="33" s="1"/>
  <c r="CK133" i="3"/>
  <c r="AF268" i="33" s="1"/>
  <c r="AG268" i="33" s="1"/>
  <c r="AP16" i="38" s="1"/>
  <c r="CJ133" i="3"/>
  <c r="Y124" i="33" s="1"/>
  <c r="Z124" i="33" s="1"/>
  <c r="CI133" i="3"/>
  <c r="Y268" i="33" s="1"/>
  <c r="CH133" i="3"/>
  <c r="R124" i="33" s="1"/>
  <c r="S124" i="33" s="1"/>
  <c r="CG133" i="3"/>
  <c r="R268" i="33" s="1"/>
  <c r="CF133" i="3"/>
  <c r="K124" i="33" s="1"/>
  <c r="CE133" i="3"/>
  <c r="K268" i="33" s="1"/>
  <c r="CL132" i="3"/>
  <c r="AF121" i="33" s="1"/>
  <c r="AG121" i="33" s="1"/>
  <c r="CK132" i="3"/>
  <c r="AF180" i="33" s="1"/>
  <c r="AG180" i="33" s="1"/>
  <c r="AP10" i="36" s="1"/>
  <c r="CJ132" i="3"/>
  <c r="Y121" i="33" s="1"/>
  <c r="Z121" i="33" s="1"/>
  <c r="CI132" i="3"/>
  <c r="Y180" i="33" s="1"/>
  <c r="Z180" i="33" s="1"/>
  <c r="AC10" i="36" s="1"/>
  <c r="CH132" i="3"/>
  <c r="R121" i="33" s="1"/>
  <c r="S121" i="33" s="1"/>
  <c r="CG132" i="3"/>
  <c r="R180" i="33" s="1"/>
  <c r="S180" i="33" s="1"/>
  <c r="P10" i="36" s="1"/>
  <c r="CF132" i="3"/>
  <c r="K121" i="33" s="1"/>
  <c r="L121" i="33" s="1"/>
  <c r="CE132" i="3"/>
  <c r="K180" i="33" s="1"/>
  <c r="L180" i="33" s="1"/>
  <c r="C16" i="38" s="1"/>
  <c r="CL120" i="3"/>
  <c r="AF119" i="33" s="1"/>
  <c r="AG119" i="33" s="1"/>
  <c r="CK120" i="3"/>
  <c r="CJ120" i="3"/>
  <c r="Y119" i="33" s="1"/>
  <c r="Z119" i="33" s="1"/>
  <c r="CI120" i="3"/>
  <c r="CH120" i="3"/>
  <c r="R119" i="33" s="1"/>
  <c r="S119" i="33" s="1"/>
  <c r="CG120" i="3"/>
  <c r="CF120" i="3"/>
  <c r="K119" i="33" s="1"/>
  <c r="L119" i="33" s="1"/>
  <c r="CE120" i="3"/>
  <c r="CL119" i="3"/>
  <c r="AF118" i="33" s="1"/>
  <c r="CK119" i="3"/>
  <c r="CJ119" i="3"/>
  <c r="Y118" i="33" s="1"/>
  <c r="CI119" i="3"/>
  <c r="CH119" i="3"/>
  <c r="R118" i="33" s="1"/>
  <c r="S118" i="33" s="1"/>
  <c r="CG119" i="3"/>
  <c r="CF119" i="3"/>
  <c r="K118" i="33" s="1"/>
  <c r="CE119" i="3"/>
  <c r="CL75" i="3"/>
  <c r="AF85" i="33" s="1"/>
  <c r="CK75" i="3"/>
  <c r="CL55" i="3"/>
  <c r="CK55" i="3"/>
  <c r="CL54" i="3"/>
  <c r="CK54" i="3"/>
  <c r="CL53" i="3"/>
  <c r="CK53" i="3"/>
  <c r="CL52" i="3"/>
  <c r="CK52" i="3"/>
  <c r="CL40" i="3"/>
  <c r="CK40" i="3"/>
  <c r="AF158" i="33" s="1"/>
  <c r="AG158" i="33" s="1"/>
  <c r="CJ40" i="3"/>
  <c r="CI40" i="3"/>
  <c r="Y158" i="33" s="1"/>
  <c r="Z158" i="33" s="1"/>
  <c r="CH40" i="3"/>
  <c r="CG40" i="3"/>
  <c r="R158" i="33" s="1"/>
  <c r="S158" i="33" s="1"/>
  <c r="CF40" i="3"/>
  <c r="CE40" i="3"/>
  <c r="K158" i="33" s="1"/>
  <c r="L158" i="33" s="1"/>
  <c r="CL38" i="3"/>
  <c r="CK38" i="3"/>
  <c r="AF217" i="33" s="1"/>
  <c r="AG217" i="33" s="1"/>
  <c r="CJ38" i="3"/>
  <c r="CI38" i="3"/>
  <c r="Y217" i="33" s="1"/>
  <c r="Z217" i="33" s="1"/>
  <c r="CH38" i="3"/>
  <c r="CG38" i="3"/>
  <c r="R217" i="33" s="1"/>
  <c r="S217" i="33" s="1"/>
  <c r="CF38" i="3"/>
  <c r="CE38" i="3"/>
  <c r="K217" i="33" s="1"/>
  <c r="L217" i="33" s="1"/>
  <c r="CL37" i="3"/>
  <c r="AF54" i="33" s="1"/>
  <c r="AG54" i="33" s="1"/>
  <c r="CK37" i="3"/>
  <c r="AF216" i="33" s="1"/>
  <c r="AG216" i="33" s="1"/>
  <c r="CJ37" i="3"/>
  <c r="Y54" i="33" s="1"/>
  <c r="Z54" i="33" s="1"/>
  <c r="CI37" i="3"/>
  <c r="Y216" i="33" s="1"/>
  <c r="Z216" i="33" s="1"/>
  <c r="CH37" i="3"/>
  <c r="R54" i="33" s="1"/>
  <c r="S54" i="33" s="1"/>
  <c r="CG37" i="3"/>
  <c r="R216" i="33" s="1"/>
  <c r="S216" i="33" s="1"/>
  <c r="CF37" i="3"/>
  <c r="K54" i="33" s="1"/>
  <c r="L54" i="33" s="1"/>
  <c r="CE37" i="3"/>
  <c r="K216" i="33" s="1"/>
  <c r="L216" i="33" s="1"/>
  <c r="CL35" i="3"/>
  <c r="AF52" i="33" s="1"/>
  <c r="AG52" i="33" s="1"/>
  <c r="CK35" i="3"/>
  <c r="CJ35" i="3"/>
  <c r="Y52" i="33" s="1"/>
  <c r="Z52" i="33" s="1"/>
  <c r="CI35" i="3"/>
  <c r="CH35" i="3"/>
  <c r="R52" i="33" s="1"/>
  <c r="S52" i="33" s="1"/>
  <c r="CG35" i="3"/>
  <c r="CF35" i="3"/>
  <c r="K52" i="33" s="1"/>
  <c r="L52" i="33" s="1"/>
  <c r="CE35" i="3"/>
  <c r="CL31" i="3"/>
  <c r="CK31" i="3"/>
  <c r="AF154" i="33" s="1"/>
  <c r="AG154" i="33" s="1"/>
  <c r="CJ31" i="3"/>
  <c r="CI31" i="3"/>
  <c r="Y154" i="33" s="1"/>
  <c r="Z154" i="33" s="1"/>
  <c r="CH31" i="3"/>
  <c r="CG31" i="3"/>
  <c r="R154" i="33" s="1"/>
  <c r="S154" i="33" s="1"/>
  <c r="CF31" i="3"/>
  <c r="CE31" i="3"/>
  <c r="K154" i="33" s="1"/>
  <c r="L154" i="33" s="1"/>
  <c r="CJ29" i="3"/>
  <c r="CL26" i="3"/>
  <c r="CK26" i="3"/>
  <c r="AF153" i="33" s="1"/>
  <c r="AG153" i="33" s="1"/>
  <c r="CJ26" i="3"/>
  <c r="CI26" i="3"/>
  <c r="Y153" i="33" s="1"/>
  <c r="CH26" i="3"/>
  <c r="CG26" i="3"/>
  <c r="R153" i="33" s="1"/>
  <c r="S153" i="33" s="1"/>
  <c r="CF26" i="3"/>
  <c r="CE26" i="3"/>
  <c r="K153" i="33" s="1"/>
  <c r="CL25" i="3"/>
  <c r="CK25" i="3"/>
  <c r="AF209" i="33" s="1"/>
  <c r="AG209" i="33" s="1"/>
  <c r="CJ25" i="3"/>
  <c r="CI25" i="3"/>
  <c r="Y209" i="33" s="1"/>
  <c r="Z209" i="33" s="1"/>
  <c r="CH25" i="3"/>
  <c r="CG25" i="3"/>
  <c r="R209" i="33" s="1"/>
  <c r="S209" i="33" s="1"/>
  <c r="CF25" i="3"/>
  <c r="CE25" i="3"/>
  <c r="K209" i="33" s="1"/>
  <c r="L209" i="33" s="1"/>
  <c r="CL24" i="3"/>
  <c r="CK24" i="3"/>
  <c r="AF208" i="33" s="1"/>
  <c r="AG208" i="33" s="1"/>
  <c r="CJ24" i="3"/>
  <c r="CI24" i="3"/>
  <c r="Y208" i="33" s="1"/>
  <c r="Z208" i="33" s="1"/>
  <c r="CH24" i="3"/>
  <c r="CG24" i="3"/>
  <c r="R208" i="33" s="1"/>
  <c r="S208" i="33" s="1"/>
  <c r="CF24" i="3"/>
  <c r="CE24" i="3"/>
  <c r="K208" i="33" s="1"/>
  <c r="L208" i="33" s="1"/>
  <c r="CL23" i="3"/>
  <c r="CK23" i="3"/>
  <c r="AF207" i="33" s="1"/>
  <c r="AG207" i="33" s="1"/>
  <c r="CJ23" i="3"/>
  <c r="CI23" i="3"/>
  <c r="Y207" i="33" s="1"/>
  <c r="Z207" i="33" s="1"/>
  <c r="CH23" i="3"/>
  <c r="CG23" i="3"/>
  <c r="R207" i="33" s="1"/>
  <c r="S207" i="33" s="1"/>
  <c r="CF23" i="3"/>
  <c r="CE23" i="3"/>
  <c r="K207" i="33" s="1"/>
  <c r="CL22" i="3"/>
  <c r="CK22" i="3"/>
  <c r="CJ22" i="3"/>
  <c r="CI22" i="3"/>
  <c r="CH22" i="3"/>
  <c r="CG22" i="3"/>
  <c r="CF22" i="3"/>
  <c r="CE22" i="3"/>
  <c r="CL21" i="3"/>
  <c r="CK21" i="3"/>
  <c r="AF229" i="33" s="1"/>
  <c r="AG229" i="33" s="1"/>
  <c r="AP12" i="36" s="1"/>
  <c r="CJ21" i="3"/>
  <c r="CI21" i="3"/>
  <c r="Y229" i="33" s="1"/>
  <c r="CH21" i="3"/>
  <c r="CG21" i="3"/>
  <c r="R229" i="33" s="1"/>
  <c r="CF21" i="3"/>
  <c r="CE21" i="3"/>
  <c r="K229" i="33" s="1"/>
  <c r="CL19" i="3"/>
  <c r="CK19" i="3"/>
  <c r="AF227" i="33" s="1"/>
  <c r="CJ19" i="3"/>
  <c r="CI19" i="3"/>
  <c r="Y227" i="33" s="1"/>
  <c r="Z227" i="33" s="1"/>
  <c r="AC12" i="36" s="1"/>
  <c r="CH19" i="3"/>
  <c r="CG19" i="3"/>
  <c r="R227" i="33" s="1"/>
  <c r="S227" i="33" s="1"/>
  <c r="P12" i="36" s="1"/>
  <c r="CF19" i="3"/>
  <c r="CE19" i="3"/>
  <c r="K227" i="33" s="1"/>
  <c r="L227" i="33" s="1"/>
  <c r="C12" i="36" s="1"/>
  <c r="CL16" i="3"/>
  <c r="CK16" i="3"/>
  <c r="AF162" i="33" s="1"/>
  <c r="CJ16" i="3"/>
  <c r="CI16" i="3"/>
  <c r="Y162" i="33" s="1"/>
  <c r="Z162" i="33" s="1"/>
  <c r="CH16" i="3"/>
  <c r="CG16" i="3"/>
  <c r="R162" i="33" s="1"/>
  <c r="CF16" i="3"/>
  <c r="CE16" i="3"/>
  <c r="K162" i="33" s="1"/>
  <c r="CL15" i="3"/>
  <c r="CK15" i="3"/>
  <c r="AF161" i="33" s="1"/>
  <c r="CJ15" i="3"/>
  <c r="CI15" i="3"/>
  <c r="Y161" i="33" s="1"/>
  <c r="Z161" i="33" s="1"/>
  <c r="CH15" i="3"/>
  <c r="CG15" i="3"/>
  <c r="R161" i="33" s="1"/>
  <c r="CF15" i="3"/>
  <c r="CE15" i="3"/>
  <c r="K161" i="33" s="1"/>
  <c r="CL14" i="3"/>
  <c r="CK14" i="3"/>
  <c r="AF160" i="33" s="1"/>
  <c r="CJ14" i="3"/>
  <c r="CI14" i="3"/>
  <c r="Y160" i="33" s="1"/>
  <c r="Z160" i="33" s="1"/>
  <c r="CH14" i="3"/>
  <c r="CG14" i="3"/>
  <c r="R160" i="33" s="1"/>
  <c r="CF14" i="3"/>
  <c r="CE14" i="3"/>
  <c r="K160" i="33" s="1"/>
  <c r="CK11" i="3"/>
  <c r="CI11" i="3"/>
  <c r="CG11" i="3"/>
  <c r="CE11" i="3"/>
  <c r="CL10" i="3"/>
  <c r="CK10" i="3"/>
  <c r="CJ10" i="3"/>
  <c r="CI10" i="3"/>
  <c r="CH10" i="3"/>
  <c r="CG10" i="3"/>
  <c r="CF10" i="3"/>
  <c r="CE10" i="3"/>
  <c r="CB137" i="3"/>
  <c r="AH278" i="33" s="1"/>
  <c r="AI278" i="33" s="1"/>
  <c r="AV15" i="38" s="1"/>
  <c r="CA137" i="3"/>
  <c r="AE126" i="33" s="1"/>
  <c r="BZ137" i="3"/>
  <c r="CB136" i="3"/>
  <c r="AH276" i="33" s="1"/>
  <c r="AI276" i="33" s="1"/>
  <c r="CA136" i="3"/>
  <c r="AE122" i="33" s="1"/>
  <c r="BZ136" i="3"/>
  <c r="CB134" i="3"/>
  <c r="AH269" i="33" s="1"/>
  <c r="AI269" i="33" s="1"/>
  <c r="CA134" i="3"/>
  <c r="AE125" i="33" s="1"/>
  <c r="BZ134" i="3"/>
  <c r="CB133" i="3"/>
  <c r="AH268" i="33" s="1"/>
  <c r="AI268" i="33" s="1"/>
  <c r="CA133" i="3"/>
  <c r="AE124" i="33" s="1"/>
  <c r="BZ133" i="3"/>
  <c r="CB132" i="3"/>
  <c r="AH180" i="33" s="1"/>
  <c r="AI180" i="33" s="1"/>
  <c r="CA132" i="3"/>
  <c r="AE121" i="33" s="1"/>
  <c r="BZ132" i="3"/>
  <c r="CB120" i="3"/>
  <c r="CA120" i="3"/>
  <c r="AE119" i="33" s="1"/>
  <c r="BZ120" i="3"/>
  <c r="CB119" i="3"/>
  <c r="CA119" i="3"/>
  <c r="AE118" i="33" s="1"/>
  <c r="BZ119" i="3"/>
  <c r="CB40" i="3"/>
  <c r="AH158" i="33" s="1"/>
  <c r="AI158" i="33" s="1"/>
  <c r="CA40" i="3"/>
  <c r="AE57" i="33" s="1"/>
  <c r="BZ40" i="3"/>
  <c r="CB38" i="3"/>
  <c r="AH217" i="33" s="1"/>
  <c r="AI217" i="33" s="1"/>
  <c r="CA38" i="3"/>
  <c r="BZ38" i="3"/>
  <c r="CB37" i="3"/>
  <c r="AH216" i="33" s="1"/>
  <c r="AI216" i="33" s="1"/>
  <c r="CA37" i="3"/>
  <c r="AE54" i="33" s="1"/>
  <c r="BZ37" i="3"/>
  <c r="CB35" i="3"/>
  <c r="CA35" i="3"/>
  <c r="AE52" i="33" s="1"/>
  <c r="BZ35" i="3"/>
  <c r="CB31" i="3"/>
  <c r="AH154" i="33" s="1"/>
  <c r="AI154" i="33" s="1"/>
  <c r="CA31" i="3"/>
  <c r="AE48" i="33" s="1"/>
  <c r="BZ31" i="3"/>
  <c r="CA29" i="3"/>
  <c r="AE46" i="33" s="1"/>
  <c r="BZ29" i="3"/>
  <c r="CB26" i="3"/>
  <c r="AH153" i="33" s="1"/>
  <c r="AI153" i="33" s="1"/>
  <c r="CA26" i="3"/>
  <c r="AE43" i="33" s="1"/>
  <c r="BZ26" i="3"/>
  <c r="CB25" i="3"/>
  <c r="AH209" i="33" s="1"/>
  <c r="AI209" i="33" s="1"/>
  <c r="CA25" i="3"/>
  <c r="AE42" i="33" s="1"/>
  <c r="BZ25" i="3"/>
  <c r="CB24" i="3"/>
  <c r="AH208" i="33" s="1"/>
  <c r="AI208" i="33" s="1"/>
  <c r="CA24" i="3"/>
  <c r="AE41" i="33" s="1"/>
  <c r="BZ24" i="3"/>
  <c r="CB23" i="3"/>
  <c r="AH207" i="33" s="1"/>
  <c r="AI207" i="33" s="1"/>
  <c r="CA23" i="3"/>
  <c r="AE40" i="33" s="1"/>
  <c r="BZ23" i="3"/>
  <c r="CB22" i="3"/>
  <c r="CA22" i="3"/>
  <c r="AE39" i="33" s="1"/>
  <c r="BZ22" i="3"/>
  <c r="CB21" i="3"/>
  <c r="AH229" i="33" s="1"/>
  <c r="AI229" i="33" s="1"/>
  <c r="CA21" i="3"/>
  <c r="BZ21" i="3"/>
  <c r="CB19" i="3"/>
  <c r="AH227" i="33" s="1"/>
  <c r="AI227" i="33" s="1"/>
  <c r="CA19" i="3"/>
  <c r="BZ19" i="3"/>
  <c r="CB16" i="3"/>
  <c r="AH162" i="33" s="1"/>
  <c r="AI162" i="33" s="1"/>
  <c r="CA16" i="3"/>
  <c r="BZ16" i="3"/>
  <c r="CB15" i="3"/>
  <c r="AH161" i="33" s="1"/>
  <c r="AI161" i="33" s="1"/>
  <c r="CA15" i="3"/>
  <c r="BZ15" i="3"/>
  <c r="CB14" i="3"/>
  <c r="AH160" i="33" s="1"/>
  <c r="AI160" i="33" s="1"/>
  <c r="CA14" i="3"/>
  <c r="AE63" i="33" s="1"/>
  <c r="BZ14" i="3"/>
  <c r="CB11" i="3"/>
  <c r="BZ11" i="3"/>
  <c r="BQ10" i="3"/>
  <c r="X59" i="33" s="1"/>
  <c r="BR10" i="3"/>
  <c r="BR11" i="3"/>
  <c r="AA222" i="33" s="1"/>
  <c r="BR14" i="3"/>
  <c r="AA160" i="33" s="1"/>
  <c r="AB160" i="33" s="1"/>
  <c r="AC160" i="33" s="1"/>
  <c r="BR15" i="3"/>
  <c r="AA161" i="33" s="1"/>
  <c r="AB161" i="33" s="1"/>
  <c r="AC161" i="33" s="1"/>
  <c r="BR16" i="3"/>
  <c r="AA162" i="33" s="1"/>
  <c r="AB162" i="33" s="1"/>
  <c r="AC162" i="33" s="1"/>
  <c r="BR19" i="3"/>
  <c r="AA227" i="33" s="1"/>
  <c r="AB227" i="33" s="1"/>
  <c r="AC227" i="33" s="1"/>
  <c r="AI12" i="36" s="1"/>
  <c r="BR21" i="3"/>
  <c r="AA229" i="33" s="1"/>
  <c r="AB229" i="33" s="1"/>
  <c r="BR22" i="3"/>
  <c r="BR23" i="3"/>
  <c r="AA207" i="33" s="1"/>
  <c r="AB207" i="33" s="1"/>
  <c r="AC207" i="33" s="1"/>
  <c r="BR24" i="3"/>
  <c r="AA208" i="33" s="1"/>
  <c r="AB208" i="33" s="1"/>
  <c r="AC208" i="33" s="1"/>
  <c r="BR25" i="3"/>
  <c r="AA209" i="33" s="1"/>
  <c r="AB209" i="33" s="1"/>
  <c r="AC209" i="33" s="1"/>
  <c r="BR26" i="3"/>
  <c r="AA153" i="33" s="1"/>
  <c r="AB153" i="33" s="1"/>
  <c r="AC153" i="33" s="1"/>
  <c r="BR29" i="3"/>
  <c r="BR31" i="3"/>
  <c r="AA154" i="33" s="1"/>
  <c r="AB154" i="33" s="1"/>
  <c r="AC154" i="33" s="1"/>
  <c r="BR35" i="3"/>
  <c r="BR37" i="3"/>
  <c r="AA216" i="33" s="1"/>
  <c r="AB216" i="33" s="1"/>
  <c r="AC216" i="33" s="1"/>
  <c r="BR38" i="3"/>
  <c r="AA217" i="33" s="1"/>
  <c r="AB217" i="33" s="1"/>
  <c r="AC217" i="33" s="1"/>
  <c r="BR40" i="3"/>
  <c r="AA158" i="33" s="1"/>
  <c r="AB158" i="33" s="1"/>
  <c r="AC158" i="33" s="1"/>
  <c r="BR119" i="3"/>
  <c r="BR120" i="3"/>
  <c r="BR132" i="3"/>
  <c r="AA180" i="33" s="1"/>
  <c r="AB180" i="33" s="1"/>
  <c r="AC180" i="33" s="1"/>
  <c r="AI10" i="36" s="1"/>
  <c r="BR133" i="3"/>
  <c r="AA268" i="33" s="1"/>
  <c r="AB268" i="33" s="1"/>
  <c r="BR134" i="3"/>
  <c r="AA269" i="33" s="1"/>
  <c r="AB269" i="33" s="1"/>
  <c r="BR136" i="3"/>
  <c r="AA276" i="33" s="1"/>
  <c r="AB276" i="33" s="1"/>
  <c r="BR137" i="3"/>
  <c r="AA278" i="33" s="1"/>
  <c r="AB278" i="33" s="1"/>
  <c r="BQ14" i="3"/>
  <c r="X63" i="33" s="1"/>
  <c r="BQ15" i="3"/>
  <c r="BQ16" i="3"/>
  <c r="BQ19" i="3"/>
  <c r="BQ21" i="3"/>
  <c r="BQ22" i="3"/>
  <c r="X39" i="33" s="1"/>
  <c r="BQ23" i="3"/>
  <c r="X40" i="33" s="1"/>
  <c r="BQ24" i="3"/>
  <c r="X41" i="33" s="1"/>
  <c r="BQ25" i="3"/>
  <c r="X42" i="33" s="1"/>
  <c r="BQ26" i="3"/>
  <c r="X43" i="33" s="1"/>
  <c r="BQ29" i="3"/>
  <c r="X46" i="33" s="1"/>
  <c r="BQ31" i="3"/>
  <c r="X48" i="33" s="1"/>
  <c r="BQ35" i="3"/>
  <c r="X52" i="33" s="1"/>
  <c r="BQ37" i="3"/>
  <c r="X54" i="33" s="1"/>
  <c r="BQ38" i="3"/>
  <c r="BQ40" i="3"/>
  <c r="X57" i="33" s="1"/>
  <c r="BQ119" i="3"/>
  <c r="X118" i="33" s="1"/>
  <c r="BQ120" i="3"/>
  <c r="X119" i="33" s="1"/>
  <c r="BQ132" i="3"/>
  <c r="X121" i="33" s="1"/>
  <c r="BQ133" i="3"/>
  <c r="X124" i="33" s="1"/>
  <c r="BQ134" i="3"/>
  <c r="X125" i="33" s="1"/>
  <c r="BQ136" i="3"/>
  <c r="X122" i="33" s="1"/>
  <c r="BQ137" i="3"/>
  <c r="X126" i="33" s="1"/>
  <c r="AV11" i="3"/>
  <c r="AV14" i="3"/>
  <c r="AV15" i="3"/>
  <c r="AV16" i="3"/>
  <c r="AV19" i="3"/>
  <c r="AV21" i="3"/>
  <c r="AV22" i="3"/>
  <c r="AV23" i="3"/>
  <c r="AV24" i="3"/>
  <c r="AV25" i="3"/>
  <c r="AV26" i="3"/>
  <c r="AV29" i="3"/>
  <c r="AV31" i="3"/>
  <c r="AV35" i="3"/>
  <c r="AV37" i="3"/>
  <c r="AV38" i="3"/>
  <c r="AV40" i="3"/>
  <c r="AV119" i="3"/>
  <c r="AV120" i="3"/>
  <c r="AV132" i="3"/>
  <c r="AV133" i="3"/>
  <c r="AV134" i="3"/>
  <c r="AV136" i="3"/>
  <c r="AV137" i="3"/>
  <c r="BP11" i="3"/>
  <c r="BP14" i="3"/>
  <c r="BP15" i="3"/>
  <c r="BP16" i="3"/>
  <c r="BP19" i="3"/>
  <c r="BP21" i="3"/>
  <c r="BP22" i="3"/>
  <c r="BP23" i="3"/>
  <c r="BP24" i="3"/>
  <c r="BP25" i="3"/>
  <c r="BP26" i="3"/>
  <c r="BP29" i="3"/>
  <c r="BP31" i="3"/>
  <c r="BP35" i="3"/>
  <c r="BP37" i="3"/>
  <c r="BP38" i="3"/>
  <c r="BP40" i="3"/>
  <c r="BP119" i="3"/>
  <c r="BP120" i="3"/>
  <c r="BP132" i="3"/>
  <c r="BP133" i="3"/>
  <c r="BP134" i="3"/>
  <c r="BP136" i="3"/>
  <c r="BP137" i="3"/>
  <c r="BH10" i="3"/>
  <c r="BH11" i="3"/>
  <c r="BH14" i="3"/>
  <c r="T160" i="33" s="1"/>
  <c r="U160" i="33" s="1"/>
  <c r="BH15" i="3"/>
  <c r="T161" i="33" s="1"/>
  <c r="U161" i="33" s="1"/>
  <c r="BH16" i="3"/>
  <c r="T162" i="33" s="1"/>
  <c r="U162" i="33" s="1"/>
  <c r="BH19" i="3"/>
  <c r="T227" i="33" s="1"/>
  <c r="U227" i="33" s="1"/>
  <c r="V227" i="33" s="1"/>
  <c r="V12" i="36" s="1"/>
  <c r="BH21" i="3"/>
  <c r="T229" i="33" s="1"/>
  <c r="U229" i="33" s="1"/>
  <c r="BH22" i="3"/>
  <c r="BH23" i="3"/>
  <c r="T207" i="33" s="1"/>
  <c r="U207" i="33" s="1"/>
  <c r="V207" i="33" s="1"/>
  <c r="BH24" i="3"/>
  <c r="T208" i="33" s="1"/>
  <c r="U208" i="33" s="1"/>
  <c r="V208" i="33" s="1"/>
  <c r="BH25" i="3"/>
  <c r="T209" i="33" s="1"/>
  <c r="U209" i="33" s="1"/>
  <c r="V209" i="33" s="1"/>
  <c r="BH26" i="3"/>
  <c r="T153" i="33" s="1"/>
  <c r="U153" i="33" s="1"/>
  <c r="V153" i="33" s="1"/>
  <c r="BH31" i="3"/>
  <c r="T154" i="33" s="1"/>
  <c r="U154" i="33" s="1"/>
  <c r="V154" i="33" s="1"/>
  <c r="BH35" i="3"/>
  <c r="BH37" i="3"/>
  <c r="T216" i="33" s="1"/>
  <c r="U216" i="33" s="1"/>
  <c r="V216" i="33" s="1"/>
  <c r="BH38" i="3"/>
  <c r="T217" i="33" s="1"/>
  <c r="U217" i="33" s="1"/>
  <c r="V217" i="33" s="1"/>
  <c r="BH40" i="3"/>
  <c r="T158" i="33" s="1"/>
  <c r="U158" i="33" s="1"/>
  <c r="V158" i="33" s="1"/>
  <c r="BH119" i="3"/>
  <c r="BH120" i="3"/>
  <c r="BH132" i="3"/>
  <c r="T180" i="33" s="1"/>
  <c r="U180" i="33" s="1"/>
  <c r="V180" i="33" s="1"/>
  <c r="V10" i="36" s="1"/>
  <c r="BH133" i="3"/>
  <c r="T268" i="33" s="1"/>
  <c r="U268" i="33" s="1"/>
  <c r="BH134" i="3"/>
  <c r="T269" i="33" s="1"/>
  <c r="U269" i="33" s="1"/>
  <c r="BH136" i="3"/>
  <c r="T276" i="33" s="1"/>
  <c r="U276" i="33" s="1"/>
  <c r="BH137" i="3"/>
  <c r="T278" i="33" s="1"/>
  <c r="U278" i="33" s="1"/>
  <c r="BG10" i="3"/>
  <c r="Q59" i="33" s="1"/>
  <c r="BG14" i="3"/>
  <c r="Q63" i="33" s="1"/>
  <c r="BG15" i="3"/>
  <c r="BG16" i="3"/>
  <c r="BG19" i="3"/>
  <c r="BG21" i="3"/>
  <c r="BG22" i="3"/>
  <c r="Q39" i="33" s="1"/>
  <c r="BG23" i="3"/>
  <c r="Q40" i="33" s="1"/>
  <c r="BG24" i="3"/>
  <c r="Q41" i="33" s="1"/>
  <c r="BG25" i="3"/>
  <c r="Q42" i="33" s="1"/>
  <c r="BG26" i="3"/>
  <c r="Q43" i="33" s="1"/>
  <c r="BG31" i="3"/>
  <c r="Q48" i="33" s="1"/>
  <c r="BG35" i="3"/>
  <c r="Q52" i="33" s="1"/>
  <c r="BG37" i="3"/>
  <c r="Q54" i="33" s="1"/>
  <c r="BG38" i="3"/>
  <c r="BG40" i="3"/>
  <c r="Q57" i="33" s="1"/>
  <c r="BG119" i="3"/>
  <c r="Q118" i="33" s="1"/>
  <c r="BG120" i="3"/>
  <c r="Q119" i="33" s="1"/>
  <c r="BG132" i="3"/>
  <c r="Q121" i="33" s="1"/>
  <c r="BG133" i="3"/>
  <c r="Q124" i="33" s="1"/>
  <c r="BG134" i="3"/>
  <c r="Q125" i="33" s="1"/>
  <c r="BG136" i="3"/>
  <c r="Q122" i="33" s="1"/>
  <c r="BG137" i="3"/>
  <c r="Q126" i="33" s="1"/>
  <c r="BF11" i="3"/>
  <c r="BF14" i="3"/>
  <c r="BF15" i="3"/>
  <c r="BF16" i="3"/>
  <c r="BF19" i="3"/>
  <c r="BF21" i="3"/>
  <c r="BF22" i="3"/>
  <c r="BF23" i="3"/>
  <c r="BF24" i="3"/>
  <c r="BF25" i="3"/>
  <c r="BF26" i="3"/>
  <c r="BF31" i="3"/>
  <c r="BF35" i="3"/>
  <c r="BF37" i="3"/>
  <c r="BF38" i="3"/>
  <c r="BF40" i="3"/>
  <c r="BF119" i="3"/>
  <c r="BF120" i="3"/>
  <c r="BF132" i="3"/>
  <c r="BF133" i="3"/>
  <c r="BF134" i="3"/>
  <c r="BF136" i="3"/>
  <c r="BF137" i="3"/>
  <c r="AX11" i="3"/>
  <c r="M222" i="33" s="1"/>
  <c r="AX14" i="3"/>
  <c r="M160" i="33" s="1"/>
  <c r="N160" i="33" s="1"/>
  <c r="AX15" i="3"/>
  <c r="M161" i="33" s="1"/>
  <c r="N161" i="33" s="1"/>
  <c r="AX16" i="3"/>
  <c r="M162" i="33" s="1"/>
  <c r="N162" i="33" s="1"/>
  <c r="AX19" i="3"/>
  <c r="M227" i="33" s="1"/>
  <c r="AX21" i="3"/>
  <c r="M229" i="33" s="1"/>
  <c r="N229" i="33" s="1"/>
  <c r="AX22" i="3"/>
  <c r="AX23" i="3"/>
  <c r="M207" i="33" s="1"/>
  <c r="AX24" i="3"/>
  <c r="M208" i="33" s="1"/>
  <c r="N208" i="33" s="1"/>
  <c r="O208" i="33" s="1"/>
  <c r="AX25" i="3"/>
  <c r="M209" i="33" s="1"/>
  <c r="N209" i="33" s="1"/>
  <c r="O209" i="33" s="1"/>
  <c r="AX26" i="3"/>
  <c r="M153" i="33" s="1"/>
  <c r="AX29" i="3"/>
  <c r="AX31" i="3"/>
  <c r="M154" i="33" s="1"/>
  <c r="AX35" i="3"/>
  <c r="AX37" i="3"/>
  <c r="M216" i="33" s="1"/>
  <c r="N216" i="33" s="1"/>
  <c r="O216" i="33" s="1"/>
  <c r="AX38" i="3"/>
  <c r="M217" i="33" s="1"/>
  <c r="N217" i="33" s="1"/>
  <c r="O217" i="33" s="1"/>
  <c r="AX40" i="3"/>
  <c r="M158" i="33" s="1"/>
  <c r="AX119" i="3"/>
  <c r="AX120" i="3"/>
  <c r="AX132" i="3"/>
  <c r="M180" i="33" s="1"/>
  <c r="N180" i="33" s="1"/>
  <c r="O180" i="33" s="1"/>
  <c r="I10" i="36" s="1"/>
  <c r="AX133" i="3"/>
  <c r="M268" i="33" s="1"/>
  <c r="N268" i="33" s="1"/>
  <c r="AX134" i="3"/>
  <c r="M269" i="33" s="1"/>
  <c r="N269" i="33" s="1"/>
  <c r="AX136" i="3"/>
  <c r="M276" i="33" s="1"/>
  <c r="N276" i="33" s="1"/>
  <c r="AX137" i="3"/>
  <c r="M278" i="33" s="1"/>
  <c r="N278" i="33" s="1"/>
  <c r="AW14" i="3"/>
  <c r="J63" i="33" s="1"/>
  <c r="AW15" i="3"/>
  <c r="AW16" i="3"/>
  <c r="AW19" i="3"/>
  <c r="AW21" i="3"/>
  <c r="AW22" i="3"/>
  <c r="J39" i="33" s="1"/>
  <c r="AW23" i="3"/>
  <c r="J40" i="33" s="1"/>
  <c r="AW24" i="3"/>
  <c r="J41" i="33" s="1"/>
  <c r="AW25" i="3"/>
  <c r="J42" i="33" s="1"/>
  <c r="AW26" i="3"/>
  <c r="J43" i="33" s="1"/>
  <c r="AW29" i="3"/>
  <c r="J46" i="33" s="1"/>
  <c r="J48" i="33"/>
  <c r="AW35" i="3"/>
  <c r="J52" i="33" s="1"/>
  <c r="AW37" i="3"/>
  <c r="J54" i="33" s="1"/>
  <c r="AW38" i="3"/>
  <c r="AW40" i="3"/>
  <c r="J57" i="33" s="1"/>
  <c r="AW119" i="3"/>
  <c r="J118" i="33" s="1"/>
  <c r="AW120" i="3"/>
  <c r="J119" i="33" s="1"/>
  <c r="AW132" i="3"/>
  <c r="J121" i="33" s="1"/>
  <c r="AW133" i="3"/>
  <c r="J124" i="33" s="1"/>
  <c r="AW134" i="3"/>
  <c r="J125" i="33" s="1"/>
  <c r="AW136" i="3"/>
  <c r="J122" i="33" s="1"/>
  <c r="AW137" i="3"/>
  <c r="J126" i="33" s="1"/>
  <c r="CL9" i="3"/>
  <c r="AF58" i="33" s="1"/>
  <c r="CK9" i="3"/>
  <c r="CJ9" i="3"/>
  <c r="Y58" i="33" s="1"/>
  <c r="CI9" i="3"/>
  <c r="CH9" i="3"/>
  <c r="R58" i="33" s="1"/>
  <c r="CF9" i="3"/>
  <c r="K58" i="33" s="1"/>
  <c r="CG9" i="3"/>
  <c r="CB9" i="3"/>
  <c r="CA9" i="3"/>
  <c r="AE58" i="33" s="1"/>
  <c r="BR9" i="3"/>
  <c r="BH9" i="3"/>
  <c r="BF9" i="3"/>
  <c r="BQ9" i="3"/>
  <c r="X58" i="33" s="1"/>
  <c r="BP9" i="3"/>
  <c r="BG9" i="3"/>
  <c r="Q58" i="33" s="1"/>
  <c r="AX9" i="3"/>
  <c r="AW9" i="3"/>
  <c r="J58" i="33" s="1"/>
  <c r="AV9" i="3"/>
  <c r="CB10" i="3"/>
  <c r="CA10" i="3"/>
  <c r="AE59" i="33" s="1"/>
  <c r="BZ10" i="3"/>
  <c r="AX10" i="3"/>
  <c r="M221" i="33" s="1"/>
  <c r="BS14" i="3"/>
  <c r="BS15" i="3"/>
  <c r="CC16" i="3"/>
  <c r="BS19" i="3"/>
  <c r="CC21" i="3"/>
  <c r="CC22" i="3"/>
  <c r="CC24" i="3"/>
  <c r="CC25" i="3"/>
  <c r="BS26" i="3"/>
  <c r="CC35" i="3"/>
  <c r="AH52" i="33" s="1"/>
  <c r="AI52" i="33" s="1"/>
  <c r="BS37" i="3"/>
  <c r="AA54" i="33" s="1"/>
  <c r="AB54" i="33" s="1"/>
  <c r="AC54" i="33" s="1"/>
  <c r="AY38" i="3"/>
  <c r="CC40" i="3"/>
  <c r="CC119" i="3"/>
  <c r="AH118" i="33" s="1"/>
  <c r="AI118" i="33" s="1"/>
  <c r="BS120" i="3"/>
  <c r="AA119" i="33" s="1"/>
  <c r="AB119" i="33" s="1"/>
  <c r="AC119" i="33" s="1"/>
  <c r="CC132" i="3"/>
  <c r="AH121" i="33" s="1"/>
  <c r="AI121" i="33" s="1"/>
  <c r="CC133" i="3"/>
  <c r="AH124" i="33" s="1"/>
  <c r="AI124" i="33" s="1"/>
  <c r="BI134" i="3"/>
  <c r="T125" i="33" s="1"/>
  <c r="U125" i="33" s="1"/>
  <c r="V125" i="33" s="1"/>
  <c r="BS137" i="3"/>
  <c r="AA126" i="33" s="1"/>
  <c r="AB126" i="33" s="1"/>
  <c r="AC126" i="33" s="1"/>
  <c r="BI10" i="3"/>
  <c r="AY9" i="3"/>
  <c r="M58" i="33" s="1"/>
  <c r="N58" i="33" s="1"/>
  <c r="T222" i="33" l="1"/>
  <c r="U222" i="33" s="1"/>
  <c r="V222" i="33" s="1"/>
  <c r="K222" i="33"/>
  <c r="L222" i="33" s="1"/>
  <c r="Y222" i="33"/>
  <c r="Z222" i="33" s="1"/>
  <c r="AH222" i="33"/>
  <c r="AI222" i="33" s="1"/>
  <c r="AF222" i="33"/>
  <c r="AG222" i="33" s="1"/>
  <c r="M212" i="33"/>
  <c r="N212" i="33" s="1"/>
  <c r="O212" i="33" s="1"/>
  <c r="R222" i="33"/>
  <c r="S222" i="33" s="1"/>
  <c r="AA212" i="33"/>
  <c r="AB212" i="33" s="1"/>
  <c r="AC212" i="33" s="1"/>
  <c r="N153" i="33"/>
  <c r="C10" i="36"/>
  <c r="H10" i="36" s="1"/>
  <c r="N207" i="33"/>
  <c r="O207" i="33" s="1"/>
  <c r="L207" i="33"/>
  <c r="AV7" i="38"/>
  <c r="BA7" i="38" s="1"/>
  <c r="AV16" i="38"/>
  <c r="AV12" i="36"/>
  <c r="AY12" i="36" s="1"/>
  <c r="AI7" i="38"/>
  <c r="U10" i="36"/>
  <c r="S10" i="36"/>
  <c r="Q10" i="36"/>
  <c r="T10" i="36"/>
  <c r="R10" i="36"/>
  <c r="AQ12" i="36"/>
  <c r="AU12" i="36"/>
  <c r="AS12" i="36"/>
  <c r="AT12" i="36"/>
  <c r="AR12" i="36"/>
  <c r="AC7" i="38"/>
  <c r="AV10" i="36"/>
  <c r="AF10" i="36"/>
  <c r="AH10" i="36"/>
  <c r="AD10" i="36"/>
  <c r="AE10" i="36"/>
  <c r="AG10" i="36"/>
  <c r="AJ10" i="36"/>
  <c r="AN10" i="36"/>
  <c r="AL10" i="36"/>
  <c r="AK10" i="36"/>
  <c r="AM10" i="36"/>
  <c r="N10" i="36"/>
  <c r="K10" i="36"/>
  <c r="L10" i="36"/>
  <c r="J10" i="36"/>
  <c r="M10" i="36"/>
  <c r="X10" i="36"/>
  <c r="W10" i="36"/>
  <c r="Z10" i="36"/>
  <c r="AA10" i="36"/>
  <c r="Y10" i="36"/>
  <c r="Z12" i="36"/>
  <c r="X12" i="36"/>
  <c r="Y12" i="36"/>
  <c r="AA12" i="36"/>
  <c r="W12" i="36"/>
  <c r="AN12" i="36"/>
  <c r="AM12" i="36"/>
  <c r="AL12" i="36"/>
  <c r="AK12" i="36"/>
  <c r="AJ12" i="36"/>
  <c r="AR10" i="36"/>
  <c r="AQ10" i="36"/>
  <c r="AS10" i="36"/>
  <c r="AT10" i="36"/>
  <c r="AU10" i="36"/>
  <c r="AH12" i="36"/>
  <c r="AE12" i="36"/>
  <c r="AG12" i="36"/>
  <c r="AD12" i="36"/>
  <c r="AF12" i="36"/>
  <c r="S12" i="36"/>
  <c r="T12" i="36"/>
  <c r="U12" i="36"/>
  <c r="R12" i="36"/>
  <c r="Q12" i="36"/>
  <c r="H12" i="36"/>
  <c r="G12" i="36"/>
  <c r="D12" i="36"/>
  <c r="E12" i="36"/>
  <c r="F12" i="36"/>
  <c r="N154" i="33"/>
  <c r="O154" i="33" s="1"/>
  <c r="N227" i="33"/>
  <c r="O227" i="33" s="1"/>
  <c r="I12" i="36" s="1"/>
  <c r="N158" i="33"/>
  <c r="O158" i="33" s="1"/>
  <c r="N222" i="33"/>
  <c r="O222" i="33" s="1"/>
  <c r="R169" i="33"/>
  <c r="S169" i="33" s="1"/>
  <c r="AF289" i="33"/>
  <c r="R168" i="33"/>
  <c r="S168" i="33" s="1"/>
  <c r="Y168" i="33"/>
  <c r="Y169" i="33"/>
  <c r="Z169" i="33" s="1"/>
  <c r="AC11" i="36" s="1"/>
  <c r="AH168" i="33"/>
  <c r="AI168" i="33" s="1"/>
  <c r="T169" i="33"/>
  <c r="U169" i="33" s="1"/>
  <c r="V169" i="33" s="1"/>
  <c r="AF168" i="33"/>
  <c r="AF169" i="33"/>
  <c r="AG169" i="33" s="1"/>
  <c r="AP11" i="36" s="1"/>
  <c r="T168" i="33"/>
  <c r="U168" i="33" s="1"/>
  <c r="V168" i="33" s="1"/>
  <c r="AA169" i="33"/>
  <c r="AB169" i="33" s="1"/>
  <c r="AC169" i="33" s="1"/>
  <c r="AF293" i="33"/>
  <c r="M169" i="33"/>
  <c r="AA168" i="33"/>
  <c r="AB168" i="33" s="1"/>
  <c r="AC168" i="33" s="1"/>
  <c r="AH169" i="33"/>
  <c r="AI169" i="33" s="1"/>
  <c r="K168" i="33"/>
  <c r="K169" i="33"/>
  <c r="L169" i="33" s="1"/>
  <c r="M168" i="33"/>
  <c r="N168" i="33" s="1"/>
  <c r="AF241" i="33"/>
  <c r="AF65" i="33"/>
  <c r="AG65" i="33" s="1"/>
  <c r="AF240" i="33"/>
  <c r="AF242" i="33"/>
  <c r="R40" i="33"/>
  <c r="S40" i="33" s="1"/>
  <c r="R42" i="33"/>
  <c r="S42" i="33" s="1"/>
  <c r="R43" i="33"/>
  <c r="S43" i="33" s="1"/>
  <c r="R156" i="33"/>
  <c r="S156" i="33" s="1"/>
  <c r="P11" i="35" s="1"/>
  <c r="AH42" i="33"/>
  <c r="AI42" i="33" s="1"/>
  <c r="Y46" i="33"/>
  <c r="AF48" i="33"/>
  <c r="R55" i="33"/>
  <c r="S55" i="33" s="1"/>
  <c r="R39" i="33"/>
  <c r="R41" i="33"/>
  <c r="S41" i="33" s="1"/>
  <c r="AF57" i="33"/>
  <c r="AG57" i="33" s="1"/>
  <c r="M55" i="33"/>
  <c r="N55" i="33" s="1"/>
  <c r="O55" i="33" s="1"/>
  <c r="Y39" i="33"/>
  <c r="Y40" i="33"/>
  <c r="Z40" i="33" s="1"/>
  <c r="Y41" i="33"/>
  <c r="Z41" i="33" s="1"/>
  <c r="Y42" i="33"/>
  <c r="Z42" i="33" s="1"/>
  <c r="Y43" i="33"/>
  <c r="Z43" i="33" s="1"/>
  <c r="Y156" i="33"/>
  <c r="Z156" i="33" s="1"/>
  <c r="AC12" i="35" s="1"/>
  <c r="K57" i="33"/>
  <c r="L57" i="33" s="1"/>
  <c r="K48" i="33"/>
  <c r="Y55" i="33"/>
  <c r="Z55" i="33" s="1"/>
  <c r="AE55" i="33"/>
  <c r="AH156" i="33"/>
  <c r="AI156" i="33" s="1"/>
  <c r="AV11" i="35" s="1"/>
  <c r="AH41" i="33"/>
  <c r="AI41" i="33" s="1"/>
  <c r="X55" i="33"/>
  <c r="AA156" i="33"/>
  <c r="AB156" i="33" s="1"/>
  <c r="AC156" i="33" s="1"/>
  <c r="AF39" i="33"/>
  <c r="AF40" i="33"/>
  <c r="AG40" i="33" s="1"/>
  <c r="AF41" i="33"/>
  <c r="AG41" i="33" s="1"/>
  <c r="AF42" i="33"/>
  <c r="AG42" i="33" s="1"/>
  <c r="AF43" i="33"/>
  <c r="AG43" i="33" s="1"/>
  <c r="AF156" i="33"/>
  <c r="AG156" i="33" s="1"/>
  <c r="AP11" i="35" s="1"/>
  <c r="R57" i="33"/>
  <c r="S57" i="33" s="1"/>
  <c r="AA43" i="33"/>
  <c r="AB43" i="33" s="1"/>
  <c r="AC43" i="33" s="1"/>
  <c r="Q55" i="33"/>
  <c r="AH39" i="33"/>
  <c r="J55" i="33"/>
  <c r="M156" i="33"/>
  <c r="R48" i="33"/>
  <c r="AF55" i="33"/>
  <c r="AG55" i="33" s="1"/>
  <c r="T156" i="33"/>
  <c r="U156" i="33" s="1"/>
  <c r="V156" i="33" s="1"/>
  <c r="V12" i="35" s="1"/>
  <c r="K39" i="33"/>
  <c r="K40" i="33"/>
  <c r="L40" i="33" s="1"/>
  <c r="K41" i="33"/>
  <c r="L41" i="33" s="1"/>
  <c r="K42" i="33"/>
  <c r="L42" i="33" s="1"/>
  <c r="K43" i="33"/>
  <c r="L43" i="33" s="1"/>
  <c r="K156" i="33"/>
  <c r="L156" i="33" s="1"/>
  <c r="Y57" i="33"/>
  <c r="Z57" i="33" s="1"/>
  <c r="AH57" i="33"/>
  <c r="AI57" i="33" s="1"/>
  <c r="Y48" i="33"/>
  <c r="Z48" i="33" s="1"/>
  <c r="K55" i="33"/>
  <c r="L55" i="33" s="1"/>
  <c r="T59" i="33"/>
  <c r="U59" i="33" s="1"/>
  <c r="V59" i="33" s="1"/>
  <c r="Y159" i="33"/>
  <c r="AA221" i="33"/>
  <c r="K221" i="33"/>
  <c r="AF59" i="33"/>
  <c r="AG59" i="33" s="1"/>
  <c r="AH221" i="33"/>
  <c r="AH288" i="33" s="1"/>
  <c r="T159" i="33"/>
  <c r="Z58" i="33"/>
  <c r="K59" i="33"/>
  <c r="L59" i="33" s="1"/>
  <c r="K63" i="33"/>
  <c r="AA159" i="33"/>
  <c r="R221" i="33"/>
  <c r="AF63" i="33"/>
  <c r="AA63" i="33"/>
  <c r="AB63" i="33" s="1"/>
  <c r="AC63" i="33" s="1"/>
  <c r="AG58" i="33"/>
  <c r="R59" i="33"/>
  <c r="S59" i="33" s="1"/>
  <c r="R63" i="33"/>
  <c r="S58" i="33"/>
  <c r="AF159" i="33"/>
  <c r="M159" i="33"/>
  <c r="N159" i="33" s="1"/>
  <c r="AH159" i="33"/>
  <c r="AB222" i="33"/>
  <c r="AC222" i="33" s="1"/>
  <c r="Y221" i="33"/>
  <c r="R159" i="33"/>
  <c r="Y59" i="33"/>
  <c r="Z59" i="33" s="1"/>
  <c r="Y63" i="33"/>
  <c r="Z63" i="33" s="1"/>
  <c r="T221" i="33"/>
  <c r="T288" i="33" s="1"/>
  <c r="U288" i="33" s="1"/>
  <c r="AF221" i="33"/>
  <c r="BS29" i="3"/>
  <c r="CC29" i="3"/>
  <c r="BI29" i="3"/>
  <c r="BI120" i="3"/>
  <c r="T119" i="33" s="1"/>
  <c r="U119" i="33" s="1"/>
  <c r="V119" i="33" s="1"/>
  <c r="CC9" i="3"/>
  <c r="AH58" i="33" s="1"/>
  <c r="AY134" i="3"/>
  <c r="M125" i="33" s="1"/>
  <c r="N125" i="33" s="1"/>
  <c r="BI38" i="3"/>
  <c r="BI16" i="3"/>
  <c r="BS132" i="3"/>
  <c r="AA121" i="33" s="1"/>
  <c r="AB121" i="33" s="1"/>
  <c r="AC121" i="33" s="1"/>
  <c r="AY10" i="3"/>
  <c r="BI137" i="3"/>
  <c r="T126" i="33" s="1"/>
  <c r="U126" i="33" s="1"/>
  <c r="AY40" i="3"/>
  <c r="BI119" i="3"/>
  <c r="T118" i="33" s="1"/>
  <c r="U118" i="33" s="1"/>
  <c r="V118" i="33" s="1"/>
  <c r="AY132" i="3"/>
  <c r="M121" i="33" s="1"/>
  <c r="N121" i="33" s="1"/>
  <c r="O121" i="33" s="1"/>
  <c r="BI9" i="3"/>
  <c r="T58" i="33" s="1"/>
  <c r="AY16" i="3"/>
  <c r="BS22" i="3"/>
  <c r="CC10" i="3"/>
  <c r="AY14" i="3"/>
  <c r="AY22" i="3"/>
  <c r="AY119" i="3"/>
  <c r="M118" i="33" s="1"/>
  <c r="N118" i="33" s="1"/>
  <c r="AY29" i="3"/>
  <c r="BI40" i="3"/>
  <c r="BI19" i="3"/>
  <c r="CC14" i="3"/>
  <c r="CC136" i="3"/>
  <c r="AH122" i="33" s="1"/>
  <c r="AI122" i="33" s="1"/>
  <c r="BS136" i="3"/>
  <c r="AA122" i="33" s="1"/>
  <c r="AB122" i="33" s="1"/>
  <c r="AC122" i="33" s="1"/>
  <c r="CC31" i="3"/>
  <c r="BS31" i="3"/>
  <c r="CC37" i="3"/>
  <c r="AH54" i="33" s="1"/>
  <c r="AI54" i="33" s="1"/>
  <c r="AY24" i="3"/>
  <c r="AY15" i="3"/>
  <c r="BI37" i="3"/>
  <c r="T54" i="33" s="1"/>
  <c r="U54" i="33" s="1"/>
  <c r="V54" i="33" s="1"/>
  <c r="BI26" i="3"/>
  <c r="BS119" i="3"/>
  <c r="AA118" i="33" s="1"/>
  <c r="AB118" i="33" s="1"/>
  <c r="AC118" i="33" s="1"/>
  <c r="BS40" i="3"/>
  <c r="CC19" i="3"/>
  <c r="CC137" i="3"/>
  <c r="AH126" i="33" s="1"/>
  <c r="AI126" i="33" s="1"/>
  <c r="CC23" i="3"/>
  <c r="BS23" i="3"/>
  <c r="BS133" i="3"/>
  <c r="AA124" i="33" s="1"/>
  <c r="AB124" i="33" s="1"/>
  <c r="AC124" i="33" s="1"/>
  <c r="BS25" i="3"/>
  <c r="CC134" i="3"/>
  <c r="AH125" i="33" s="1"/>
  <c r="AI125" i="33" s="1"/>
  <c r="BS134" i="3"/>
  <c r="AA125" i="33" s="1"/>
  <c r="AB125" i="33" s="1"/>
  <c r="AC125" i="33" s="1"/>
  <c r="CC38" i="3"/>
  <c r="BS38" i="3"/>
  <c r="AY136" i="3"/>
  <c r="M122" i="33" s="1"/>
  <c r="N122" i="33" s="1"/>
  <c r="AY31" i="3"/>
  <c r="AY23" i="3"/>
  <c r="BI133" i="3"/>
  <c r="T124" i="33" s="1"/>
  <c r="U124" i="33" s="1"/>
  <c r="V124" i="33" s="1"/>
  <c r="BI35" i="3"/>
  <c r="T52" i="33" s="1"/>
  <c r="U52" i="33" s="1"/>
  <c r="V52" i="33" s="1"/>
  <c r="BI25" i="3"/>
  <c r="BI21" i="3"/>
  <c r="BS24" i="3"/>
  <c r="BS10" i="3"/>
  <c r="CC15" i="3"/>
  <c r="BS35" i="3"/>
  <c r="AA52" i="33" s="1"/>
  <c r="AB52" i="33" s="1"/>
  <c r="AC52" i="33" s="1"/>
  <c r="BS21" i="3"/>
  <c r="CC26" i="3"/>
  <c r="BS9" i="3"/>
  <c r="AA58" i="33" s="1"/>
  <c r="AY37" i="3"/>
  <c r="M54" i="33" s="1"/>
  <c r="N54" i="33" s="1"/>
  <c r="O54" i="33" s="1"/>
  <c r="AY26" i="3"/>
  <c r="BI24" i="3"/>
  <c r="BI15" i="3"/>
  <c r="BS16" i="3"/>
  <c r="CC120" i="3"/>
  <c r="AH119" i="33" s="1"/>
  <c r="AI119" i="33" s="1"/>
  <c r="AY133" i="3"/>
  <c r="M124" i="33" s="1"/>
  <c r="N124" i="33" s="1"/>
  <c r="AY35" i="3"/>
  <c r="M52" i="33" s="1"/>
  <c r="N52" i="33" s="1"/>
  <c r="O52" i="33" s="1"/>
  <c r="AY25" i="3"/>
  <c r="AY21" i="3"/>
  <c r="BI136" i="3"/>
  <c r="T122" i="33" s="1"/>
  <c r="U122" i="33" s="1"/>
  <c r="BI31" i="3"/>
  <c r="BI23" i="3"/>
  <c r="AY137" i="3"/>
  <c r="M126" i="33" s="1"/>
  <c r="N126" i="33" s="1"/>
  <c r="AY120" i="3"/>
  <c r="M119" i="33" s="1"/>
  <c r="AY19" i="3"/>
  <c r="BI132" i="3"/>
  <c r="T121" i="33" s="1"/>
  <c r="U121" i="33" s="1"/>
  <c r="V121" i="33" s="1"/>
  <c r="BI22" i="3"/>
  <c r="BI14" i="3"/>
  <c r="K288" i="33" l="1"/>
  <c r="M288" i="33"/>
  <c r="K127" i="33"/>
  <c r="K192" i="33"/>
  <c r="L192" i="33" s="1"/>
  <c r="C7" i="34" s="1"/>
  <c r="Y288" i="33"/>
  <c r="Z288" i="33" s="1"/>
  <c r="AE8" i="34" s="1"/>
  <c r="AF8" i="34" s="1"/>
  <c r="K344" i="33"/>
  <c r="AI11" i="35"/>
  <c r="AN11" i="35" s="1"/>
  <c r="R288" i="33"/>
  <c r="S288" i="33" s="1"/>
  <c r="Q8" i="34" s="1"/>
  <c r="T8" i="34" s="1"/>
  <c r="D10" i="36"/>
  <c r="G10" i="36"/>
  <c r="F10" i="36"/>
  <c r="E10" i="36"/>
  <c r="M345" i="33"/>
  <c r="C11" i="36"/>
  <c r="G11" i="36" s="1"/>
  <c r="D16" i="38"/>
  <c r="E16" i="38"/>
  <c r="F16" i="38"/>
  <c r="H16" i="38"/>
  <c r="G16" i="38"/>
  <c r="K345" i="33"/>
  <c r="AU11" i="35"/>
  <c r="AT11" i="35"/>
  <c r="AS11" i="35"/>
  <c r="AR11" i="35"/>
  <c r="AQ11" i="35"/>
  <c r="M192" i="33"/>
  <c r="N192" i="33" s="1"/>
  <c r="U11" i="35"/>
  <c r="T11" i="35"/>
  <c r="Q11" i="35"/>
  <c r="S11" i="35"/>
  <c r="R11" i="35"/>
  <c r="AW11" i="35"/>
  <c r="BA11" i="35"/>
  <c r="AZ11" i="35"/>
  <c r="AY11" i="35"/>
  <c r="AX11" i="35"/>
  <c r="Y12" i="35"/>
  <c r="X12" i="35"/>
  <c r="W12" i="35"/>
  <c r="Z12" i="35"/>
  <c r="AA12" i="35"/>
  <c r="AG12" i="35"/>
  <c r="AF12" i="35"/>
  <c r="AE12" i="35"/>
  <c r="AD12" i="35"/>
  <c r="AH12" i="35"/>
  <c r="AK11" i="35"/>
  <c r="C11" i="35"/>
  <c r="AY7" i="38"/>
  <c r="AW7" i="38"/>
  <c r="AZ7" i="38"/>
  <c r="AX7" i="38"/>
  <c r="V11" i="36"/>
  <c r="AA11" i="36" s="1"/>
  <c r="AX12" i="36"/>
  <c r="BA12" i="36"/>
  <c r="AW12" i="36"/>
  <c r="AV11" i="36"/>
  <c r="AW11" i="36" s="1"/>
  <c r="P13" i="36"/>
  <c r="R13" i="36" s="1"/>
  <c r="AZ12" i="36"/>
  <c r="AI11" i="36"/>
  <c r="AL11" i="36" s="1"/>
  <c r="AV13" i="36"/>
  <c r="AZ13" i="36" s="1"/>
  <c r="AP13" i="36"/>
  <c r="AC13" i="36"/>
  <c r="M12" i="36"/>
  <c r="K12" i="36"/>
  <c r="J12" i="36"/>
  <c r="N12" i="36"/>
  <c r="L12" i="36"/>
  <c r="P11" i="36"/>
  <c r="AD11" i="36"/>
  <c r="AG11" i="36"/>
  <c r="AF11" i="36"/>
  <c r="AE11" i="36"/>
  <c r="AH11" i="36"/>
  <c r="AT11" i="36"/>
  <c r="AU11" i="36"/>
  <c r="AR11" i="36"/>
  <c r="AQ11" i="36"/>
  <c r="AS11" i="36"/>
  <c r="AW10" i="36"/>
  <c r="AZ10" i="36"/>
  <c r="AX10" i="36"/>
  <c r="BA10" i="36"/>
  <c r="AY10" i="36"/>
  <c r="AH7" i="38"/>
  <c r="AF7" i="38"/>
  <c r="AE7" i="38"/>
  <c r="AD7" i="38"/>
  <c r="AG7" i="38"/>
  <c r="AI13" i="36"/>
  <c r="V13" i="36"/>
  <c r="AJ7" i="38"/>
  <c r="AM7" i="38"/>
  <c r="AK7" i="38"/>
  <c r="AN7" i="38"/>
  <c r="AL7" i="38"/>
  <c r="AP12" i="35"/>
  <c r="AI12" i="35"/>
  <c r="AC11" i="35"/>
  <c r="V11" i="35"/>
  <c r="P12" i="35"/>
  <c r="C13" i="36"/>
  <c r="AV12" i="35"/>
  <c r="C12" i="35"/>
  <c r="AF288" i="33"/>
  <c r="AG288" i="33" s="1"/>
  <c r="AS8" i="34" s="1"/>
  <c r="AW8" i="34" s="1"/>
  <c r="N156" i="33"/>
  <c r="O156" i="33" s="1"/>
  <c r="I11" i="35" s="1"/>
  <c r="AI8" i="34"/>
  <c r="AF342" i="33"/>
  <c r="AG342" i="33" s="1"/>
  <c r="AS9" i="34" s="1"/>
  <c r="N119" i="33"/>
  <c r="O119" i="33" s="1"/>
  <c r="R344" i="33"/>
  <c r="R127" i="33"/>
  <c r="N221" i="33"/>
  <c r="N288" i="33"/>
  <c r="Z39" i="33"/>
  <c r="Y344" i="33"/>
  <c r="Y127" i="33"/>
  <c r="AA288" i="33"/>
  <c r="AB288" i="33" s="1"/>
  <c r="AG39" i="33"/>
  <c r="AF344" i="33"/>
  <c r="AF127" i="33"/>
  <c r="N169" i="33"/>
  <c r="O169" i="33" s="1"/>
  <c r="AA55" i="33"/>
  <c r="AB55" i="33" s="1"/>
  <c r="AC55" i="33" s="1"/>
  <c r="M39" i="33"/>
  <c r="T46" i="33"/>
  <c r="AA41" i="33"/>
  <c r="AB41" i="33" s="1"/>
  <c r="AC41" i="33" s="1"/>
  <c r="AA39" i="33"/>
  <c r="AA48" i="33"/>
  <c r="AB48" i="33" s="1"/>
  <c r="AC48" i="33" s="1"/>
  <c r="AH40" i="33"/>
  <c r="AI40" i="33" s="1"/>
  <c r="AA57" i="33"/>
  <c r="AB57" i="33" s="1"/>
  <c r="AC57" i="33" s="1"/>
  <c r="T57" i="33"/>
  <c r="U57" i="33" s="1"/>
  <c r="V57" i="33" s="1"/>
  <c r="AA46" i="33"/>
  <c r="S48" i="33"/>
  <c r="S344" i="33" s="1"/>
  <c r="T48" i="33"/>
  <c r="U48" i="33" s="1"/>
  <c r="V48" i="33" s="1"/>
  <c r="AA40" i="33"/>
  <c r="AB40" i="33" s="1"/>
  <c r="AC40" i="33" s="1"/>
  <c r="T43" i="33"/>
  <c r="U43" i="33" s="1"/>
  <c r="V43" i="33" s="1"/>
  <c r="AH43" i="33"/>
  <c r="AI43" i="33" s="1"/>
  <c r="AH48" i="33"/>
  <c r="AI48" i="33" s="1"/>
  <c r="T39" i="33"/>
  <c r="M43" i="33"/>
  <c r="N43" i="33" s="1"/>
  <c r="O43" i="33" s="1"/>
  <c r="M41" i="33"/>
  <c r="N41" i="33" s="1"/>
  <c r="O41" i="33" s="1"/>
  <c r="AG48" i="33"/>
  <c r="T41" i="33"/>
  <c r="U41" i="33" s="1"/>
  <c r="V41" i="33" s="1"/>
  <c r="M40" i="33"/>
  <c r="N40" i="33" s="1"/>
  <c r="M57" i="33"/>
  <c r="AH55" i="33"/>
  <c r="AI55" i="33" s="1"/>
  <c r="T42" i="33"/>
  <c r="U42" i="33" s="1"/>
  <c r="V42" i="33" s="1"/>
  <c r="AA42" i="33"/>
  <c r="AB42" i="33" s="1"/>
  <c r="AC42" i="33" s="1"/>
  <c r="T55" i="33"/>
  <c r="U55" i="33" s="1"/>
  <c r="V55" i="33" s="1"/>
  <c r="Z46" i="33"/>
  <c r="M42" i="33"/>
  <c r="N42" i="33" s="1"/>
  <c r="O42" i="33" s="1"/>
  <c r="L48" i="33"/>
  <c r="AH46" i="33"/>
  <c r="M48" i="33"/>
  <c r="N48" i="33" s="1"/>
  <c r="O48" i="33" s="1"/>
  <c r="M46" i="33"/>
  <c r="N46" i="33" s="1"/>
  <c r="O46" i="33" s="1"/>
  <c r="T40" i="33"/>
  <c r="U40" i="33" s="1"/>
  <c r="V40" i="33" s="1"/>
  <c r="AI39" i="33"/>
  <c r="L221" i="33"/>
  <c r="M59" i="33"/>
  <c r="N59" i="33" s="1"/>
  <c r="AG159" i="33"/>
  <c r="M63" i="33"/>
  <c r="N63" i="33" s="1"/>
  <c r="AI221" i="33"/>
  <c r="AI288" i="33" s="1"/>
  <c r="AY8" i="34" s="1"/>
  <c r="AB221" i="33"/>
  <c r="AI58" i="33"/>
  <c r="T63" i="33"/>
  <c r="U63" i="33" s="1"/>
  <c r="U58" i="33"/>
  <c r="AG221" i="33"/>
  <c r="AI159" i="33"/>
  <c r="S221" i="33"/>
  <c r="AB58" i="33"/>
  <c r="AH59" i="33"/>
  <c r="AI59" i="33" s="1"/>
  <c r="U159" i="33"/>
  <c r="AA59" i="33"/>
  <c r="AB59" i="33" s="1"/>
  <c r="AC59" i="33" s="1"/>
  <c r="U221" i="33"/>
  <c r="AB159" i="33"/>
  <c r="Z221" i="33"/>
  <c r="AH63" i="33"/>
  <c r="AI63" i="33" s="1"/>
  <c r="AG8" i="34" l="1"/>
  <c r="AJ8" i="34"/>
  <c r="L344" i="33"/>
  <c r="AH8" i="34"/>
  <c r="U8" i="34"/>
  <c r="S8" i="34"/>
  <c r="V8" i="34"/>
  <c r="AJ11" i="35"/>
  <c r="AL11" i="35"/>
  <c r="AM11" i="35"/>
  <c r="R8" i="34"/>
  <c r="M344" i="33"/>
  <c r="C6" i="38"/>
  <c r="H6" i="38" s="1"/>
  <c r="C6" i="36"/>
  <c r="D11" i="36"/>
  <c r="H11" i="36"/>
  <c r="F11" i="36"/>
  <c r="E11" i="36"/>
  <c r="I11" i="36"/>
  <c r="L11" i="36" s="1"/>
  <c r="N345" i="33"/>
  <c r="C15" i="35"/>
  <c r="G15" i="35" s="1"/>
  <c r="L345" i="33"/>
  <c r="C13" i="34" s="1"/>
  <c r="H13" i="34" s="1"/>
  <c r="L11" i="35"/>
  <c r="K11" i="35"/>
  <c r="J11" i="35"/>
  <c r="N11" i="35"/>
  <c r="M11" i="35"/>
  <c r="H11" i="35"/>
  <c r="G11" i="35"/>
  <c r="F11" i="35"/>
  <c r="E11" i="35"/>
  <c r="D11" i="35"/>
  <c r="H12" i="35"/>
  <c r="G12" i="35"/>
  <c r="F12" i="35"/>
  <c r="E12" i="35"/>
  <c r="D12" i="35"/>
  <c r="S12" i="35"/>
  <c r="R12" i="35"/>
  <c r="Q12" i="35"/>
  <c r="U12" i="35"/>
  <c r="T12" i="35"/>
  <c r="AZ12" i="35"/>
  <c r="AY12" i="35"/>
  <c r="AX12" i="35"/>
  <c r="AW12" i="35"/>
  <c r="BA12" i="35"/>
  <c r="AA11" i="35"/>
  <c r="Z11" i="35"/>
  <c r="Y11" i="35"/>
  <c r="X11" i="35"/>
  <c r="W11" i="35"/>
  <c r="AD11" i="35"/>
  <c r="AH11" i="35"/>
  <c r="AG11" i="35"/>
  <c r="AF11" i="35"/>
  <c r="AE11" i="35"/>
  <c r="AN12" i="35"/>
  <c r="AM12" i="35"/>
  <c r="AL12" i="35"/>
  <c r="AK12" i="35"/>
  <c r="AJ12" i="35"/>
  <c r="AQ12" i="35"/>
  <c r="AU12" i="35"/>
  <c r="AR12" i="35"/>
  <c r="AT12" i="35"/>
  <c r="AS12" i="35"/>
  <c r="K343" i="33"/>
  <c r="H7" i="34"/>
  <c r="F7" i="34"/>
  <c r="G7" i="34"/>
  <c r="E7" i="34"/>
  <c r="D7" i="34"/>
  <c r="O192" i="33"/>
  <c r="I7" i="34" s="1"/>
  <c r="Z11" i="36"/>
  <c r="Y11" i="36"/>
  <c r="W11" i="36"/>
  <c r="X11" i="36"/>
  <c r="AZ11" i="36"/>
  <c r="AX11" i="36"/>
  <c r="AY11" i="36"/>
  <c r="BA11" i="36"/>
  <c r="AJ11" i="36"/>
  <c r="S13" i="36"/>
  <c r="AK11" i="36"/>
  <c r="T13" i="36"/>
  <c r="AW13" i="36"/>
  <c r="U13" i="36"/>
  <c r="AX13" i="36"/>
  <c r="BA13" i="36"/>
  <c r="Q13" i="36"/>
  <c r="AY13" i="36"/>
  <c r="AM11" i="36"/>
  <c r="I13" i="36"/>
  <c r="J13" i="36" s="1"/>
  <c r="AN11" i="36"/>
  <c r="AP6" i="36"/>
  <c r="AT6" i="36" s="1"/>
  <c r="X13" i="36"/>
  <c r="Z13" i="36"/>
  <c r="W13" i="36"/>
  <c r="Y13" i="36"/>
  <c r="AA13" i="36"/>
  <c r="AV6" i="36"/>
  <c r="AE13" i="36"/>
  <c r="AG13" i="36"/>
  <c r="AH13" i="36"/>
  <c r="AD13" i="36"/>
  <c r="AF13" i="36"/>
  <c r="AR13" i="36"/>
  <c r="AT13" i="36"/>
  <c r="AQ13" i="36"/>
  <c r="AU13" i="36"/>
  <c r="AS13" i="36"/>
  <c r="U11" i="36"/>
  <c r="S11" i="36"/>
  <c r="T11" i="36"/>
  <c r="R11" i="36"/>
  <c r="Q11" i="36"/>
  <c r="AL13" i="36"/>
  <c r="AJ13" i="36"/>
  <c r="AK13" i="36"/>
  <c r="AM13" i="36"/>
  <c r="AN13" i="36"/>
  <c r="P15" i="35"/>
  <c r="S15" i="35" s="1"/>
  <c r="P6" i="36"/>
  <c r="AC15" i="35"/>
  <c r="AF15" i="35" s="1"/>
  <c r="AC6" i="36"/>
  <c r="H13" i="36"/>
  <c r="F13" i="36"/>
  <c r="G13" i="36"/>
  <c r="E13" i="36"/>
  <c r="D13" i="36"/>
  <c r="AV15" i="35"/>
  <c r="AP15" i="35"/>
  <c r="I12" i="35"/>
  <c r="AG344" i="33"/>
  <c r="AX13" i="34" s="1"/>
  <c r="AX8" i="34"/>
  <c r="AU8" i="34"/>
  <c r="AV8" i="34"/>
  <c r="AT8" i="34"/>
  <c r="AH127" i="33"/>
  <c r="AH343" i="33" s="1"/>
  <c r="N57" i="33"/>
  <c r="O57" i="33" s="1"/>
  <c r="R343" i="33"/>
  <c r="S127" i="33"/>
  <c r="N39" i="33"/>
  <c r="M127" i="33"/>
  <c r="Y343" i="33"/>
  <c r="Z127" i="33"/>
  <c r="AH344" i="33"/>
  <c r="AB39" i="33"/>
  <c r="AA344" i="33"/>
  <c r="AA127" i="33"/>
  <c r="Z344" i="33"/>
  <c r="U39" i="33"/>
  <c r="T344" i="33"/>
  <c r="T127" i="33"/>
  <c r="AU9" i="34"/>
  <c r="AX9" i="34"/>
  <c r="AV9" i="34"/>
  <c r="AW9" i="34"/>
  <c r="AT9" i="34"/>
  <c r="S13" i="34"/>
  <c r="U13" i="34"/>
  <c r="V13" i="34"/>
  <c r="T13" i="34"/>
  <c r="R13" i="34"/>
  <c r="BD8" i="34"/>
  <c r="BA8" i="34"/>
  <c r="AZ8" i="34"/>
  <c r="BB8" i="34"/>
  <c r="BC8" i="34"/>
  <c r="AF343" i="33"/>
  <c r="AS11" i="34" s="1"/>
  <c r="AG127" i="33"/>
  <c r="AI46" i="33"/>
  <c r="AI344" i="33" s="1"/>
  <c r="U46" i="33"/>
  <c r="AB46" i="33"/>
  <c r="L127" i="33"/>
  <c r="O221" i="33"/>
  <c r="I15" i="35" s="1"/>
  <c r="V58" i="33"/>
  <c r="L288" i="33"/>
  <c r="C8" i="34" s="1"/>
  <c r="AC221" i="33"/>
  <c r="AI6" i="36" s="1"/>
  <c r="AC58" i="33"/>
  <c r="V221" i="33"/>
  <c r="V6" i="36" s="1"/>
  <c r="N344" i="33" l="1"/>
  <c r="O288" i="33"/>
  <c r="I8" i="34" s="1"/>
  <c r="L8" i="34" s="1"/>
  <c r="I6" i="36"/>
  <c r="N11" i="36"/>
  <c r="J11" i="36"/>
  <c r="M11" i="36"/>
  <c r="K11" i="36"/>
  <c r="O345" i="33"/>
  <c r="I13" i="34" s="1"/>
  <c r="I6" i="38"/>
  <c r="D6" i="38"/>
  <c r="E6" i="38"/>
  <c r="F6" i="38"/>
  <c r="G6" i="38"/>
  <c r="D13" i="34"/>
  <c r="E13" i="34"/>
  <c r="F13" i="34"/>
  <c r="G13" i="34"/>
  <c r="L343" i="33"/>
  <c r="C11" i="34" s="1"/>
  <c r="J12" i="35"/>
  <c r="N12" i="35"/>
  <c r="K12" i="35"/>
  <c r="M12" i="35"/>
  <c r="L12" i="35"/>
  <c r="K7" i="34"/>
  <c r="N7" i="34"/>
  <c r="L7" i="34"/>
  <c r="J7" i="34"/>
  <c r="M7" i="34"/>
  <c r="M13" i="36"/>
  <c r="L13" i="36"/>
  <c r="N13" i="36"/>
  <c r="AQ6" i="36"/>
  <c r="AR6" i="36"/>
  <c r="AE15" i="35"/>
  <c r="AS6" i="36"/>
  <c r="T15" i="35"/>
  <c r="AH15" i="35"/>
  <c r="K13" i="36"/>
  <c r="AU6" i="36"/>
  <c r="U15" i="35"/>
  <c r="AD15" i="35"/>
  <c r="R15" i="35"/>
  <c r="BA6" i="36"/>
  <c r="AZ6" i="36"/>
  <c r="AW6" i="36"/>
  <c r="AY6" i="36"/>
  <c r="AX6" i="36"/>
  <c r="Q15" i="35"/>
  <c r="AH6" i="36"/>
  <c r="AF6" i="36"/>
  <c r="AE6" i="36"/>
  <c r="AG6" i="36"/>
  <c r="AD6" i="36"/>
  <c r="W6" i="36"/>
  <c r="Y6" i="36"/>
  <c r="X6" i="36"/>
  <c r="AA6" i="36"/>
  <c r="Z6" i="36"/>
  <c r="AK6" i="36"/>
  <c r="AN6" i="36"/>
  <c r="AL6" i="36"/>
  <c r="AM6" i="36"/>
  <c r="AJ6" i="36"/>
  <c r="T6" i="36"/>
  <c r="S6" i="36"/>
  <c r="U6" i="36"/>
  <c r="Q6" i="36"/>
  <c r="R6" i="36"/>
  <c r="F15" i="35"/>
  <c r="BA15" i="35"/>
  <c r="AY15" i="35"/>
  <c r="AW15" i="35"/>
  <c r="AZ15" i="35"/>
  <c r="AX15" i="35"/>
  <c r="V288" i="33"/>
  <c r="W8" i="34" s="1"/>
  <c r="AA8" i="34" s="1"/>
  <c r="V15" i="35"/>
  <c r="E15" i="35"/>
  <c r="H15" i="35"/>
  <c r="AU15" i="35"/>
  <c r="AR15" i="35"/>
  <c r="AT15" i="35"/>
  <c r="AS15" i="35"/>
  <c r="AQ15" i="35"/>
  <c r="AC288" i="33"/>
  <c r="AK8" i="34" s="1"/>
  <c r="AL8" i="34" s="1"/>
  <c r="AI15" i="35"/>
  <c r="D15" i="35"/>
  <c r="E6" i="36"/>
  <c r="H6" i="36"/>
  <c r="D6" i="36"/>
  <c r="F6" i="36"/>
  <c r="G6" i="36"/>
  <c r="AW13" i="34"/>
  <c r="AT13" i="34"/>
  <c r="AV13" i="34"/>
  <c r="AU13" i="34"/>
  <c r="BA13" i="34"/>
  <c r="BC13" i="34"/>
  <c r="BD13" i="34"/>
  <c r="AZ13" i="34"/>
  <c r="BB13" i="34"/>
  <c r="S343" i="33"/>
  <c r="Q11" i="34" s="1"/>
  <c r="Q6" i="34"/>
  <c r="AA343" i="33"/>
  <c r="AB127" i="33"/>
  <c r="AB343" i="33" s="1"/>
  <c r="T343" i="33"/>
  <c r="U127" i="33"/>
  <c r="U343" i="33" s="1"/>
  <c r="AI127" i="33"/>
  <c r="M343" i="33"/>
  <c r="N127" i="33"/>
  <c r="N343" i="33" s="1"/>
  <c r="C6" i="34"/>
  <c r="AC39" i="33"/>
  <c r="AB344" i="33"/>
  <c r="U344" i="33"/>
  <c r="AE6" i="34"/>
  <c r="Z343" i="33"/>
  <c r="AE11" i="34" s="1"/>
  <c r="AS6" i="34"/>
  <c r="AG343" i="33"/>
  <c r="G8" i="34"/>
  <c r="E8" i="34"/>
  <c r="D8" i="34"/>
  <c r="F8" i="34"/>
  <c r="H8" i="34"/>
  <c r="AV11" i="34"/>
  <c r="AU11" i="34"/>
  <c r="AW11" i="34"/>
  <c r="AT11" i="34"/>
  <c r="AX11" i="34"/>
  <c r="AJ13" i="34"/>
  <c r="AG13" i="34"/>
  <c r="AH13" i="34"/>
  <c r="AF13" i="34"/>
  <c r="AI13" i="34"/>
  <c r="AC46" i="33"/>
  <c r="V46" i="33"/>
  <c r="O59" i="33"/>
  <c r="O344" i="33" s="1"/>
  <c r="L6" i="38" l="1"/>
  <c r="M6" i="38"/>
  <c r="K6" i="38"/>
  <c r="N6" i="38"/>
  <c r="J6" i="38"/>
  <c r="K8" i="34"/>
  <c r="J8" i="34"/>
  <c r="M8" i="34"/>
  <c r="N8" i="34"/>
  <c r="J6" i="36"/>
  <c r="M6" i="36"/>
  <c r="L6" i="36"/>
  <c r="N6" i="36"/>
  <c r="K6" i="36"/>
  <c r="Y8" i="34"/>
  <c r="Z8" i="34"/>
  <c r="AM8" i="34"/>
  <c r="AO8" i="34"/>
  <c r="W15" i="35"/>
  <c r="AA15" i="35"/>
  <c r="X15" i="35"/>
  <c r="Z15" i="35"/>
  <c r="Y15" i="35"/>
  <c r="AP8" i="34"/>
  <c r="X8" i="34"/>
  <c r="AB8" i="34"/>
  <c r="AN8" i="34"/>
  <c r="AL15" i="35"/>
  <c r="AN15" i="35"/>
  <c r="AK15" i="35"/>
  <c r="AM15" i="35"/>
  <c r="AJ15" i="35"/>
  <c r="AI11" i="34"/>
  <c r="AH11" i="34"/>
  <c r="AG11" i="34"/>
  <c r="AF11" i="34"/>
  <c r="AJ11" i="34"/>
  <c r="AG6" i="34"/>
  <c r="AH6" i="34"/>
  <c r="AF6" i="34"/>
  <c r="AI6" i="34"/>
  <c r="AJ6" i="34"/>
  <c r="U6" i="34"/>
  <c r="S6" i="34"/>
  <c r="T6" i="34"/>
  <c r="V6" i="34"/>
  <c r="R6" i="34"/>
  <c r="AY6" i="34"/>
  <c r="AI343" i="33"/>
  <c r="AY11" i="34" s="1"/>
  <c r="AX6" i="34"/>
  <c r="AV6" i="34"/>
  <c r="AW6" i="34"/>
  <c r="AT6" i="34"/>
  <c r="AU6" i="34"/>
  <c r="AC344" i="33"/>
  <c r="AC127" i="33"/>
  <c r="T11" i="34"/>
  <c r="V11" i="34"/>
  <c r="U11" i="34"/>
  <c r="S11" i="34"/>
  <c r="R11" i="34"/>
  <c r="N15" i="35"/>
  <c r="M15" i="35"/>
  <c r="L15" i="35"/>
  <c r="K15" i="35"/>
  <c r="J15" i="35"/>
  <c r="V344" i="33"/>
  <c r="V127" i="33"/>
  <c r="G11" i="34"/>
  <c r="H11" i="34"/>
  <c r="F11" i="34"/>
  <c r="D11" i="34"/>
  <c r="E11" i="34"/>
  <c r="F6" i="34"/>
  <c r="D6" i="34"/>
  <c r="E6" i="34"/>
  <c r="G6" i="34"/>
  <c r="H6" i="34"/>
  <c r="O127" i="33"/>
  <c r="N13" i="34" l="1"/>
  <c r="K13" i="34"/>
  <c r="J13" i="34"/>
  <c r="L13" i="34"/>
  <c r="M13" i="34"/>
  <c r="AM13" i="34"/>
  <c r="AN13" i="34"/>
  <c r="AL13" i="34"/>
  <c r="AO13" i="34"/>
  <c r="AP13" i="34"/>
  <c r="I6" i="34"/>
  <c r="O343" i="33"/>
  <c r="I11" i="34" s="1"/>
  <c r="BD6" i="34"/>
  <c r="BB6" i="34"/>
  <c r="BC6" i="34"/>
  <c r="BA6" i="34"/>
  <c r="AZ6" i="34"/>
  <c r="Z13" i="34"/>
  <c r="AB13" i="34"/>
  <c r="X13" i="34"/>
  <c r="AA13" i="34"/>
  <c r="Y13" i="34"/>
  <c r="AK6" i="34"/>
  <c r="AC343" i="33"/>
  <c r="AK11" i="34" s="1"/>
  <c r="W6" i="34"/>
  <c r="V343" i="33"/>
  <c r="W11" i="34" s="1"/>
  <c r="BD11" i="34"/>
  <c r="BC11" i="34"/>
  <c r="BB11" i="34"/>
  <c r="BA11" i="34"/>
  <c r="AZ11" i="34"/>
  <c r="AM11" i="34" l="1"/>
  <c r="AO11" i="34"/>
  <c r="AL11" i="34"/>
  <c r="AP11" i="34"/>
  <c r="AN11" i="34"/>
  <c r="AP6" i="34"/>
  <c r="AO6" i="34"/>
  <c r="AN6" i="34"/>
  <c r="AM6" i="34"/>
  <c r="AL6" i="34"/>
  <c r="N6" i="34"/>
  <c r="M6" i="34"/>
  <c r="K6" i="34"/>
  <c r="L6" i="34"/>
  <c r="J6" i="34"/>
  <c r="Y11" i="34"/>
  <c r="Z11" i="34"/>
  <c r="X11" i="34"/>
  <c r="AB11" i="34"/>
  <c r="AA11" i="34"/>
  <c r="M11" i="34"/>
  <c r="K11" i="34"/>
  <c r="J11" i="34"/>
  <c r="N11" i="34"/>
  <c r="L11" i="34"/>
  <c r="X6" i="34"/>
  <c r="AA6" i="34"/>
  <c r="AB6" i="34"/>
  <c r="Z6" i="34"/>
  <c r="Y6"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7E6B9864-72BB-4B2A-86A3-F76225A72CFB}">
      <text>
        <r>
          <rPr>
            <sz val="9"/>
            <color indexed="81"/>
            <rFont val="Tahoma"/>
            <family val="2"/>
          </rPr>
          <t>Plan de Acción</t>
        </r>
      </text>
    </comment>
    <comment ref="E8" authorId="0" shapeId="0" xr:uid="{79E3F3E7-DEA9-4678-A47C-233A8BE60433}">
      <text>
        <r>
          <rPr>
            <sz val="9"/>
            <color indexed="81"/>
            <rFont val="Tahoma"/>
            <family val="2"/>
          </rPr>
          <t>Plan de adquisiciones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4127A76D-A321-4542-8C77-AE122DBC8293}">
      <text>
        <r>
          <rPr>
            <sz val="9"/>
            <color indexed="81"/>
            <rFont val="Tahoma"/>
            <family val="2"/>
          </rPr>
          <t>Plan de Acción</t>
        </r>
      </text>
    </comment>
    <comment ref="E8" authorId="0" shapeId="0" xr:uid="{6ABE4886-CCBE-4687-83F0-C2443EF3DCBA}">
      <text>
        <r>
          <rPr>
            <sz val="9"/>
            <color indexed="81"/>
            <rFont val="Tahoma"/>
            <family val="2"/>
          </rPr>
          <t>Plan de Adquisiciones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83D025A1-9C1D-4084-9CAA-4B39E458078B}">
      <text>
        <r>
          <rPr>
            <sz val="9"/>
            <color indexed="81"/>
            <rFont val="Tahoma"/>
            <family val="2"/>
          </rPr>
          <t>Plan Anticorrupción y de Atención al Ciudadano</t>
        </r>
      </text>
    </comment>
    <comment ref="E8" authorId="0" shapeId="0" xr:uid="{60658068-CC3E-4228-84FE-A15F2600FB12}">
      <text>
        <r>
          <rPr>
            <sz val="9"/>
            <color indexed="81"/>
            <rFont val="Tahoma"/>
            <family val="2"/>
          </rPr>
          <t xml:space="preserve">Plan de Acción </t>
        </r>
      </text>
    </comment>
    <comment ref="F8" authorId="0" shapeId="0" xr:uid="{59CD9395-C051-4DC0-AD4D-175774050644}">
      <text>
        <r>
          <rPr>
            <sz val="9"/>
            <color indexed="81"/>
            <rFont val="Tahoma"/>
            <family val="2"/>
          </rPr>
          <t>Plan de Adquisiciones</t>
        </r>
      </text>
    </comment>
    <comment ref="G8" authorId="0" shapeId="0" xr:uid="{F1563AEB-AF5A-47D7-A090-D272D49FC270}">
      <text>
        <r>
          <rPr>
            <sz val="9"/>
            <color indexed="81"/>
            <rFont val="Tahoma"/>
            <family val="2"/>
          </rPr>
          <t>Plan Institucional de Capacitación</t>
        </r>
      </text>
    </comment>
    <comment ref="H8" authorId="0" shapeId="0" xr:uid="{A7D221B8-BE3C-4DE1-B11D-C77493B8D3A5}">
      <text>
        <r>
          <rPr>
            <sz val="9"/>
            <color indexed="81"/>
            <rFont val="Tahoma"/>
            <family val="2"/>
          </rPr>
          <t>Plan de Bienestar e incentivos Institucionales</t>
        </r>
      </text>
    </comment>
    <comment ref="I8" authorId="0" shapeId="0" xr:uid="{EB6DA501-EF9F-416B-8420-52EFBFB9879C}">
      <text>
        <r>
          <rPr>
            <sz val="9"/>
            <color indexed="81"/>
            <rFont val="Tahoma"/>
            <family val="2"/>
          </rPr>
          <t>Plan de Trabajo Anual en Seguridad y Salud en el Trabajo</t>
        </r>
      </text>
    </comment>
    <comment ref="J8" authorId="0" shapeId="0" xr:uid="{B0E57FE2-E80C-4F86-B325-5B912E1EFEE5}">
      <text>
        <r>
          <rPr>
            <sz val="9"/>
            <color indexed="81"/>
            <rFont val="Tahoma"/>
            <family val="2"/>
          </rPr>
          <t>Plan Anual de Vacantes</t>
        </r>
      </text>
    </comment>
    <comment ref="K8" authorId="0" shapeId="0" xr:uid="{171D18D7-9F41-4460-83A0-05BE60DB0173}">
      <text>
        <r>
          <rPr>
            <sz val="9"/>
            <color indexed="81"/>
            <rFont val="Tahoma"/>
            <family val="2"/>
          </rPr>
          <t>Plan de Previsión de Recursos Humanos</t>
        </r>
      </text>
    </comment>
    <comment ref="L8" authorId="0" shapeId="0" xr:uid="{FD39333C-36E8-4C7C-9402-5CF952460BAB}">
      <text>
        <r>
          <rPr>
            <sz val="9"/>
            <color indexed="81"/>
            <rFont val="Tahoma"/>
            <family val="2"/>
          </rPr>
          <t>Plan Estratégico de Talento Humano</t>
        </r>
      </text>
    </comment>
    <comment ref="M8" authorId="0" shapeId="0" xr:uid="{E06B374D-1434-411E-8CFB-8A950B70A01F}">
      <text>
        <r>
          <rPr>
            <sz val="9"/>
            <color indexed="81"/>
            <rFont val="Tahoma"/>
            <family val="2"/>
          </rPr>
          <t>Plan Institucional de Archivos de la Entidad –PINAR</t>
        </r>
      </text>
    </comment>
    <comment ref="N8" authorId="0" shapeId="0" xr:uid="{E655C968-4042-4820-B2F9-5CB713E7C158}">
      <text>
        <r>
          <rPr>
            <sz val="9"/>
            <color indexed="81"/>
            <rFont val="Tahoma"/>
            <family val="2"/>
          </rPr>
          <t>Plan Estratégico de Tecnologías de la Información y las comunicaciones PETI</t>
        </r>
      </text>
    </comment>
    <comment ref="O8" authorId="0" shapeId="0" xr:uid="{2853007A-599D-4E4D-BA80-91E2F9A0FE1A}">
      <text>
        <r>
          <rPr>
            <sz val="9"/>
            <color indexed="81"/>
            <rFont val="Tahoma"/>
            <family val="2"/>
          </rPr>
          <t xml:space="preserve">Plan de Seguridad y Privacidad de la Información </t>
        </r>
      </text>
    </comment>
    <comment ref="P8" authorId="0" shapeId="0" xr:uid="{3454F853-EB45-4B67-97F3-F0DA9569CCB8}">
      <text>
        <r>
          <rPr>
            <sz val="9"/>
            <color indexed="81"/>
            <rFont val="Tahoma"/>
            <family val="2"/>
          </rPr>
          <t>Plan de Tratamiento de Riesgos de Seguridad y Privacidad de la Información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NORELA BRICEÑO BOHORQUEZ</author>
  </authors>
  <commentList>
    <comment ref="F12" authorId="0" shapeId="0" xr:uid="{61BBF09F-B236-465B-AEC9-B30A67EE75FF}">
      <text>
        <r>
          <rPr>
            <b/>
            <sz val="9"/>
            <color indexed="81"/>
            <rFont val="Tahoma"/>
            <family val="2"/>
          </rPr>
          <t>Cifra cálculos Yuly Gomez</t>
        </r>
        <r>
          <rPr>
            <sz val="9"/>
            <color indexed="81"/>
            <rFont val="Tahoma"/>
            <family val="2"/>
          </rPr>
          <t xml:space="preserve">
</t>
        </r>
      </text>
    </comment>
    <comment ref="G12" authorId="0" shapeId="0" xr:uid="{4E52C18C-5D66-4B5D-954C-15D73CBBE38F}">
      <text>
        <r>
          <rPr>
            <b/>
            <sz val="9"/>
            <color indexed="81"/>
            <rFont val="Tahoma"/>
            <family val="2"/>
          </rPr>
          <t>NORELA BRICEÑO BOHORQUEZ:</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K14" authorId="0" shapeId="0" xr:uid="{00000000-0006-0000-0400-000001000000}">
      <text>
        <r>
          <rPr>
            <b/>
            <sz val="10"/>
            <color indexed="81"/>
            <rFont val="Tahoma"/>
            <family val="2"/>
          </rPr>
          <t>Es la correspondencia entre el resultado del indicador en el periodo y la meta establecida.</t>
        </r>
      </text>
    </comment>
    <comment ref="M14" authorId="0" shapeId="0" xr:uid="{00000000-0006-0000-0400-000002000000}">
      <text>
        <r>
          <rPr>
            <b/>
            <sz val="10"/>
            <color indexed="81"/>
            <rFont val="Tahoma"/>
            <family val="2"/>
          </rPr>
          <t>Muestra el avance acumulado del idicador.</t>
        </r>
      </text>
    </comment>
    <comment ref="R14" authorId="0" shapeId="0" xr:uid="{00000000-0006-0000-0400-000003000000}">
      <text>
        <r>
          <rPr>
            <b/>
            <sz val="10"/>
            <color indexed="81"/>
            <rFont val="Tahoma"/>
            <family val="2"/>
          </rPr>
          <t>Es la correspondencia entre el resultado del indicador en el periodo y la meta establecida.</t>
        </r>
      </text>
    </comment>
    <comment ref="T14" authorId="0" shapeId="0" xr:uid="{00000000-0006-0000-0400-000004000000}">
      <text>
        <r>
          <rPr>
            <b/>
            <sz val="10"/>
            <color indexed="81"/>
            <rFont val="Tahoma"/>
            <family val="2"/>
          </rPr>
          <t>Muestra el avance acumulado del indicador.
La última columna muestra como N.A aquellas actividades que no tenían meta programada ni en este periodo ni en los anteriores.</t>
        </r>
      </text>
    </comment>
    <comment ref="Y14" authorId="0" shapeId="0" xr:uid="{00000000-0006-0000-0400-000005000000}">
      <text>
        <r>
          <rPr>
            <b/>
            <sz val="10"/>
            <color indexed="81"/>
            <rFont val="Tahoma"/>
            <family val="2"/>
          </rPr>
          <t>Es la correspondencia entre el resultado del indicador en el periodo y la meta establecida.</t>
        </r>
      </text>
    </comment>
    <comment ref="AA14" authorId="0" shapeId="0" xr:uid="{00000000-0006-0000-0400-000006000000}">
      <text>
        <r>
          <rPr>
            <b/>
            <sz val="10"/>
            <color indexed="81"/>
            <rFont val="Tahoma"/>
            <family val="2"/>
          </rPr>
          <t>Muestra el avance acumulado del indicador.
La última columna muestra como N.A aquellas actividades que no tenían meta programada ni en este periodo ni en los anteriores.</t>
        </r>
      </text>
    </comment>
    <comment ref="AF14" authorId="0" shapeId="0" xr:uid="{00000000-0006-0000-0400-000007000000}">
      <text>
        <r>
          <rPr>
            <b/>
            <sz val="10"/>
            <color indexed="81"/>
            <rFont val="Tahoma"/>
            <family val="2"/>
          </rPr>
          <t>Es la correspondencia entre el resultado del indicador en el periodo y la meta establecida.</t>
        </r>
      </text>
    </comment>
    <comment ref="AH14" authorId="0" shapeId="0" xr:uid="{00000000-0006-0000-0400-000008000000}">
      <text>
        <r>
          <rPr>
            <b/>
            <sz val="10"/>
            <color indexed="81"/>
            <rFont val="Tahoma"/>
            <family val="2"/>
          </rPr>
          <t>Muestra el avance acumulado del idicador</t>
        </r>
      </text>
    </comment>
    <comment ref="AJ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AL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AM14" authorId="0" shapeId="0" xr:uid="{00000000-0006-0000-0400-00000B000000}">
      <text>
        <r>
          <rPr>
            <b/>
            <sz val="10"/>
            <color indexed="81"/>
            <rFont val="Tahoma"/>
            <family val="2"/>
          </rPr>
          <t>Es la correspondencia entre el resultado del indicador en el periodo y la meta establecida.</t>
        </r>
      </text>
    </comment>
    <comment ref="AX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Z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BA14" authorId="0" shapeId="0" xr:uid="{00000000-0006-0000-0400-00000E000000}">
      <text>
        <r>
          <rPr>
            <b/>
            <sz val="10"/>
            <color indexed="81"/>
            <rFont val="Tahoma"/>
            <family val="2"/>
          </rPr>
          <t>Es la correspondencia entre el resultado del indicador en el periodo y la meta establecida.</t>
        </r>
      </text>
    </comment>
    <comment ref="BL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N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O14" authorId="0" shapeId="0" xr:uid="{00000000-0006-0000-0400-000011000000}">
      <text>
        <r>
          <rPr>
            <b/>
            <sz val="10"/>
            <color indexed="81"/>
            <rFont val="Tahoma"/>
            <family val="2"/>
          </rPr>
          <t>Es la correspondencia entre el resultado del indicador en el periodo y la meta establecida.</t>
        </r>
      </text>
    </comment>
    <comment ref="BZ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CB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CC14" authorId="0" shapeId="0" xr:uid="{00000000-0006-0000-0400-000014000000}">
      <text>
        <r>
          <rPr>
            <b/>
            <sz val="10"/>
            <color indexed="81"/>
            <rFont val="Tahoma"/>
            <family val="2"/>
          </rPr>
          <t>Es la correspondencia entre el resultado del indicador en el periodo y la meta establecida.</t>
        </r>
      </text>
    </comment>
    <comment ref="CN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N15" authorId="2" shapeId="0" xr:uid="{E66FAEC3-8CA4-4E83-B205-901191B3B7BC}">
      <text>
        <r>
          <rPr>
            <sz val="12"/>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5" authorId="2" shapeId="0" xr:uid="{40A6A240-AC3D-45AD-9F99-E1C8F31EA3C1}">
      <text>
        <r>
          <rPr>
            <sz val="14"/>
            <color indexed="81"/>
            <rFont val="Tahoma"/>
            <family val="2"/>
          </rPr>
          <t>Réplica del anterior. 
En esta columna se encuentran los resultados incluyendo solamente las actividades programadas por las áreas para el periodo objeto de medición</t>
        </r>
        <r>
          <rPr>
            <sz val="9"/>
            <color indexed="81"/>
            <rFont val="Tahoma"/>
            <family val="2"/>
          </rPr>
          <t>.</t>
        </r>
      </text>
    </comment>
    <comment ref="T15" authorId="2" shapeId="0" xr:uid="{5271C4B1-BFFA-48E0-880B-5024E7FDD5C9}">
      <text>
        <r>
          <rPr>
            <sz val="9"/>
            <color indexed="81"/>
            <rFont val="Tahoma"/>
            <family val="2"/>
          </rPr>
          <t>Datos iniciales</t>
        </r>
      </text>
    </comment>
    <comment ref="U15" authorId="2" shapeId="0" xr:uid="{08377772-FB5F-4B9D-ADDA-A127A58D5DA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5" authorId="2" shapeId="0" xr:uid="{D2BCF030-B44A-4258-A86B-6B54D027B065}">
      <text>
        <r>
          <rPr>
            <sz val="9"/>
            <color indexed="81"/>
            <rFont val="Tahoma"/>
            <family val="2"/>
          </rPr>
          <t>Réplica del anterior. 
En esta columna se encuentran los resultados incluyendo solamente las actividades programadas por las áreas para el periodo objeto de medición.</t>
        </r>
      </text>
    </comment>
    <comment ref="AA15" authorId="2" shapeId="0" xr:uid="{AF601166-2247-4444-B99E-8D2AEFC07F57}">
      <text>
        <r>
          <rPr>
            <sz val="9"/>
            <color indexed="81"/>
            <rFont val="Tahoma"/>
            <family val="2"/>
          </rPr>
          <t>Datos iniciales</t>
        </r>
      </text>
    </comment>
    <comment ref="AB15" authorId="2" shapeId="0" xr:uid="{684496C8-C974-4E7D-81DB-E1DE15338C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5" authorId="2" shapeId="0" xr:uid="{C9261149-1324-4DDB-8585-DDDAAA0B7A87}">
      <text>
        <r>
          <rPr>
            <sz val="9"/>
            <color indexed="81"/>
            <rFont val="Tahoma"/>
            <family val="2"/>
          </rPr>
          <t>Réplica del anterior. 
En esta columna se encuentran los resultados incluyendo solamente las actividades programadas por las áreas para el periodo objeto de medición.</t>
        </r>
      </text>
    </comment>
    <comment ref="AH15" authorId="2" shapeId="0" xr:uid="{9DBD2118-584C-4E41-8BF7-CF8C52191CDE}">
      <text>
        <r>
          <rPr>
            <sz val="9"/>
            <color indexed="81"/>
            <rFont val="Tahoma"/>
            <family val="2"/>
          </rPr>
          <t>Datos iniciales</t>
        </r>
      </text>
    </comment>
    <comment ref="AI15" authorId="2" shapeId="0" xr:uid="{73A9C70C-C4CA-46BE-901C-8F4C695B7D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 authorId="2" shapeId="0" xr:uid="{793AC290-0B6B-4EEE-91EA-5390DA487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6" authorId="2" shapeId="0" xr:uid="{1D073712-A451-40E1-8F46-5515A930BC11}">
      <text>
        <r>
          <rPr>
            <sz val="9"/>
            <color indexed="81"/>
            <rFont val="Tahoma"/>
            <family val="2"/>
          </rPr>
          <t>Réplica del anterior. 
En esta columna se encuentran los resultados incluyendo solamente las actividades programadas por las áreas para el periodo objeto de medición.</t>
        </r>
      </text>
    </comment>
    <comment ref="T16" authorId="2" shapeId="0" xr:uid="{4B71048C-F9E3-4638-9C07-98EE701CEAAF}">
      <text>
        <r>
          <rPr>
            <sz val="9"/>
            <color indexed="81"/>
            <rFont val="Tahoma"/>
            <family val="2"/>
          </rPr>
          <t>Datos iniciales</t>
        </r>
      </text>
    </comment>
    <comment ref="U16" authorId="2" shapeId="0" xr:uid="{31971EEC-C545-4C86-86E1-22AFD6573F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 authorId="2" shapeId="0" xr:uid="{2CF8E876-441F-4642-8B49-DD75D45A920B}">
      <text>
        <r>
          <rPr>
            <sz val="9"/>
            <color indexed="81"/>
            <rFont val="Tahoma"/>
            <family val="2"/>
          </rPr>
          <t>Réplica del anterior. 
En esta columna se encuentran los resultados incluyendo solamente las actividades programadas por las áreas para el periodo objeto de medición.</t>
        </r>
      </text>
    </comment>
    <comment ref="AA16" authorId="2" shapeId="0" xr:uid="{AD287D18-C47E-4BD7-B034-7BF0842BDE9C}">
      <text>
        <r>
          <rPr>
            <sz val="9"/>
            <color indexed="81"/>
            <rFont val="Tahoma"/>
            <family val="2"/>
          </rPr>
          <t>Datos iniciales</t>
        </r>
      </text>
    </comment>
    <comment ref="AB16" authorId="2" shapeId="0" xr:uid="{E12FB097-93D1-4827-A4DB-9111C30909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6" authorId="2" shapeId="0" xr:uid="{85EBD56B-0F10-4EA2-8CC7-397457729645}">
      <text>
        <r>
          <rPr>
            <sz val="9"/>
            <color indexed="81"/>
            <rFont val="Tahoma"/>
            <family val="2"/>
          </rPr>
          <t>Réplica del anterior. 
En esta columna se encuentran los resultados incluyendo solamente las actividades programadas por las áreas para el periodo objeto de medición.</t>
        </r>
      </text>
    </comment>
    <comment ref="AH16" authorId="2" shapeId="0" xr:uid="{0D51B18F-2864-40BC-BDF5-A7A299CC9039}">
      <text>
        <r>
          <rPr>
            <sz val="9"/>
            <color indexed="81"/>
            <rFont val="Tahoma"/>
            <family val="2"/>
          </rPr>
          <t>Datos iniciales</t>
        </r>
      </text>
    </comment>
    <comment ref="AI16" authorId="2" shapeId="0" xr:uid="{D46AB779-1991-429E-B347-21E7845634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 authorId="2" shapeId="0" xr:uid="{EFF676EB-E649-4A8F-ACDD-6126DE61E0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7" authorId="2" shapeId="0" xr:uid="{F26A5791-17CD-4E50-BACC-AF0C36C6D1A5}">
      <text>
        <r>
          <rPr>
            <sz val="9"/>
            <color indexed="81"/>
            <rFont val="Tahoma"/>
            <family val="2"/>
          </rPr>
          <t>Réplica del anterior. 
En esta columna se encuentran los resultados incluyendo solamente las actividades programadas por las áreas para el periodo objeto de medición.</t>
        </r>
      </text>
    </comment>
    <comment ref="T17" authorId="2" shapeId="0" xr:uid="{071EDDE7-AF15-48B9-8ECB-49AC12E62354}">
      <text>
        <r>
          <rPr>
            <sz val="9"/>
            <color indexed="81"/>
            <rFont val="Tahoma"/>
            <family val="2"/>
          </rPr>
          <t>Datos iniciales</t>
        </r>
      </text>
    </comment>
    <comment ref="U17" authorId="2" shapeId="0" xr:uid="{5354A48E-6D5D-485C-90E3-D1B0BAC33B6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 authorId="2" shapeId="0" xr:uid="{C64882EF-68F9-4A60-B555-01129E2E2536}">
      <text>
        <r>
          <rPr>
            <sz val="9"/>
            <color indexed="81"/>
            <rFont val="Tahoma"/>
            <family val="2"/>
          </rPr>
          <t>Réplica del anterior. 
En esta columna se encuentran los resultados incluyendo solamente las actividades programadas por las áreas para el periodo objeto de medición.</t>
        </r>
      </text>
    </comment>
    <comment ref="AA17" authorId="2" shapeId="0" xr:uid="{5B20227D-8E49-43B0-A24D-FF4DC0CE04C7}">
      <text>
        <r>
          <rPr>
            <sz val="9"/>
            <color indexed="81"/>
            <rFont val="Tahoma"/>
            <family val="2"/>
          </rPr>
          <t>Datos iniciales</t>
        </r>
      </text>
    </comment>
    <comment ref="AB17" authorId="2" shapeId="0" xr:uid="{4766F5D0-BCE6-47AB-A1D6-5F877F2104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 authorId="2" shapeId="0" xr:uid="{4233982E-B589-4B2A-AAE9-BF26955BC612}">
      <text>
        <r>
          <rPr>
            <sz val="9"/>
            <color indexed="81"/>
            <rFont val="Tahoma"/>
            <family val="2"/>
          </rPr>
          <t>Réplica del anterior. 
En esta columna se encuentran los resultados incluyendo solamente las actividades programadas por las áreas para el periodo objeto de medición.</t>
        </r>
      </text>
    </comment>
    <comment ref="AH17" authorId="2" shapeId="0" xr:uid="{0D64CD40-1E1D-478A-A559-0419BAA1DBAC}">
      <text>
        <r>
          <rPr>
            <sz val="9"/>
            <color indexed="81"/>
            <rFont val="Tahoma"/>
            <family val="2"/>
          </rPr>
          <t>Datos iniciales</t>
        </r>
      </text>
    </comment>
    <comment ref="AI17" authorId="2" shapeId="0" xr:uid="{4DE1296F-6CC7-4F92-B2E1-043AE92EB9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 authorId="2" shapeId="0" xr:uid="{0A996FDD-984D-4A28-9253-76B8A29BE7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8" authorId="2" shapeId="0" xr:uid="{F7CD3348-CB95-4845-A9EE-5550A9B3D062}">
      <text>
        <r>
          <rPr>
            <sz val="9"/>
            <color indexed="81"/>
            <rFont val="Tahoma"/>
            <family val="2"/>
          </rPr>
          <t>Réplica del anterior. 
En esta columna se encuentran los resultados incluyendo solamente las actividades programadas por las áreas para el periodo objeto de medición.</t>
        </r>
      </text>
    </comment>
    <comment ref="T18" authorId="2" shapeId="0" xr:uid="{A910ED2A-976F-4DA5-97D5-9B2018441005}">
      <text>
        <r>
          <rPr>
            <sz val="9"/>
            <color indexed="81"/>
            <rFont val="Tahoma"/>
            <family val="2"/>
          </rPr>
          <t>Datos iniciales</t>
        </r>
      </text>
    </comment>
    <comment ref="U18" authorId="2" shapeId="0" xr:uid="{D9C4A9E4-853D-4868-AC29-E820525379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 authorId="2" shapeId="0" xr:uid="{95FAB7B1-1ED3-41F4-AFC7-13A9F1BE587A}">
      <text>
        <r>
          <rPr>
            <sz val="9"/>
            <color indexed="81"/>
            <rFont val="Tahoma"/>
            <family val="2"/>
          </rPr>
          <t>Réplica del anterior. 
En esta columna se encuentran los resultados incluyendo solamente las actividades programadas por las áreas para el periodo objeto de medición.</t>
        </r>
      </text>
    </comment>
    <comment ref="AA18" authorId="2" shapeId="0" xr:uid="{C768B23D-5B66-4864-BE57-443C01CDE87B}">
      <text>
        <r>
          <rPr>
            <sz val="9"/>
            <color indexed="81"/>
            <rFont val="Tahoma"/>
            <family val="2"/>
          </rPr>
          <t>Datos iniciales</t>
        </r>
      </text>
    </comment>
    <comment ref="AB18" authorId="2" shapeId="0" xr:uid="{C6F2613C-A94A-48C9-A073-51F24CA1757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8" authorId="2" shapeId="0" xr:uid="{56E147B9-5D1C-4B87-83E6-5A86EFCB776F}">
      <text>
        <r>
          <rPr>
            <sz val="9"/>
            <color indexed="81"/>
            <rFont val="Tahoma"/>
            <family val="2"/>
          </rPr>
          <t>Réplica del anterior. 
En esta columna se encuentran los resultados incluyendo solamente las actividades programadas por las áreas para el periodo objeto de medición.</t>
        </r>
      </text>
    </comment>
    <comment ref="AH18" authorId="2" shapeId="0" xr:uid="{C9DA63B3-A1C2-4872-B8C9-D40382AF7D4F}">
      <text>
        <r>
          <rPr>
            <sz val="9"/>
            <color indexed="81"/>
            <rFont val="Tahoma"/>
            <family val="2"/>
          </rPr>
          <t>Datos iniciales</t>
        </r>
      </text>
    </comment>
    <comment ref="AI18" authorId="2" shapeId="0" xr:uid="{C60E286C-9DB0-4600-8E3D-0FDC2FE712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 authorId="2" shapeId="0" xr:uid="{5DF4EA8F-258A-47BF-8E7D-2440CA83DA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2" authorId="2" shapeId="0" xr:uid="{80AC15A8-7340-463F-8EAA-46F73BA5D0F9}">
      <text>
        <r>
          <rPr>
            <sz val="9"/>
            <color indexed="81"/>
            <rFont val="Tahoma"/>
            <family val="2"/>
          </rPr>
          <t>Réplica del anterior. 
En esta columna se encuentran los resultados incluyendo solamente las actividades programadas por las áreas para el periodo objeto de medición.</t>
        </r>
      </text>
    </comment>
    <comment ref="T22" authorId="2" shapeId="0" xr:uid="{0DC44506-865C-42C4-8F4B-B396422E9F2C}">
      <text>
        <r>
          <rPr>
            <sz val="9"/>
            <color indexed="81"/>
            <rFont val="Tahoma"/>
            <family val="2"/>
          </rPr>
          <t>Datos iniciales</t>
        </r>
      </text>
    </comment>
    <comment ref="U22" authorId="2" shapeId="0" xr:uid="{DE77544C-0C52-4C7B-A823-D480C2B1D5A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2" authorId="2" shapeId="0" xr:uid="{E756B767-7E6C-446C-B912-500A71EBC358}">
      <text>
        <r>
          <rPr>
            <sz val="9"/>
            <color indexed="81"/>
            <rFont val="Tahoma"/>
            <family val="2"/>
          </rPr>
          <t>Réplica del anterior. 
En esta columna se encuentran los resultados incluyendo solamente las actividades programadas por las áreas para el periodo objeto de medición.</t>
        </r>
      </text>
    </comment>
    <comment ref="AA22" authorId="2" shapeId="0" xr:uid="{EC79F0DA-B8CD-420A-BB85-D73B2A51BDC2}">
      <text>
        <r>
          <rPr>
            <sz val="9"/>
            <color indexed="81"/>
            <rFont val="Tahoma"/>
            <family val="2"/>
          </rPr>
          <t>Datos iniciales</t>
        </r>
      </text>
    </comment>
    <comment ref="AB22" authorId="2" shapeId="0" xr:uid="{2C2F78FB-9700-42C6-8FE1-461AAD205D9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2" authorId="2" shapeId="0" xr:uid="{E5210E70-7800-43CD-9116-BF08CD8B7BE8}">
      <text>
        <r>
          <rPr>
            <sz val="9"/>
            <color indexed="81"/>
            <rFont val="Tahoma"/>
            <family val="2"/>
          </rPr>
          <t>Réplica del anterior. 
En esta columna se encuentran los resultados incluyendo solamente las actividades programadas por las áreas para el periodo objeto de medición.</t>
        </r>
      </text>
    </comment>
    <comment ref="AH22" authorId="2" shapeId="0" xr:uid="{62351438-0161-42C4-AFED-613BA6C2FE9F}">
      <text>
        <r>
          <rPr>
            <sz val="9"/>
            <color indexed="81"/>
            <rFont val="Tahoma"/>
            <family val="2"/>
          </rPr>
          <t>Datos iniciales</t>
        </r>
      </text>
    </comment>
    <comment ref="AI22" authorId="2" shapeId="0" xr:uid="{87F5656F-E41E-41EE-A8D2-A231483306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 authorId="2" shapeId="0" xr:uid="{3DE21FAA-1F4D-46C7-8404-77D7B1DE08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3" authorId="2" shapeId="0" xr:uid="{37982216-BE56-4408-82BE-5AEAAAA83D86}">
      <text>
        <r>
          <rPr>
            <sz val="9"/>
            <color indexed="81"/>
            <rFont val="Tahoma"/>
            <family val="2"/>
          </rPr>
          <t>Réplica del anterior. 
En esta columna se encuentran los resultados incluyendo solamente las actividades programadas por las áreas para el periodo objeto de medición.</t>
        </r>
      </text>
    </comment>
    <comment ref="T23" authorId="2" shapeId="0" xr:uid="{F33ADD9E-FF0D-46B1-8902-B9E4D45D77D7}">
      <text>
        <r>
          <rPr>
            <sz val="9"/>
            <color indexed="81"/>
            <rFont val="Tahoma"/>
            <family val="2"/>
          </rPr>
          <t>Datos iniciales</t>
        </r>
      </text>
    </comment>
    <comment ref="U23" authorId="2" shapeId="0" xr:uid="{5DE7564E-B40D-445C-9A2A-A0671BA13A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3" authorId="2" shapeId="0" xr:uid="{AA6E477F-8230-4B87-A837-390065A75B09}">
      <text>
        <r>
          <rPr>
            <sz val="9"/>
            <color indexed="81"/>
            <rFont val="Tahoma"/>
            <family val="2"/>
          </rPr>
          <t>Réplica del anterior. 
En esta columna se encuentran los resultados incluyendo solamente las actividades programadas por las áreas para el periodo objeto de medición.</t>
        </r>
      </text>
    </comment>
    <comment ref="AA23" authorId="2" shapeId="0" xr:uid="{99586C79-0BC9-4831-859F-9E722DFC2B6D}">
      <text>
        <r>
          <rPr>
            <sz val="9"/>
            <color indexed="81"/>
            <rFont val="Tahoma"/>
            <family val="2"/>
          </rPr>
          <t>Datos iniciales</t>
        </r>
      </text>
    </comment>
    <comment ref="AB23" authorId="2" shapeId="0" xr:uid="{3DE3891E-E9B1-4B2B-B4FF-397F767722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3" authorId="2" shapeId="0" xr:uid="{A95EA660-E27C-4E0A-9E46-05ED481E8EC4}">
      <text>
        <r>
          <rPr>
            <sz val="9"/>
            <color indexed="81"/>
            <rFont val="Tahoma"/>
            <family val="2"/>
          </rPr>
          <t>Réplica del anterior. 
En esta columna se encuentran los resultados incluyendo solamente las actividades programadas por las áreas para el periodo objeto de medición.</t>
        </r>
      </text>
    </comment>
    <comment ref="AH23" authorId="2" shapeId="0" xr:uid="{D78B2D4D-E329-4C48-9D4A-8595B08337BD}">
      <text>
        <r>
          <rPr>
            <sz val="9"/>
            <color indexed="81"/>
            <rFont val="Tahoma"/>
            <family val="2"/>
          </rPr>
          <t>Datos iniciales</t>
        </r>
      </text>
    </comment>
    <comment ref="AI23" authorId="2" shapeId="0" xr:uid="{AC8B8655-A760-41EF-80F9-4E8CC2C7CF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 authorId="2" shapeId="0" xr:uid="{9448E416-4F59-4F4E-87A9-C71A8F23274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4" authorId="2" shapeId="0" xr:uid="{33AF954F-E475-444F-BB40-E1C3CC2EA61C}">
      <text>
        <r>
          <rPr>
            <sz val="9"/>
            <color indexed="81"/>
            <rFont val="Tahoma"/>
            <family val="2"/>
          </rPr>
          <t>Réplica del anterior. 
En esta columna se encuentran los resultados incluyendo solamente las actividades programadas por las áreas para el periodo objeto de medición.</t>
        </r>
      </text>
    </comment>
    <comment ref="T24" authorId="2" shapeId="0" xr:uid="{B3C929D4-6F24-4D6E-8712-3BD1E4C479DC}">
      <text>
        <r>
          <rPr>
            <sz val="9"/>
            <color indexed="81"/>
            <rFont val="Tahoma"/>
            <family val="2"/>
          </rPr>
          <t>Datos iniciales</t>
        </r>
      </text>
    </comment>
    <comment ref="U24" authorId="2" shapeId="0" xr:uid="{2287E46B-0665-45B9-BDE0-61E098B72A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4" authorId="2" shapeId="0" xr:uid="{F0FEDDFB-5293-4881-9561-3527A16FA2EE}">
      <text>
        <r>
          <rPr>
            <sz val="9"/>
            <color indexed="81"/>
            <rFont val="Tahoma"/>
            <family val="2"/>
          </rPr>
          <t>Réplica del anterior. 
En esta columna se encuentran los resultados incluyendo solamente las actividades programadas por las áreas para el periodo objeto de medición.</t>
        </r>
      </text>
    </comment>
    <comment ref="AA24" authorId="2" shapeId="0" xr:uid="{50E2DB61-1912-4CCD-BFA6-A04D0CD14E9B}">
      <text>
        <r>
          <rPr>
            <sz val="9"/>
            <color indexed="81"/>
            <rFont val="Tahoma"/>
            <family val="2"/>
          </rPr>
          <t>Datos iniciales</t>
        </r>
      </text>
    </comment>
    <comment ref="AB24" authorId="2" shapeId="0" xr:uid="{EA5B160E-51BD-4C0E-87E2-4604D8BFF1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4" authorId="2" shapeId="0" xr:uid="{45623114-1703-45AC-9E2D-911801CE0DBF}">
      <text>
        <r>
          <rPr>
            <sz val="9"/>
            <color indexed="81"/>
            <rFont val="Tahoma"/>
            <family val="2"/>
          </rPr>
          <t>Réplica del anterior. 
En esta columna se encuentran los resultados incluyendo solamente las actividades programadas por las áreas para el periodo objeto de medición.</t>
        </r>
      </text>
    </comment>
    <comment ref="AH24" authorId="2" shapeId="0" xr:uid="{63E06313-46FA-4C26-B083-AFB362804A69}">
      <text>
        <r>
          <rPr>
            <sz val="9"/>
            <color indexed="81"/>
            <rFont val="Tahoma"/>
            <family val="2"/>
          </rPr>
          <t>Datos iniciales</t>
        </r>
      </text>
    </comment>
    <comment ref="AI24" authorId="2" shapeId="0" xr:uid="{07958427-2CB1-40D9-8ADD-E32F6C1C3D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 authorId="2" shapeId="0" xr:uid="{DE5D369F-536D-4F17-9EC7-CF68B8595C1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5" authorId="2" shapeId="0" xr:uid="{6D00D751-4F0D-4765-972B-05B32853A285}">
      <text>
        <r>
          <rPr>
            <sz val="9"/>
            <color indexed="81"/>
            <rFont val="Tahoma"/>
            <family val="2"/>
          </rPr>
          <t>Réplica del anterior. 
En esta columna se encuentran los resultados incluyendo solamente las actividades programadas por las áreas para el periodo objeto de medición.</t>
        </r>
      </text>
    </comment>
    <comment ref="T25" authorId="2" shapeId="0" xr:uid="{63C56318-DC9F-4D60-B5F9-95D4C0A4D42D}">
      <text>
        <r>
          <rPr>
            <sz val="9"/>
            <color indexed="81"/>
            <rFont val="Tahoma"/>
            <family val="2"/>
          </rPr>
          <t>Datos iniciales</t>
        </r>
      </text>
    </comment>
    <comment ref="U25" authorId="2" shapeId="0" xr:uid="{C951D7AC-499A-439B-9B85-CC733450B4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5" authorId="2" shapeId="0" xr:uid="{69CF4EF6-594F-4716-8284-BB3546E88C16}">
      <text>
        <r>
          <rPr>
            <sz val="9"/>
            <color indexed="81"/>
            <rFont val="Tahoma"/>
            <family val="2"/>
          </rPr>
          <t>Réplica del anterior. 
En esta columna se encuentran los resultados incluyendo solamente las actividades programadas por las áreas para el periodo objeto de medición.</t>
        </r>
      </text>
    </comment>
    <comment ref="AA25" authorId="2" shapeId="0" xr:uid="{01CEF046-70B9-4170-96B2-8C42B756E019}">
      <text>
        <r>
          <rPr>
            <sz val="9"/>
            <color indexed="81"/>
            <rFont val="Tahoma"/>
            <family val="2"/>
          </rPr>
          <t>Datos iniciales</t>
        </r>
      </text>
    </comment>
    <comment ref="AB25" authorId="2" shapeId="0" xr:uid="{B8FD1703-B783-4C0D-9851-7CD658DA05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5" authorId="2" shapeId="0" xr:uid="{C1BA84DB-3235-4EC1-B9D4-2B9B75678E23}">
      <text>
        <r>
          <rPr>
            <sz val="9"/>
            <color indexed="81"/>
            <rFont val="Tahoma"/>
            <family val="2"/>
          </rPr>
          <t>Réplica del anterior. 
En esta columna se encuentran los resultados incluyendo solamente las actividades programadas por las áreas para el periodo objeto de medición.</t>
        </r>
      </text>
    </comment>
    <comment ref="AH25" authorId="2" shapeId="0" xr:uid="{C4BBD60C-DA28-4678-8447-D3E9C769F6DA}">
      <text>
        <r>
          <rPr>
            <sz val="9"/>
            <color indexed="81"/>
            <rFont val="Tahoma"/>
            <family val="2"/>
          </rPr>
          <t>Datos iniciales</t>
        </r>
      </text>
    </comment>
    <comment ref="AI25" authorId="2" shapeId="0" xr:uid="{3055CDA2-9775-46BC-9102-70C3ABED95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 authorId="2" shapeId="0" xr:uid="{66F1E64E-1A32-463C-9617-0F9ED35BA7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6" authorId="2" shapeId="0" xr:uid="{0AE0A2DB-EF75-452A-BE12-1BF19336416C}">
      <text>
        <r>
          <rPr>
            <sz val="9"/>
            <color indexed="81"/>
            <rFont val="Tahoma"/>
            <family val="2"/>
          </rPr>
          <t>Réplica del anterior. 
En esta columna se encuentran los resultados incluyendo solamente las actividades programadas por las áreas para el periodo objeto de medición.</t>
        </r>
      </text>
    </comment>
    <comment ref="T26" authorId="2" shapeId="0" xr:uid="{E62411AD-A64D-4B11-A738-A76C5B9BE84F}">
      <text>
        <r>
          <rPr>
            <sz val="9"/>
            <color indexed="81"/>
            <rFont val="Tahoma"/>
            <family val="2"/>
          </rPr>
          <t>Datos iniciales</t>
        </r>
      </text>
    </comment>
    <comment ref="U26" authorId="2" shapeId="0" xr:uid="{EF92EB76-3A3E-4214-9E69-B03532159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6" authorId="2" shapeId="0" xr:uid="{A364695D-822F-4E16-B174-4A92AE821105}">
      <text>
        <r>
          <rPr>
            <sz val="9"/>
            <color indexed="81"/>
            <rFont val="Tahoma"/>
            <family val="2"/>
          </rPr>
          <t>Réplica del anterior. 
En esta columna se encuentran los resultados incluyendo solamente las actividades programadas por las áreas para el periodo objeto de medición.</t>
        </r>
      </text>
    </comment>
    <comment ref="AA26" authorId="2" shapeId="0" xr:uid="{62533468-21B5-4A8E-8581-869F58FBE567}">
      <text>
        <r>
          <rPr>
            <sz val="9"/>
            <color indexed="81"/>
            <rFont val="Tahoma"/>
            <family val="2"/>
          </rPr>
          <t>Datos iniciales</t>
        </r>
      </text>
    </comment>
    <comment ref="AB26" authorId="2" shapeId="0" xr:uid="{ACAFF105-C779-4DF1-95F9-7841EFDF9E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6" authorId="2" shapeId="0" xr:uid="{E2A94EDD-AF7E-4881-9703-27DBE81EED0E}">
      <text>
        <r>
          <rPr>
            <sz val="9"/>
            <color indexed="81"/>
            <rFont val="Tahoma"/>
            <family val="2"/>
          </rPr>
          <t>Réplica del anterior. 
En esta columna se encuentran los resultados incluyendo solamente las actividades programadas por las áreas para el periodo objeto de medición.</t>
        </r>
      </text>
    </comment>
    <comment ref="AH26" authorId="2" shapeId="0" xr:uid="{862388D6-6D82-49C1-9D89-C1C69D4AED72}">
      <text>
        <r>
          <rPr>
            <sz val="9"/>
            <color indexed="81"/>
            <rFont val="Tahoma"/>
            <family val="2"/>
          </rPr>
          <t>Datos iniciales</t>
        </r>
      </text>
    </comment>
    <comment ref="AI26" authorId="2" shapeId="0" xr:uid="{D7E7CB65-3BDC-44F9-9662-9BB71BDFF1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 authorId="2" shapeId="0" xr:uid="{897551D6-7813-43EF-80A9-99C3FCCD66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7" authorId="2" shapeId="0" xr:uid="{60AAF8ED-6F98-46CE-95F8-4A522DAF9BCB}">
      <text>
        <r>
          <rPr>
            <sz val="9"/>
            <color indexed="81"/>
            <rFont val="Tahoma"/>
            <family val="2"/>
          </rPr>
          <t>Réplica del anterior. 
En esta columna se encuentran los resultados incluyendo solamente las actividades programadas por las áreas para el periodo objeto de medición.</t>
        </r>
      </text>
    </comment>
    <comment ref="T27" authorId="2" shapeId="0" xr:uid="{D9C42474-04D9-41B8-A8EB-DA19FD88B413}">
      <text>
        <r>
          <rPr>
            <sz val="9"/>
            <color indexed="81"/>
            <rFont val="Tahoma"/>
            <family val="2"/>
          </rPr>
          <t>Datos iniciales</t>
        </r>
      </text>
    </comment>
    <comment ref="U27" authorId="2" shapeId="0" xr:uid="{553B925F-94BC-4813-938C-95792C385C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7" authorId="2" shapeId="0" xr:uid="{0CBEB66C-E814-493F-A7C2-2266826392B9}">
      <text>
        <r>
          <rPr>
            <sz val="9"/>
            <color indexed="81"/>
            <rFont val="Tahoma"/>
            <family val="2"/>
          </rPr>
          <t>Réplica del anterior. 
En esta columna se encuentran los resultados incluyendo solamente las actividades programadas por las áreas para el periodo objeto de medición.</t>
        </r>
      </text>
    </comment>
    <comment ref="AA27" authorId="2" shapeId="0" xr:uid="{FB514928-E71E-46F2-A1B4-BBCA325C0F5A}">
      <text>
        <r>
          <rPr>
            <sz val="9"/>
            <color indexed="81"/>
            <rFont val="Tahoma"/>
            <family val="2"/>
          </rPr>
          <t>Datos iniciales</t>
        </r>
      </text>
    </comment>
    <comment ref="AB27" authorId="2" shapeId="0" xr:uid="{363069D0-3046-49DB-8DB5-9C3B6BD82EE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7" authorId="2" shapeId="0" xr:uid="{AF3C0A9A-6B46-4D9C-8C21-A3AA47828D74}">
      <text>
        <r>
          <rPr>
            <sz val="9"/>
            <color indexed="81"/>
            <rFont val="Tahoma"/>
            <family val="2"/>
          </rPr>
          <t>Réplica del anterior. 
En esta columna se encuentran los resultados incluyendo solamente las actividades programadas por las áreas para el periodo objeto de medición.</t>
        </r>
      </text>
    </comment>
    <comment ref="AH27" authorId="2" shapeId="0" xr:uid="{F59EF26E-5455-459F-A5AC-12045FF13A81}">
      <text>
        <r>
          <rPr>
            <sz val="9"/>
            <color indexed="81"/>
            <rFont val="Tahoma"/>
            <family val="2"/>
          </rPr>
          <t>Datos iniciales</t>
        </r>
      </text>
    </comment>
    <comment ref="AI27" authorId="2" shapeId="0" xr:uid="{E4621AA7-195E-4F98-91B4-015CFD855B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 authorId="2" shapeId="0" xr:uid="{7AA94662-78E0-4E5E-A14C-E1D4F16E6E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8" authorId="2" shapeId="0" xr:uid="{CF665230-D32A-4D37-BDB8-47522AA3D649}">
      <text>
        <r>
          <rPr>
            <sz val="9"/>
            <color indexed="81"/>
            <rFont val="Tahoma"/>
            <family val="2"/>
          </rPr>
          <t>Réplica del anterior. 
En esta columna se encuentran los resultados incluyendo solamente las actividades programadas por las áreas para el periodo objeto de medición.</t>
        </r>
      </text>
    </comment>
    <comment ref="T28" authorId="2" shapeId="0" xr:uid="{F35D0D4D-1D9C-4270-A441-32C5F3619182}">
      <text>
        <r>
          <rPr>
            <sz val="9"/>
            <color indexed="81"/>
            <rFont val="Tahoma"/>
            <family val="2"/>
          </rPr>
          <t>Datos iniciales</t>
        </r>
      </text>
    </comment>
    <comment ref="U28" authorId="2" shapeId="0" xr:uid="{ECBC96E3-1A2F-4A99-A552-040758E6741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8" authorId="2" shapeId="0" xr:uid="{D2CF731C-6450-489E-9158-5A7BE04568B0}">
      <text>
        <r>
          <rPr>
            <sz val="9"/>
            <color indexed="81"/>
            <rFont val="Tahoma"/>
            <family val="2"/>
          </rPr>
          <t>Réplica del anterior. 
En esta columna se encuentran los resultados incluyendo solamente las actividades programadas por las áreas para el periodo objeto de medición.</t>
        </r>
      </text>
    </comment>
    <comment ref="AA28" authorId="2" shapeId="0" xr:uid="{2AD5FF00-6D68-4641-9D3A-8607352B65EE}">
      <text>
        <r>
          <rPr>
            <sz val="9"/>
            <color indexed="81"/>
            <rFont val="Tahoma"/>
            <family val="2"/>
          </rPr>
          <t>Datos iniciales</t>
        </r>
      </text>
    </comment>
    <comment ref="AB28" authorId="2" shapeId="0" xr:uid="{93005507-CAB5-4D4C-843D-4D81E08FA4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8" authorId="2" shapeId="0" xr:uid="{A3388146-5C83-49FC-BBCC-DFD24CBB07FC}">
      <text>
        <r>
          <rPr>
            <sz val="9"/>
            <color indexed="81"/>
            <rFont val="Tahoma"/>
            <family val="2"/>
          </rPr>
          <t>Réplica del anterior. 
En esta columna se encuentran los resultados incluyendo solamente las actividades programadas por las áreas para el periodo objeto de medición.</t>
        </r>
      </text>
    </comment>
    <comment ref="AH28" authorId="2" shapeId="0" xr:uid="{4645BFD6-E12B-48C6-B9C6-9A6EC29F8A10}">
      <text>
        <r>
          <rPr>
            <sz val="9"/>
            <color indexed="81"/>
            <rFont val="Tahoma"/>
            <family val="2"/>
          </rPr>
          <t>Datos iniciales</t>
        </r>
      </text>
    </comment>
    <comment ref="AI28" authorId="2" shapeId="0" xr:uid="{0B0ADADB-304E-429D-9820-8F3A0DC40B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 authorId="2" shapeId="0" xr:uid="{1EE86376-9D84-4273-A972-299FD260C0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9" authorId="2" shapeId="0" xr:uid="{0DDD23A6-6E99-459A-8AB5-23178F93107D}">
      <text>
        <r>
          <rPr>
            <sz val="9"/>
            <color indexed="81"/>
            <rFont val="Tahoma"/>
            <family val="2"/>
          </rPr>
          <t>Réplica del anterior. 
En esta columna se encuentran los resultados incluyendo solamente las actividades programadas por las áreas para el periodo objeto de medición.</t>
        </r>
      </text>
    </comment>
    <comment ref="V29" authorId="2" shapeId="0" xr:uid="{5EFB27C8-D0C6-4C51-A0C1-46565D5AF92C}">
      <text>
        <r>
          <rPr>
            <sz val="9"/>
            <color indexed="81"/>
            <rFont val="Tahoma"/>
            <family val="2"/>
          </rPr>
          <t>Réplica del anterior. 
En esta columna se encuentran los resultados incluyendo solamente las actividades programadas por las áreas para el periodo objeto de medición.</t>
        </r>
      </text>
    </comment>
    <comment ref="AC29" authorId="2" shapeId="0" xr:uid="{929CBFDE-2C3B-41B3-9C85-C8A6CA0A3B9F}">
      <text>
        <r>
          <rPr>
            <sz val="9"/>
            <color indexed="81"/>
            <rFont val="Tahoma"/>
            <family val="2"/>
          </rPr>
          <t>Réplica del anterior. 
En esta columna se encuentran los resultados incluyendo solamente las actividades programadas por las áreas para el periodo objeto de medición.</t>
        </r>
      </text>
    </comment>
    <comment ref="O30" authorId="2" shapeId="0" xr:uid="{16E29D04-3536-41FF-A25D-9D703C216104}">
      <text>
        <r>
          <rPr>
            <sz val="9"/>
            <color indexed="81"/>
            <rFont val="Tahoma"/>
            <family val="2"/>
          </rPr>
          <t>Réplica del anterior. 
En esta columna se encuentran los resultados incluyendo solamente las actividades programadas por las áreas para el periodo objeto de medición.</t>
        </r>
      </text>
    </comment>
    <comment ref="V30" authorId="2" shapeId="0" xr:uid="{8C8B06A7-6ACB-4CD7-BA0B-04DDAA87B134}">
      <text>
        <r>
          <rPr>
            <sz val="9"/>
            <color indexed="81"/>
            <rFont val="Tahoma"/>
            <family val="2"/>
          </rPr>
          <t>Réplica del anterior. 
En esta columna se encuentran los resultados incluyendo solamente las actividades programadas por las áreas para el periodo objeto de medición.</t>
        </r>
      </text>
    </comment>
    <comment ref="AC30" authorId="2" shapeId="0" xr:uid="{6C2AD9BA-B3F0-41E3-B16D-833D49B42A68}">
      <text>
        <r>
          <rPr>
            <sz val="9"/>
            <color indexed="81"/>
            <rFont val="Tahoma"/>
            <family val="2"/>
          </rPr>
          <t>Réplica del anterior. 
En esta columna se encuentran los resultados incluyendo solamente las actividades programadas por las áreas para el periodo objeto de medición.</t>
        </r>
      </text>
    </comment>
    <comment ref="N33" authorId="2" shapeId="0" xr:uid="{AA400325-4B92-4FB5-AF15-0B57EAD6C4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3" authorId="2" shapeId="0" xr:uid="{C44527A5-F9D3-47BB-88CF-F71050A08502}">
      <text>
        <r>
          <rPr>
            <sz val="9"/>
            <color indexed="81"/>
            <rFont val="Tahoma"/>
            <family val="2"/>
          </rPr>
          <t>Réplica del anterior. 
En esta columna se encuentran los resultados incluyendo solamente las actividades programadas por las áreas para el periodo objeto de medición.</t>
        </r>
      </text>
    </comment>
    <comment ref="V33" authorId="2" shapeId="0" xr:uid="{14B379BF-8CF0-4319-878D-0FF69D4F5C2D}">
      <text>
        <r>
          <rPr>
            <sz val="9"/>
            <color indexed="81"/>
            <rFont val="Tahoma"/>
            <family val="2"/>
          </rPr>
          <t>Réplica del anterior. 
En esta columna se encuentran los resultados incluyendo solamente las actividades programadas por las áreas para el periodo objeto de medición.</t>
        </r>
      </text>
    </comment>
    <comment ref="AC33" authorId="2" shapeId="0" xr:uid="{949DAC5B-8B90-45AD-A694-AED3D2041CA3}">
      <text>
        <r>
          <rPr>
            <sz val="9"/>
            <color indexed="81"/>
            <rFont val="Tahoma"/>
            <family val="2"/>
          </rPr>
          <t>Réplica del anterior. 
En esta columna se encuentran los resultados incluyendo solamente las actividades programadas por las áreas para el periodo objeto de medición.</t>
        </r>
      </text>
    </comment>
    <comment ref="N34" authorId="2" shapeId="0" xr:uid="{232673B0-7A59-4E0D-9F53-9F3A59C555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 authorId="2" shapeId="0" xr:uid="{41B46B4D-D30A-4023-A907-260D3693D1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5" authorId="2" shapeId="0" xr:uid="{B40756E3-7FCC-4078-9F56-8ECDE0BC1D0B}">
      <text>
        <r>
          <rPr>
            <sz val="9"/>
            <color indexed="81"/>
            <rFont val="Tahoma"/>
            <family val="2"/>
          </rPr>
          <t>Réplica del anterior. 
En esta columna se encuentran los resultados incluyendo solamente las actividades programadas por las áreas para el periodo objeto de medición.</t>
        </r>
      </text>
    </comment>
    <comment ref="V35" authorId="2" shapeId="0" xr:uid="{13BCCFB7-80F7-48F1-BB44-F8FF8827284E}">
      <text>
        <r>
          <rPr>
            <sz val="9"/>
            <color indexed="81"/>
            <rFont val="Tahoma"/>
            <family val="2"/>
          </rPr>
          <t>Réplica del anterior. 
En esta columna se encuentran los resultados incluyendo solamente las actividades programadas por las áreas para el periodo objeto de medición.</t>
        </r>
      </text>
    </comment>
    <comment ref="AC35" authorId="2" shapeId="0" xr:uid="{DC79E94A-53F0-448E-9854-3F71BB2A3149}">
      <text>
        <r>
          <rPr>
            <sz val="9"/>
            <color indexed="81"/>
            <rFont val="Tahoma"/>
            <family val="2"/>
          </rPr>
          <t>Réplica del anterior. 
En esta columna se encuentran los resultados incluyendo solamente las actividades programadas por las áreas para el periodo objeto de medición.</t>
        </r>
      </text>
    </comment>
    <comment ref="N36" authorId="2" shapeId="0" xr:uid="{F1EC4363-019A-457F-95C9-01E9C6642A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6" authorId="2" shapeId="0" xr:uid="{7E662732-9DFB-4718-9FAB-D2A7C34D82CD}">
      <text>
        <r>
          <rPr>
            <sz val="9"/>
            <color indexed="81"/>
            <rFont val="Tahoma"/>
            <family val="2"/>
          </rPr>
          <t>Réplica del anterior. 
En esta columna se encuentran los resultados incluyendo solamente las actividades programadas por las áreas para el periodo objeto de medición.</t>
        </r>
      </text>
    </comment>
    <comment ref="V36" authorId="2" shapeId="0" xr:uid="{A3AB29E0-81F8-4D00-BB8D-F660B82C45A9}">
      <text>
        <r>
          <rPr>
            <sz val="9"/>
            <color indexed="81"/>
            <rFont val="Tahoma"/>
            <family val="2"/>
          </rPr>
          <t>Réplica del anterior. 
En esta columna se encuentran los resultados incluyendo solamente las actividades programadas por las áreas para el periodo objeto de medición.</t>
        </r>
      </text>
    </comment>
    <comment ref="AC36" authorId="2" shapeId="0" xr:uid="{CDC66BEF-A377-4390-832F-8627EE814F5A}">
      <text>
        <r>
          <rPr>
            <sz val="9"/>
            <color indexed="81"/>
            <rFont val="Tahoma"/>
            <family val="2"/>
          </rPr>
          <t>Réplica del anterior. 
En esta columna se encuentran los resultados incluyendo solamente las actividades programadas por las áreas para el periodo objeto de medición.</t>
        </r>
      </text>
    </comment>
    <comment ref="N37" authorId="2" shapeId="0" xr:uid="{D3EE89F7-DF20-494F-B7D2-E6264E8C6D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7" authorId="2" shapeId="0" xr:uid="{C8BA3331-3B1B-44F0-BAF5-24C3A0CE7DC0}">
      <text>
        <r>
          <rPr>
            <sz val="9"/>
            <color indexed="81"/>
            <rFont val="Tahoma"/>
            <family val="2"/>
          </rPr>
          <t>Réplica del anterior. 
En esta columna se encuentran los resultados incluyendo solamente las actividades programadas por las áreas para el periodo objeto de medición.</t>
        </r>
      </text>
    </comment>
    <comment ref="V37" authorId="2" shapeId="0" xr:uid="{83659E78-1A8C-47F9-A436-B658225FDFDE}">
      <text>
        <r>
          <rPr>
            <sz val="9"/>
            <color indexed="81"/>
            <rFont val="Tahoma"/>
            <family val="2"/>
          </rPr>
          <t>Réplica del anterior. 
En esta columna se encuentran los resultados incluyendo solamente las actividades programadas por las áreas para el periodo objeto de medición.</t>
        </r>
      </text>
    </comment>
    <comment ref="AC37" authorId="2" shapeId="0" xr:uid="{93367ECC-80AE-43B6-9DE5-8B8385992BBF}">
      <text>
        <r>
          <rPr>
            <sz val="9"/>
            <color indexed="81"/>
            <rFont val="Tahoma"/>
            <family val="2"/>
          </rPr>
          <t>Réplica del anterior. 
En esta columna se encuentran los resultados incluyendo solamente las actividades programadas por las áreas para el periodo objeto de medición.</t>
        </r>
      </text>
    </comment>
    <comment ref="N38" authorId="2" shapeId="0" xr:uid="{11F78BFE-EC56-408B-84BB-51ACA67047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8" authorId="2" shapeId="0" xr:uid="{9B45C780-F066-413B-B542-4A2F2CACBB69}">
      <text>
        <r>
          <rPr>
            <sz val="9"/>
            <color indexed="81"/>
            <rFont val="Tahoma"/>
            <family val="2"/>
          </rPr>
          <t>Réplica del anterior. 
En esta columna se encuentran los resultados incluyendo solamente las actividades programadas por las áreas para el periodo objeto de medición.</t>
        </r>
      </text>
    </comment>
    <comment ref="V38" authorId="2" shapeId="0" xr:uid="{689D5649-B63E-4E36-A4FD-66CC5B915B37}">
      <text>
        <r>
          <rPr>
            <sz val="9"/>
            <color indexed="81"/>
            <rFont val="Tahoma"/>
            <family val="2"/>
          </rPr>
          <t>Réplica del anterior. 
En esta columna se encuentran los resultados incluyendo solamente las actividades programadas por las áreas para el periodo objeto de medición.</t>
        </r>
      </text>
    </comment>
    <comment ref="AC38" authorId="2" shapeId="0" xr:uid="{9CDDF0FD-0FA8-4DC1-96AA-25E0A24C5C48}">
      <text>
        <r>
          <rPr>
            <sz val="9"/>
            <color indexed="81"/>
            <rFont val="Tahoma"/>
            <family val="2"/>
          </rPr>
          <t>Réplica del anterior. 
En esta columna se encuentran los resultados incluyendo solamente las actividades programadas por las áreas para el periodo objeto de medición.</t>
        </r>
      </text>
    </comment>
    <comment ref="N39" authorId="2" shapeId="0" xr:uid="{ECDC78DE-F192-45E6-98B4-58D1B0B070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39" authorId="2" shapeId="0" xr:uid="{702CC80C-54F2-4E33-8E5B-E55AF5188E9E}">
      <text>
        <r>
          <rPr>
            <sz val="9"/>
            <color indexed="81"/>
            <rFont val="Tahoma"/>
            <family val="2"/>
          </rPr>
          <t>Réplica del anterior. 
En esta columna se encuentran los resultados incluyendo solamente las actividades programadas por las áreas para el periodo objeto de medición.</t>
        </r>
      </text>
    </comment>
    <comment ref="AC39" authorId="2" shapeId="0" xr:uid="{13716FC2-E39E-48B5-9B3C-DA4D86001BA1}">
      <text>
        <r>
          <rPr>
            <sz val="9"/>
            <color indexed="81"/>
            <rFont val="Tahoma"/>
            <family val="2"/>
          </rPr>
          <t>Réplica del anterior. 
En esta columna se encuentran los resultados incluyendo solamente las actividades programadas por las áreas para el periodo objeto de medición.</t>
        </r>
      </text>
    </comment>
    <comment ref="N40" authorId="2" shapeId="0" xr:uid="{29CFE5C1-53C0-4E0D-A52E-F81CCD1994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40" authorId="2" shapeId="0" xr:uid="{E34107B9-5F3B-4CFF-8187-3FA6958DDE01}">
      <text>
        <r>
          <rPr>
            <sz val="9"/>
            <color indexed="81"/>
            <rFont val="Tahoma"/>
            <family val="2"/>
          </rPr>
          <t>Réplica del anterior. 
En esta columna se encuentran los resultados incluyendo solamente las actividades programadas por las áreas para el periodo objeto de medición.</t>
        </r>
      </text>
    </comment>
    <comment ref="AC40" authorId="2" shapeId="0" xr:uid="{F6705E23-531D-4A5F-B0F4-A7BB89F1075D}">
      <text>
        <r>
          <rPr>
            <sz val="9"/>
            <color indexed="81"/>
            <rFont val="Tahoma"/>
            <family val="2"/>
          </rPr>
          <t>Réplica del anterior. 
En esta columna se encuentran los resultados incluyendo solamente las actividades programadas por las áreas para el periodo objeto de medición.</t>
        </r>
      </text>
    </comment>
    <comment ref="N41" authorId="2" shapeId="0" xr:uid="{C869CBCA-1B8A-4D52-9A62-2CD04CB58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1" authorId="2" shapeId="0" xr:uid="{B31E6AE6-13BF-4C88-AE63-3193EE586433}">
      <text>
        <r>
          <rPr>
            <sz val="9"/>
            <color indexed="81"/>
            <rFont val="Tahoma"/>
            <family val="2"/>
          </rPr>
          <t>Réplica del anterior. 
En esta columna se encuentran los resultados incluyendo solamente las actividades programadas por las áreas para el periodo objeto de medición.</t>
        </r>
      </text>
    </comment>
    <comment ref="V41" authorId="2" shapeId="0" xr:uid="{C37134D7-DE44-40D6-8C63-8D7E5DBE7983}">
      <text>
        <r>
          <rPr>
            <sz val="9"/>
            <color indexed="81"/>
            <rFont val="Tahoma"/>
            <family val="2"/>
          </rPr>
          <t>Réplica del anterior. 
En esta columna se encuentran los resultados incluyendo solamente las actividades programadas por las áreas para el periodo objeto de medición.</t>
        </r>
      </text>
    </comment>
    <comment ref="AC41" authorId="2" shapeId="0" xr:uid="{BB6C1DF8-9F02-4262-B73D-5ACA6A958BF0}">
      <text>
        <r>
          <rPr>
            <sz val="9"/>
            <color indexed="81"/>
            <rFont val="Tahoma"/>
            <family val="2"/>
          </rPr>
          <t>Réplica del anterior. 
En esta columna se encuentran los resultados incluyendo solamente las actividades programadas por las áreas para el periodo objeto de medición.</t>
        </r>
      </text>
    </comment>
    <comment ref="N42" authorId="2" shapeId="0" xr:uid="{56C2FAFB-9BE6-494A-A26A-71E7E8E48C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2" authorId="2" shapeId="0" xr:uid="{8CF339E9-A9D9-48E8-A365-33EC43632555}">
      <text>
        <r>
          <rPr>
            <sz val="9"/>
            <color indexed="81"/>
            <rFont val="Tahoma"/>
            <family val="2"/>
          </rPr>
          <t>Réplica del anterior. 
En esta columna se encuentran los resultados incluyendo solamente las actividades programadas por las áreas para el periodo objeto de medición.</t>
        </r>
      </text>
    </comment>
    <comment ref="V42" authorId="2" shapeId="0" xr:uid="{EFF2EC20-2A4B-4851-A1D0-6B774C8E0EEF}">
      <text>
        <r>
          <rPr>
            <sz val="9"/>
            <color indexed="81"/>
            <rFont val="Tahoma"/>
            <family val="2"/>
          </rPr>
          <t>Réplica del anterior. 
En esta columna se encuentran los resultados incluyendo solamente las actividades programadas por las áreas para el periodo objeto de medición.</t>
        </r>
      </text>
    </comment>
    <comment ref="AC42" authorId="2" shapeId="0" xr:uid="{09F1E969-3EA2-42B5-B0FF-C00C61516290}">
      <text>
        <r>
          <rPr>
            <sz val="9"/>
            <color indexed="81"/>
            <rFont val="Tahoma"/>
            <family val="2"/>
          </rPr>
          <t>Réplica del anterior. 
En esta columna se encuentran los resultados incluyendo solamente las actividades programadas por las áreas para el periodo objeto de medición.</t>
        </r>
      </text>
    </comment>
    <comment ref="V43" authorId="2" shapeId="0" xr:uid="{6F6103B3-91EB-405C-81CC-FBAC679EDE6C}">
      <text>
        <r>
          <rPr>
            <sz val="9"/>
            <color indexed="81"/>
            <rFont val="Tahoma"/>
            <family val="2"/>
          </rPr>
          <t>Réplica del anterior. 
En esta columna se encuentran los resultados incluyendo solamente las actividades programadas por las áreas para el periodo objeto de medición.</t>
        </r>
      </text>
    </comment>
    <comment ref="AC43" authorId="2" shapeId="0" xr:uid="{E457AB41-26B0-428D-BDB0-FB02FE0F40DE}">
      <text>
        <r>
          <rPr>
            <sz val="9"/>
            <color indexed="81"/>
            <rFont val="Tahoma"/>
            <family val="2"/>
          </rPr>
          <t>Réplica del anterior. 
En esta columna se encuentran los resultados incluyendo solamente las actividades programadas por las áreas para el periodo objeto de medición.</t>
        </r>
      </text>
    </comment>
    <comment ref="V46" authorId="2" shapeId="0" xr:uid="{FD07D024-2F79-4CAF-A949-2CE86643064C}">
      <text>
        <r>
          <rPr>
            <sz val="9"/>
            <color indexed="81"/>
            <rFont val="Tahoma"/>
            <family val="2"/>
          </rPr>
          <t>Réplica del anterior. 
En esta columna se encuentran los resultados incluyendo solamente las actividades programadas por las áreas para el periodo objeto de medición.</t>
        </r>
      </text>
    </comment>
    <comment ref="AC46" authorId="2" shapeId="0" xr:uid="{F50A46A9-331A-4ABE-BBC2-BEE6ED567966}">
      <text>
        <r>
          <rPr>
            <sz val="9"/>
            <color indexed="81"/>
            <rFont val="Tahoma"/>
            <family val="2"/>
          </rPr>
          <t>Réplica del anterior. 
En esta columna se encuentran los resultados incluyendo solamente las actividades programadas por las áreas para el periodo objeto de medición.</t>
        </r>
      </text>
    </comment>
    <comment ref="O48" authorId="2" shapeId="0" xr:uid="{C93D7F7A-2596-45F7-8D9D-71938977C669}">
      <text>
        <r>
          <rPr>
            <sz val="9"/>
            <color indexed="81"/>
            <rFont val="Tahoma"/>
            <family val="2"/>
          </rPr>
          <t>Réplica del anterior. 
En esta columna se encuentran los resultados incluyendo solamente las actividades programadas por las áreas para el periodo objeto de medición.</t>
        </r>
      </text>
    </comment>
    <comment ref="V48" authorId="2" shapeId="0" xr:uid="{26B669CC-5FD3-4E57-883B-C31C6EB8B9EA}">
      <text>
        <r>
          <rPr>
            <sz val="9"/>
            <color indexed="81"/>
            <rFont val="Tahoma"/>
            <family val="2"/>
          </rPr>
          <t>Réplica del anterior. 
En esta columna se encuentran los resultados incluyendo solamente las actividades programadas por las áreas para el periodo objeto de medición.</t>
        </r>
      </text>
    </comment>
    <comment ref="AC48" authorId="2" shapeId="0" xr:uid="{9CA77DB5-925C-45DF-88E8-9327750C90DF}">
      <text>
        <r>
          <rPr>
            <sz val="9"/>
            <color indexed="81"/>
            <rFont val="Tahoma"/>
            <family val="2"/>
          </rPr>
          <t>Réplica del anterior. 
En esta columna se encuentran los resultados incluyendo solamente las actividades programadas por las áreas para el periodo objeto de medición.</t>
        </r>
      </text>
    </comment>
    <comment ref="V52" authorId="2" shapeId="0" xr:uid="{CD5E3F97-1848-416F-8E78-B8140DAC11D9}">
      <text>
        <r>
          <rPr>
            <sz val="9"/>
            <color indexed="81"/>
            <rFont val="Tahoma"/>
            <family val="2"/>
          </rPr>
          <t>Réplica del anterior. 
En esta columna se encuentran los resultados incluyendo solamente las actividades programadas por las áreas para el periodo objeto de medición.</t>
        </r>
      </text>
    </comment>
    <comment ref="AC52" authorId="2" shapeId="0" xr:uid="{A59B46E8-7A6D-4A7E-AA80-134FDACDEFEA}">
      <text>
        <r>
          <rPr>
            <sz val="9"/>
            <color indexed="81"/>
            <rFont val="Tahoma"/>
            <family val="2"/>
          </rPr>
          <t>Réplica del anterior. 
En esta columna se encuentran los resultados incluyendo solamente las actividades programadas por las áreas para el periodo objeto de medición.</t>
        </r>
      </text>
    </comment>
    <comment ref="N54" authorId="2" shapeId="0" xr:uid="{0ACF1EEA-6E56-4F13-BCA7-6DC948FA20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4" authorId="2" shapeId="0" xr:uid="{EF870D70-1EE0-49CA-9E22-540FC72E7303}">
      <text>
        <r>
          <rPr>
            <sz val="9"/>
            <color indexed="81"/>
            <rFont val="Tahoma"/>
            <family val="2"/>
          </rPr>
          <t>Réplica del anterior. 
En esta columna se encuentran los resultados incluyendo solamente las actividades programadas por las áreas para el periodo objeto de medición.</t>
        </r>
      </text>
    </comment>
    <comment ref="V54" authorId="2" shapeId="0" xr:uid="{A8045CF1-8F83-40C8-9913-5456198F9678}">
      <text>
        <r>
          <rPr>
            <sz val="9"/>
            <color indexed="81"/>
            <rFont val="Tahoma"/>
            <family val="2"/>
          </rPr>
          <t>Réplica del anterior. 
En esta columna se encuentran los resultados incluyendo solamente las actividades programadas por las áreas para el periodo objeto de medición.</t>
        </r>
      </text>
    </comment>
    <comment ref="AC54" authorId="2" shapeId="0" xr:uid="{145EA9D3-CA1E-4102-81B2-BA602C9FA161}">
      <text>
        <r>
          <rPr>
            <sz val="9"/>
            <color indexed="81"/>
            <rFont val="Tahoma"/>
            <family val="2"/>
          </rPr>
          <t>Réplica del anterior. 
En esta columna se encuentran los resultados incluyendo solamente las actividades programadas por las áreas para el periodo objeto de medición.</t>
        </r>
      </text>
    </comment>
    <comment ref="V55" authorId="2" shapeId="0" xr:uid="{BDECABFE-47D5-4E13-AD5E-0906C511C3D3}">
      <text>
        <r>
          <rPr>
            <sz val="9"/>
            <color indexed="81"/>
            <rFont val="Tahoma"/>
            <family val="2"/>
          </rPr>
          <t>Réplica del anterior. 
En esta columna se encuentran los resultados incluyendo solamente las actividades programadas por las áreas para el periodo objeto de medición.</t>
        </r>
      </text>
    </comment>
    <comment ref="AC55" authorId="2" shapeId="0" xr:uid="{01DF4057-F0DC-46A3-9538-A1FAB992ACCF}">
      <text>
        <r>
          <rPr>
            <sz val="9"/>
            <color indexed="81"/>
            <rFont val="Tahoma"/>
            <family val="2"/>
          </rPr>
          <t>Réplica del anterior. 
En esta columna se encuentran los resultados incluyendo solamente las actividades programadas por las áreas para el periodo objeto de medición.</t>
        </r>
      </text>
    </comment>
    <comment ref="N57" authorId="2" shapeId="0" xr:uid="{3B28F513-0339-4AEC-B353-72821EADCA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7" authorId="2" shapeId="0" xr:uid="{86E4615F-C3B8-4203-9552-38EDC957F9FF}">
      <text>
        <r>
          <rPr>
            <sz val="9"/>
            <color indexed="81"/>
            <rFont val="Tahoma"/>
            <family val="2"/>
          </rPr>
          <t>Réplica del anterior. 
En esta columna se encuentran los resultados incluyendo solamente las actividades programadas por las áreas para el periodo objeto de medición.</t>
        </r>
      </text>
    </comment>
    <comment ref="V57" authorId="2" shapeId="0" xr:uid="{C64E244B-1E48-45C4-B4C0-DBC130FEDF53}">
      <text>
        <r>
          <rPr>
            <sz val="9"/>
            <color indexed="81"/>
            <rFont val="Tahoma"/>
            <family val="2"/>
          </rPr>
          <t>Réplica del anterior. 
En esta columna se encuentran los resultados incluyendo solamente las actividades programadas por las áreas para el periodo objeto de medición.</t>
        </r>
      </text>
    </comment>
    <comment ref="AC57" authorId="2" shapeId="0" xr:uid="{61ACF391-C99E-4207-BAB6-1CD34801B25A}">
      <text>
        <r>
          <rPr>
            <sz val="9"/>
            <color indexed="81"/>
            <rFont val="Tahoma"/>
            <family val="2"/>
          </rPr>
          <t>Réplica del anterior. 
En esta columna se encuentran los resultados incluyendo solamente las actividades programadas por las áreas para el periodo objeto de medición.</t>
        </r>
      </text>
    </comment>
    <comment ref="N58" authorId="2" shapeId="0" xr:uid="{19DBE640-6797-4EC3-A3C1-27F0C815CC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58" authorId="2" shapeId="0" xr:uid="{59772909-C3EC-45FC-8C5C-95DF7C8E6454}">
      <text>
        <r>
          <rPr>
            <sz val="9"/>
            <color indexed="81"/>
            <rFont val="Tahoma"/>
            <family val="2"/>
          </rPr>
          <t>Réplica del anterior. 
En esta columna se encuentran los resultados incluyendo solamente las actividades programadas por las áreas para el periodo objeto de medición.</t>
        </r>
      </text>
    </comment>
    <comment ref="AC58" authorId="2" shapeId="0" xr:uid="{C0845715-CA4A-4202-8EAD-80756F2E4A2A}">
      <text>
        <r>
          <rPr>
            <sz val="9"/>
            <color indexed="81"/>
            <rFont val="Tahoma"/>
            <family val="2"/>
          </rPr>
          <t>Réplica del anterior. 
En esta columna se encuentran los resultados incluyendo solamente las actividades programadas por las áreas para el periodo objeto de medición.</t>
        </r>
      </text>
    </comment>
    <comment ref="O59" authorId="2" shapeId="0" xr:uid="{E89C7D47-DA7D-4EDB-ACD3-1C6B9645BC74}">
      <text>
        <r>
          <rPr>
            <sz val="9"/>
            <color indexed="81"/>
            <rFont val="Tahoma"/>
            <family val="2"/>
          </rPr>
          <t>Réplica del anterior. 
En esta columna se encuentran los resultados incluyendo solamente las actividades programadas por las áreas para el periodo objeto de medición.</t>
        </r>
      </text>
    </comment>
    <comment ref="V59" authorId="2" shapeId="0" xr:uid="{F572209D-9D3B-41F1-8F90-1D2B92EB7E25}">
      <text>
        <r>
          <rPr>
            <sz val="9"/>
            <color indexed="81"/>
            <rFont val="Tahoma"/>
            <family val="2"/>
          </rPr>
          <t>Réplica del anterior. 
En esta columna se encuentran los resultados incluyendo solamente las actividades programadas por las áreas para el periodo objeto de medición.</t>
        </r>
      </text>
    </comment>
    <comment ref="AC59" authorId="2" shapeId="0" xr:uid="{46F80FA4-AEAA-49AA-9EE3-FA1FF99D7F95}">
      <text>
        <r>
          <rPr>
            <sz val="9"/>
            <color indexed="81"/>
            <rFont val="Tahoma"/>
            <family val="2"/>
          </rPr>
          <t>Réplica del anterior. 
En esta columna se encuentran los resultados incluyendo solamente las actividades programadas por las áreas para el periodo objeto de medición.</t>
        </r>
      </text>
    </comment>
    <comment ref="N63" authorId="2" shapeId="0" xr:uid="{EFA83901-2DEF-46D3-AE28-B27709247AB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63" authorId="2" shapeId="0" xr:uid="{3366440B-5E39-4029-A5EB-0659F8DB5D10}">
      <text>
        <r>
          <rPr>
            <sz val="9"/>
            <color indexed="81"/>
            <rFont val="Tahoma"/>
            <family val="2"/>
          </rPr>
          <t>Réplica del anterior. 
En esta columna se encuentran los resultados incluyendo solamente las actividades programadas por las áreas para el periodo objeto de medición.</t>
        </r>
      </text>
    </comment>
    <comment ref="AC63" authorId="2" shapeId="0" xr:uid="{455EFE58-45C5-4D3E-B336-3BE2F4464D9E}">
      <text>
        <r>
          <rPr>
            <sz val="9"/>
            <color indexed="81"/>
            <rFont val="Tahoma"/>
            <family val="2"/>
          </rPr>
          <t>Réplica del anterior. 
En esta columna se encuentran los resultados incluyendo solamente las actividades programadas por las áreas para el periodo objeto de medición.</t>
        </r>
      </text>
    </comment>
    <comment ref="N64" authorId="2" shapeId="0" xr:uid="{7FF2FE9C-9598-4848-BE89-C4F6E982F4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64" authorId="2" shapeId="0" xr:uid="{DF3F4F65-CBBD-4D2E-B5F6-828ABA958514}">
      <text>
        <r>
          <rPr>
            <sz val="9"/>
            <color indexed="81"/>
            <rFont val="Tahoma"/>
            <family val="2"/>
          </rPr>
          <t>Réplica del anterior. 
En esta columna se encuentran los resultados incluyendo solamente las actividades programadas por las áreas para el periodo objeto de medición.</t>
        </r>
      </text>
    </comment>
    <comment ref="V64" authorId="2" shapeId="0" xr:uid="{7A3706CB-DF6B-48DD-AC61-DA9C1D01FB84}">
      <text>
        <r>
          <rPr>
            <sz val="9"/>
            <color indexed="81"/>
            <rFont val="Tahoma"/>
            <family val="2"/>
          </rPr>
          <t>Réplica del anterior. 
En esta columna se encuentran los resultados incluyendo solamente las actividades programadas por las áreas para el periodo objeto de medición.</t>
        </r>
      </text>
    </comment>
    <comment ref="AC64" authorId="2" shapeId="0" xr:uid="{35D3F945-17C2-4EEE-924D-A5C43E017CB8}">
      <text>
        <r>
          <rPr>
            <sz val="9"/>
            <color indexed="81"/>
            <rFont val="Tahoma"/>
            <family val="2"/>
          </rPr>
          <t>Réplica del anterior. 
En esta columna se encuentran los resultados incluyendo solamente las actividades programadas por las áreas para el periodo objeto de medición.</t>
        </r>
      </text>
    </comment>
    <comment ref="O65" authorId="2" shapeId="0" xr:uid="{291CC14E-51C1-4D84-91BC-0166B56C0FF9}">
      <text>
        <r>
          <rPr>
            <sz val="9"/>
            <color indexed="81"/>
            <rFont val="Tahoma"/>
            <family val="2"/>
          </rPr>
          <t>Réplica del anterior. 
En esta columna se encuentran los resultados incluyendo solamente las actividades programadas por las áreas para el periodo objeto de medición.</t>
        </r>
      </text>
    </comment>
    <comment ref="V65" authorId="2" shapeId="0" xr:uid="{990E037D-FC45-4034-8EA1-571A1D452183}">
      <text>
        <r>
          <rPr>
            <sz val="9"/>
            <color indexed="81"/>
            <rFont val="Tahoma"/>
            <family val="2"/>
          </rPr>
          <t>Réplica del anterior. 
En esta columna se encuentran los resultados incluyendo solamente las actividades programadas por las áreas para el periodo objeto de medición.</t>
        </r>
      </text>
    </comment>
    <comment ref="AC65" authorId="2" shapeId="0" xr:uid="{583A1C24-0536-4729-9A9F-9FF0F6987362}">
      <text>
        <r>
          <rPr>
            <sz val="9"/>
            <color indexed="81"/>
            <rFont val="Tahoma"/>
            <family val="2"/>
          </rPr>
          <t>Réplica del anterior. 
En esta columna se encuentran los resultados incluyendo solamente las actividades programadas por las áreas para el periodo objeto de medición.</t>
        </r>
      </text>
    </comment>
    <comment ref="N82" authorId="2" shapeId="0" xr:uid="{36839B8D-0598-4FE0-BFD0-B692536805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2" authorId="2" shapeId="0" xr:uid="{355FE30B-94B5-4FE4-B325-6C062449822A}">
      <text>
        <r>
          <rPr>
            <sz val="9"/>
            <color indexed="81"/>
            <rFont val="Tahoma"/>
            <family val="2"/>
          </rPr>
          <t>Réplica del anterior. 
En esta columna se encuentran los resultados incluyendo solamente las actividades programadas por las áreas para el periodo objeto de medición.</t>
        </r>
      </text>
    </comment>
    <comment ref="V82" authorId="2" shapeId="0" xr:uid="{2E0872D5-3F87-46B0-BBCB-383F456B8472}">
      <text>
        <r>
          <rPr>
            <sz val="9"/>
            <color indexed="81"/>
            <rFont val="Tahoma"/>
            <family val="2"/>
          </rPr>
          <t>Réplica del anterior. 
En esta columna se encuentran los resultados incluyendo solamente las actividades programadas por las áreas para el periodo objeto de medición.</t>
        </r>
      </text>
    </comment>
    <comment ref="AC82" authorId="2" shapeId="0" xr:uid="{0324BE5C-3B18-4D82-BD82-165329AEC373}">
      <text>
        <r>
          <rPr>
            <sz val="9"/>
            <color indexed="81"/>
            <rFont val="Tahoma"/>
            <family val="2"/>
          </rPr>
          <t>Réplica del anterior. 
En esta columna se encuentran los resultados incluyendo solamente las actividades programadas por las áreas para el periodo objeto de medición.</t>
        </r>
      </text>
    </comment>
    <comment ref="N83" authorId="2" shapeId="0" xr:uid="{E81B8A6C-19C8-491B-B8BE-7C40C75284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3" authorId="2" shapeId="0" xr:uid="{B715A338-02A4-4DE0-8152-3BFA15814465}">
      <text>
        <r>
          <rPr>
            <sz val="9"/>
            <color indexed="81"/>
            <rFont val="Tahoma"/>
            <family val="2"/>
          </rPr>
          <t>Réplica del anterior. 
En esta columna se encuentran los resultados incluyendo solamente las actividades programadas por las áreas para el periodo objeto de medición.</t>
        </r>
      </text>
    </comment>
    <comment ref="V83" authorId="2" shapeId="0" xr:uid="{C482D6BF-3592-4429-86CF-9D28DF2A7926}">
      <text>
        <r>
          <rPr>
            <sz val="9"/>
            <color indexed="81"/>
            <rFont val="Tahoma"/>
            <family val="2"/>
          </rPr>
          <t>Réplica del anterior. 
En esta columna se encuentran los resultados incluyendo solamente las actividades programadas por las áreas para el periodo objeto de medición.</t>
        </r>
      </text>
    </comment>
    <comment ref="AC83" authorId="2" shapeId="0" xr:uid="{529A55A4-75AF-4734-9B95-6E7453365837}">
      <text>
        <r>
          <rPr>
            <sz val="9"/>
            <color indexed="81"/>
            <rFont val="Tahoma"/>
            <family val="2"/>
          </rPr>
          <t>Réplica del anterior. 
En esta columna se encuentran los resultados incluyendo solamente las actividades programadas por las áreas para el periodo objeto de medición.</t>
        </r>
      </text>
    </comment>
    <comment ref="N84" authorId="2" shapeId="0" xr:uid="{2D6FB2AA-01E1-49FE-89CF-B6C14A6581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4" authorId="2" shapeId="0" xr:uid="{EB85212C-5E50-48DE-B6D3-C21FC4507079}">
      <text>
        <r>
          <rPr>
            <sz val="9"/>
            <color indexed="81"/>
            <rFont val="Tahoma"/>
            <family val="2"/>
          </rPr>
          <t>Réplica del anterior. 
En esta columna se encuentran los resultados incluyendo solamente las actividades programadas por las áreas para el periodo objeto de medición.</t>
        </r>
      </text>
    </comment>
    <comment ref="V84" authorId="2" shapeId="0" xr:uid="{2DAA8334-AF8A-488C-BCDF-3123C638DEBF}">
      <text>
        <r>
          <rPr>
            <sz val="9"/>
            <color indexed="81"/>
            <rFont val="Tahoma"/>
            <family val="2"/>
          </rPr>
          <t>Réplica del anterior. 
En esta columna se encuentran los resultados incluyendo solamente las actividades programadas por las áreas para el periodo objeto de medición.</t>
        </r>
      </text>
    </comment>
    <comment ref="AC84" authorId="2" shapeId="0" xr:uid="{82A53D18-16F2-48F2-8838-E98C2E9E73C8}">
      <text>
        <r>
          <rPr>
            <sz val="9"/>
            <color indexed="81"/>
            <rFont val="Tahoma"/>
            <family val="2"/>
          </rPr>
          <t>Réplica del anterior. 
En esta columna se encuentran los resultados incluyendo solamente las actividades programadas por las áreas para el periodo objeto de medición.</t>
        </r>
      </text>
    </comment>
    <comment ref="N85" authorId="2" shapeId="0" xr:uid="{7AC79459-7052-4EC9-9264-EA99633196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5" authorId="2" shapeId="0" xr:uid="{6CB942E1-3383-4C8B-8BD1-0D1231E5DE35}">
      <text>
        <r>
          <rPr>
            <sz val="9"/>
            <color indexed="81"/>
            <rFont val="Tahoma"/>
            <family val="2"/>
          </rPr>
          <t>Réplica del anterior. 
En esta columna se encuentran los resultados incluyendo solamente las actividades programadas por las áreas para el periodo objeto de medición.</t>
        </r>
      </text>
    </comment>
    <comment ref="V85" authorId="2" shapeId="0" xr:uid="{2FFC2B0D-9E10-4534-922E-4FDE89EFCFCF}">
      <text>
        <r>
          <rPr>
            <sz val="9"/>
            <color indexed="81"/>
            <rFont val="Tahoma"/>
            <family val="2"/>
          </rPr>
          <t>Réplica del anterior. 
En esta columna se encuentran los resultados incluyendo solamente las actividades programadas por las áreas para el periodo objeto de medición.</t>
        </r>
      </text>
    </comment>
    <comment ref="AC85" authorId="2" shapeId="0" xr:uid="{00653007-CF17-4470-9336-5119592DD4CE}">
      <text>
        <r>
          <rPr>
            <sz val="9"/>
            <color indexed="81"/>
            <rFont val="Tahoma"/>
            <family val="2"/>
          </rPr>
          <t>Réplica del anterior. 
En esta columna se encuentran los resultados incluyendo solamente las actividades programadas por las áreas para el periodo objeto de medición.</t>
        </r>
      </text>
    </comment>
    <comment ref="N86" authorId="2" shapeId="0" xr:uid="{15407CB4-B3D5-428D-9CC7-8C1B80AF70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6" authorId="2" shapeId="0" xr:uid="{58AD150C-FD18-4037-BA6B-7C07A82D7DB0}">
      <text>
        <r>
          <rPr>
            <sz val="9"/>
            <color indexed="81"/>
            <rFont val="Tahoma"/>
            <family val="2"/>
          </rPr>
          <t>Réplica del anterior. 
En esta columna se encuentran los resultados incluyendo solamente las actividades programadas por las áreas para el periodo objeto de medición.</t>
        </r>
      </text>
    </comment>
    <comment ref="V86" authorId="2" shapeId="0" xr:uid="{FCFFB4F6-9201-4334-A789-7D1B4FAD150D}">
      <text>
        <r>
          <rPr>
            <sz val="9"/>
            <color indexed="81"/>
            <rFont val="Tahoma"/>
            <family val="2"/>
          </rPr>
          <t>Réplica del anterior. 
En esta columna se encuentran los resultados incluyendo solamente las actividades programadas por las áreas para el periodo objeto de medición.</t>
        </r>
      </text>
    </comment>
    <comment ref="AC86" authorId="2" shapeId="0" xr:uid="{0B2D4FF2-60BF-4AA8-AC82-800B0D2F5F00}">
      <text>
        <r>
          <rPr>
            <sz val="9"/>
            <color indexed="81"/>
            <rFont val="Tahoma"/>
            <family val="2"/>
          </rPr>
          <t>Réplica del anterior. 
En esta columna se encuentran los resultados incluyendo solamente las actividades programadas por las áreas para el periodo objeto de medición.</t>
        </r>
      </text>
    </comment>
    <comment ref="N87" authorId="2" shapeId="0" xr:uid="{B8E94D47-CD65-479B-BB08-DD028BA7A6F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7" authorId="2" shapeId="0" xr:uid="{18DDDC1E-32CA-486C-B3F5-6EE39F043BDC}">
      <text>
        <r>
          <rPr>
            <sz val="9"/>
            <color indexed="81"/>
            <rFont val="Tahoma"/>
            <family val="2"/>
          </rPr>
          <t>Réplica del anterior. 
En esta columna se encuentran los resultados incluyendo solamente las actividades programadas por las áreas para el periodo objeto de medición.</t>
        </r>
      </text>
    </comment>
    <comment ref="V87" authorId="2" shapeId="0" xr:uid="{5542BA93-2C3B-42BF-8BCB-44777B67204A}">
      <text>
        <r>
          <rPr>
            <sz val="9"/>
            <color indexed="81"/>
            <rFont val="Tahoma"/>
            <family val="2"/>
          </rPr>
          <t>Réplica del anterior. 
En esta columna se encuentran los resultados incluyendo solamente las actividades programadas por las áreas para el periodo objeto de medición.</t>
        </r>
      </text>
    </comment>
    <comment ref="AC87" authorId="2" shapeId="0" xr:uid="{FA75403D-DB53-47F0-B76B-F656CE6583AA}">
      <text>
        <r>
          <rPr>
            <sz val="9"/>
            <color indexed="81"/>
            <rFont val="Tahoma"/>
            <family val="2"/>
          </rPr>
          <t>Réplica del anterior. 
En esta columna se encuentran los resultados incluyendo solamente las actividades programadas por las áreas para el periodo objeto de medición.</t>
        </r>
      </text>
    </comment>
    <comment ref="N88" authorId="2" shapeId="0" xr:uid="{3C72E688-5E7A-46EE-9ABF-D9E6F30883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8" authorId="2" shapeId="0" xr:uid="{219BA9DA-6E17-4F93-A352-33DA9A84009A}">
      <text>
        <r>
          <rPr>
            <sz val="9"/>
            <color indexed="81"/>
            <rFont val="Tahoma"/>
            <family val="2"/>
          </rPr>
          <t>Réplica del anterior. 
En esta columna se encuentran los resultados incluyendo solamente las actividades programadas por las áreas para el periodo objeto de medición.</t>
        </r>
      </text>
    </comment>
    <comment ref="V88" authorId="2" shapeId="0" xr:uid="{2FBB97FD-4E11-4D7F-9629-A5BFB4FBCD26}">
      <text>
        <r>
          <rPr>
            <sz val="9"/>
            <color indexed="81"/>
            <rFont val="Tahoma"/>
            <family val="2"/>
          </rPr>
          <t>Réplica del anterior. 
En esta columna se encuentran los resultados incluyendo solamente las actividades programadas por las áreas para el periodo objeto de medición.</t>
        </r>
      </text>
    </comment>
    <comment ref="AC88" authorId="2" shapeId="0" xr:uid="{3DCF39A7-9BEA-4F71-84FD-A2B14B2024EE}">
      <text>
        <r>
          <rPr>
            <sz val="9"/>
            <color indexed="81"/>
            <rFont val="Tahoma"/>
            <family val="2"/>
          </rPr>
          <t>Réplica del anterior. 
En esta columna se encuentran los resultados incluyendo solamente las actividades programadas por las áreas para el periodo objeto de medición.</t>
        </r>
      </text>
    </comment>
    <comment ref="N89" authorId="2" shapeId="0" xr:uid="{41360003-2820-4CC4-93C6-373DF079E54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9" authorId="2" shapeId="0" xr:uid="{FEB11698-8589-4D48-868F-4464BB7374C6}">
      <text>
        <r>
          <rPr>
            <sz val="9"/>
            <color indexed="81"/>
            <rFont val="Tahoma"/>
            <family val="2"/>
          </rPr>
          <t>Réplica del anterior. 
En esta columna se encuentran los resultados incluyendo solamente las actividades programadas por las áreas para el periodo objeto de medición.</t>
        </r>
      </text>
    </comment>
    <comment ref="V89" authorId="2" shapeId="0" xr:uid="{A48D2DEF-0C77-4C77-850C-0540DA54D309}">
      <text>
        <r>
          <rPr>
            <sz val="9"/>
            <color indexed="81"/>
            <rFont val="Tahoma"/>
            <family val="2"/>
          </rPr>
          <t>Réplica del anterior. 
En esta columna se encuentran los resultados incluyendo solamente las actividades programadas por las áreas para el periodo objeto de medición.</t>
        </r>
      </text>
    </comment>
    <comment ref="AC89" authorId="2" shapeId="0" xr:uid="{8986C22B-EE78-48C7-850B-8427D18B0D2D}">
      <text>
        <r>
          <rPr>
            <sz val="9"/>
            <color indexed="81"/>
            <rFont val="Tahoma"/>
            <family val="2"/>
          </rPr>
          <t>Réplica del anterior. 
En esta columna se encuentran los resultados incluyendo solamente las actividades programadas por las áreas para el periodo objeto de medición.</t>
        </r>
      </text>
    </comment>
    <comment ref="N90" authorId="2" shapeId="0" xr:uid="{B865C899-9A54-4E5F-B310-2524D70A070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0" authorId="2" shapeId="0" xr:uid="{F1F0AFB9-38C0-4232-A7B8-4D0C842177A2}">
      <text>
        <r>
          <rPr>
            <sz val="9"/>
            <color indexed="81"/>
            <rFont val="Tahoma"/>
            <family val="2"/>
          </rPr>
          <t>Réplica del anterior. 
En esta columna se encuentran los resultados incluyendo solamente las actividades programadas por las áreas para el periodo objeto de medición.</t>
        </r>
      </text>
    </comment>
    <comment ref="V90" authorId="2" shapeId="0" xr:uid="{7B117994-110B-4A9C-BA39-6BDBB11FC1CA}">
      <text>
        <r>
          <rPr>
            <sz val="9"/>
            <color indexed="81"/>
            <rFont val="Tahoma"/>
            <family val="2"/>
          </rPr>
          <t>Réplica del anterior. 
En esta columna se encuentran los resultados incluyendo solamente las actividades programadas por las áreas para el periodo objeto de medición.</t>
        </r>
      </text>
    </comment>
    <comment ref="AC90" authorId="2" shapeId="0" xr:uid="{81A115C3-3147-402A-BD24-524DC0512695}">
      <text>
        <r>
          <rPr>
            <sz val="9"/>
            <color indexed="81"/>
            <rFont val="Tahoma"/>
            <family val="2"/>
          </rPr>
          <t>Réplica del anterior. 
En esta columna se encuentran los resultados incluyendo solamente las actividades programadas por las áreas para el periodo objeto de medición.</t>
        </r>
      </text>
    </comment>
    <comment ref="N91" authorId="2" shapeId="0" xr:uid="{247BDD7D-E775-4EE2-B863-DFA4FB5EC5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1" authorId="2" shapeId="0" xr:uid="{0508C3A2-3BED-4803-A713-EF628CCE23DE}">
      <text>
        <r>
          <rPr>
            <sz val="9"/>
            <color indexed="81"/>
            <rFont val="Tahoma"/>
            <family val="2"/>
          </rPr>
          <t>Réplica del anterior. 
En esta columna se encuentran los resultados incluyendo solamente las actividades programadas por las áreas para el periodo objeto de medición.</t>
        </r>
      </text>
    </comment>
    <comment ref="V91" authorId="2" shapeId="0" xr:uid="{FEAF7DCC-17AC-4A33-8BEC-E4B69338D042}">
      <text>
        <r>
          <rPr>
            <sz val="9"/>
            <color indexed="81"/>
            <rFont val="Tahoma"/>
            <family val="2"/>
          </rPr>
          <t>Réplica del anterior. 
En esta columna se encuentran los resultados incluyendo solamente las actividades programadas por las áreas para el periodo objeto de medición.</t>
        </r>
      </text>
    </comment>
    <comment ref="AC91" authorId="2" shapeId="0" xr:uid="{8A4C5E38-B073-45CC-BA9A-0A35F5777CE9}">
      <text>
        <r>
          <rPr>
            <sz val="9"/>
            <color indexed="81"/>
            <rFont val="Tahoma"/>
            <family val="2"/>
          </rPr>
          <t>Réplica del anterior. 
En esta columna se encuentran los resultados incluyendo solamente las actividades programadas por las áreas para el periodo objeto de medición.</t>
        </r>
      </text>
    </comment>
    <comment ref="N92" authorId="2" shapeId="0" xr:uid="{E811D1B2-EE19-46FF-8B35-8A47FD1678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2" authorId="2" shapeId="0" xr:uid="{761C5A28-81F1-4378-A1D0-3AD0070D646D}">
      <text>
        <r>
          <rPr>
            <sz val="9"/>
            <color indexed="81"/>
            <rFont val="Tahoma"/>
            <family val="2"/>
          </rPr>
          <t>Réplica del anterior. 
En esta columna se encuentran los resultados incluyendo solamente las actividades programadas por las áreas para el periodo objeto de medición.</t>
        </r>
      </text>
    </comment>
    <comment ref="V92" authorId="2" shapeId="0" xr:uid="{72F4AE60-DB04-422E-AFBD-36B2C807A81D}">
      <text>
        <r>
          <rPr>
            <sz val="9"/>
            <color indexed="81"/>
            <rFont val="Tahoma"/>
            <family val="2"/>
          </rPr>
          <t>Réplica del anterior. 
En esta columna se encuentran los resultados incluyendo solamente las actividades programadas por las áreas para el periodo objeto de medición.</t>
        </r>
      </text>
    </comment>
    <comment ref="AC92" authorId="2" shapeId="0" xr:uid="{6BB1CDF6-66E0-4B39-97EB-23CC7E70CC15}">
      <text>
        <r>
          <rPr>
            <sz val="9"/>
            <color indexed="81"/>
            <rFont val="Tahoma"/>
            <family val="2"/>
          </rPr>
          <t>Réplica del anterior. 
En esta columna se encuentran los resultados incluyendo solamente las actividades programadas por las áreas para el periodo objeto de medición.</t>
        </r>
      </text>
    </comment>
    <comment ref="N93" authorId="2" shapeId="0" xr:uid="{9139A21F-56E9-487D-B340-6F37787854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3" authorId="2" shapeId="0" xr:uid="{D2105B81-B13D-4CFD-AD94-A63909FC45A7}">
      <text>
        <r>
          <rPr>
            <sz val="9"/>
            <color indexed="81"/>
            <rFont val="Tahoma"/>
            <family val="2"/>
          </rPr>
          <t>Réplica del anterior. 
En esta columna se encuentran los resultados incluyendo solamente las actividades programadas por las áreas para el periodo objeto de medición.</t>
        </r>
      </text>
    </comment>
    <comment ref="V93" authorId="2" shapeId="0" xr:uid="{324FB2D4-C392-4A7D-A0A3-123779D02A57}">
      <text>
        <r>
          <rPr>
            <sz val="9"/>
            <color indexed="81"/>
            <rFont val="Tahoma"/>
            <family val="2"/>
          </rPr>
          <t>Réplica del anterior. 
En esta columna se encuentran los resultados incluyendo solamente las actividades programadas por las áreas para el periodo objeto de medición.</t>
        </r>
      </text>
    </comment>
    <comment ref="AC93" authorId="2" shapeId="0" xr:uid="{8099FCAB-99B2-48D2-9CD7-312A34E4F23A}">
      <text>
        <r>
          <rPr>
            <sz val="9"/>
            <color indexed="81"/>
            <rFont val="Tahoma"/>
            <family val="2"/>
          </rPr>
          <t>Réplica del anterior. 
En esta columna se encuentran los resultados incluyendo solamente las actividades programadas por las áreas para el periodo objeto de medición.</t>
        </r>
      </text>
    </comment>
    <comment ref="N94" authorId="2" shapeId="0" xr:uid="{D72BE431-C440-4F5A-AC2E-3BE78354CC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4" authorId="2" shapeId="0" xr:uid="{4C2098FA-E8DB-4E23-94F9-66E7107E2736}">
      <text>
        <r>
          <rPr>
            <sz val="9"/>
            <color indexed="81"/>
            <rFont val="Tahoma"/>
            <family val="2"/>
          </rPr>
          <t>Réplica del anterior. 
En esta columna se encuentran los resultados incluyendo solamente las actividades programadas por las áreas para el periodo objeto de medición.</t>
        </r>
      </text>
    </comment>
    <comment ref="V94" authorId="2" shapeId="0" xr:uid="{A62530EB-AABE-405A-96A7-2C21BD36AA25}">
      <text>
        <r>
          <rPr>
            <sz val="9"/>
            <color indexed="81"/>
            <rFont val="Tahoma"/>
            <family val="2"/>
          </rPr>
          <t>Réplica del anterior. 
En esta columna se encuentran los resultados incluyendo solamente las actividades programadas por las áreas para el periodo objeto de medición.</t>
        </r>
      </text>
    </comment>
    <comment ref="AC94" authorId="2" shapeId="0" xr:uid="{2961B6F3-4164-484A-99B0-ECEDF8F4307C}">
      <text>
        <r>
          <rPr>
            <sz val="9"/>
            <color indexed="81"/>
            <rFont val="Tahoma"/>
            <family val="2"/>
          </rPr>
          <t>Réplica del anterior. 
En esta columna se encuentran los resultados incluyendo solamente las actividades programadas por las áreas para el periodo objeto de medición.</t>
        </r>
      </text>
    </comment>
    <comment ref="N95" authorId="2" shapeId="0" xr:uid="{64D85E77-D183-4350-91F3-FA2C440434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5" authorId="2" shapeId="0" xr:uid="{C79874A6-8B04-493F-8E96-00F96D0C4ADA}">
      <text>
        <r>
          <rPr>
            <sz val="9"/>
            <color indexed="81"/>
            <rFont val="Tahoma"/>
            <family val="2"/>
          </rPr>
          <t>Réplica del anterior. 
En esta columna se encuentran los resultados incluyendo solamente las actividades programadas por las áreas para el periodo objeto de medición.</t>
        </r>
      </text>
    </comment>
    <comment ref="V95" authorId="2" shapeId="0" xr:uid="{CFFD20F8-08CA-4F47-BF4B-3C4A0B5A3F7B}">
      <text>
        <r>
          <rPr>
            <sz val="9"/>
            <color indexed="81"/>
            <rFont val="Tahoma"/>
            <family val="2"/>
          </rPr>
          <t>Réplica del anterior. 
En esta columna se encuentran los resultados incluyendo solamente las actividades programadas por las áreas para el periodo objeto de medición.</t>
        </r>
      </text>
    </comment>
    <comment ref="AC95" authorId="2" shapeId="0" xr:uid="{B8DEA94A-B985-4730-B0AA-A9BF712080BF}">
      <text>
        <r>
          <rPr>
            <sz val="9"/>
            <color indexed="81"/>
            <rFont val="Tahoma"/>
            <family val="2"/>
          </rPr>
          <t>Réplica del anterior. 
En esta columna se encuentran los resultados incluyendo solamente las actividades programadas por las áreas para el periodo objeto de medición.</t>
        </r>
      </text>
    </comment>
    <comment ref="N96" authorId="2" shapeId="0" xr:uid="{9B51A12B-A398-4D86-AD95-3312FF8513A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6" authorId="2" shapeId="0" xr:uid="{3B99E5AB-1147-488E-8D62-DAE8B7AAF54F}">
      <text>
        <r>
          <rPr>
            <sz val="9"/>
            <color indexed="81"/>
            <rFont val="Tahoma"/>
            <family val="2"/>
          </rPr>
          <t>Réplica del anterior. 
En esta columna se encuentran los resultados incluyendo solamente las actividades programadas por las áreas para el periodo objeto de medición.</t>
        </r>
      </text>
    </comment>
    <comment ref="V96" authorId="2" shapeId="0" xr:uid="{AC3F9B98-8E8E-41FD-AA6C-FA6424EBBA32}">
      <text>
        <r>
          <rPr>
            <sz val="9"/>
            <color indexed="81"/>
            <rFont val="Tahoma"/>
            <family val="2"/>
          </rPr>
          <t>Réplica del anterior. 
En esta columna se encuentran los resultados incluyendo solamente las actividades programadas por las áreas para el periodo objeto de medición.</t>
        </r>
      </text>
    </comment>
    <comment ref="AC96" authorId="2" shapeId="0" xr:uid="{16009FB2-3A06-4AA8-B71E-3C81C926352B}">
      <text>
        <r>
          <rPr>
            <sz val="9"/>
            <color indexed="81"/>
            <rFont val="Tahoma"/>
            <family val="2"/>
          </rPr>
          <t>Réplica del anterior. 
En esta columna se encuentran los resultados incluyendo solamente las actividades programadas por las áreas para el periodo objeto de medición.</t>
        </r>
      </text>
    </comment>
    <comment ref="N97" authorId="2" shapeId="0" xr:uid="{7CC74D33-06D0-4810-9CD3-FA54FA1E2E6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7" authorId="2" shapeId="0" xr:uid="{FA665C63-A970-4429-8B63-0EEBA7E98E72}">
      <text>
        <r>
          <rPr>
            <sz val="9"/>
            <color indexed="81"/>
            <rFont val="Tahoma"/>
            <family val="2"/>
          </rPr>
          <t>Réplica del anterior. 
En esta columna se encuentran los resultados incluyendo solamente las actividades programadas por las áreas para el periodo objeto de medición.</t>
        </r>
      </text>
    </comment>
    <comment ref="V97" authorId="2" shapeId="0" xr:uid="{7213E94D-9126-438E-9400-F2E9DD6B6107}">
      <text>
        <r>
          <rPr>
            <sz val="9"/>
            <color indexed="81"/>
            <rFont val="Tahoma"/>
            <family val="2"/>
          </rPr>
          <t>Réplica del anterior. 
En esta columna se encuentran los resultados incluyendo solamente las actividades programadas por las áreas para el periodo objeto de medición.</t>
        </r>
      </text>
    </comment>
    <comment ref="AC97" authorId="2" shapeId="0" xr:uid="{F7C6036F-B94E-4598-A7A8-E7089DD82D6A}">
      <text>
        <r>
          <rPr>
            <sz val="9"/>
            <color indexed="81"/>
            <rFont val="Tahoma"/>
            <family val="2"/>
          </rPr>
          <t>Réplica del anterior. 
En esta columna se encuentran los resultados incluyendo solamente las actividades programadas por las áreas para el periodo objeto de medición.</t>
        </r>
      </text>
    </comment>
    <comment ref="N98" authorId="2" shapeId="0" xr:uid="{2BE0C168-A143-458D-A5A8-1712241D9A5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8" authorId="2" shapeId="0" xr:uid="{941A233A-A21C-411B-A7E5-6E26F42070DB}">
      <text>
        <r>
          <rPr>
            <sz val="9"/>
            <color indexed="81"/>
            <rFont val="Tahoma"/>
            <family val="2"/>
          </rPr>
          <t>Réplica del anterior. 
En esta columna se encuentran los resultados incluyendo solamente las actividades programadas por las áreas para el periodo objeto de medición.</t>
        </r>
      </text>
    </comment>
    <comment ref="V98" authorId="2" shapeId="0" xr:uid="{B9EF3F69-FD59-4479-8ABF-F4E0D23DEE22}">
      <text>
        <r>
          <rPr>
            <sz val="9"/>
            <color indexed="81"/>
            <rFont val="Tahoma"/>
            <family val="2"/>
          </rPr>
          <t>Réplica del anterior. 
En esta columna se encuentran los resultados incluyendo solamente las actividades programadas por las áreas para el periodo objeto de medición.</t>
        </r>
      </text>
    </comment>
    <comment ref="AC98" authorId="2" shapeId="0" xr:uid="{80E19286-2183-4163-AE21-0C426AB27981}">
      <text>
        <r>
          <rPr>
            <sz val="9"/>
            <color indexed="81"/>
            <rFont val="Tahoma"/>
            <family val="2"/>
          </rPr>
          <t>Réplica del anterior. 
En esta columna se encuentran los resultados incluyendo solamente las actividades programadas por las áreas para el periodo objeto de medición.</t>
        </r>
      </text>
    </comment>
    <comment ref="N99" authorId="2" shapeId="0" xr:uid="{2D772ACE-1AE3-4B6E-8EC4-B576A965D0F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9" authorId="2" shapeId="0" xr:uid="{5A91E5D4-3FD2-4F4F-87D0-4C49078E1FAC}">
      <text>
        <r>
          <rPr>
            <sz val="9"/>
            <color indexed="81"/>
            <rFont val="Tahoma"/>
            <family val="2"/>
          </rPr>
          <t>Réplica del anterior. 
En esta columna se encuentran los resultados incluyendo solamente las actividades programadas por las áreas para el periodo objeto de medición.</t>
        </r>
      </text>
    </comment>
    <comment ref="V99" authorId="2" shapeId="0" xr:uid="{98614068-4A61-4351-8760-0D042E5CFEB8}">
      <text>
        <r>
          <rPr>
            <sz val="9"/>
            <color indexed="81"/>
            <rFont val="Tahoma"/>
            <family val="2"/>
          </rPr>
          <t>Réplica del anterior. 
En esta columna se encuentran los resultados incluyendo solamente las actividades programadas por las áreas para el periodo objeto de medición.</t>
        </r>
      </text>
    </comment>
    <comment ref="AC99" authorId="2" shapeId="0" xr:uid="{DE956412-845D-44A6-A8C4-91C1F1E045EF}">
      <text>
        <r>
          <rPr>
            <sz val="9"/>
            <color indexed="81"/>
            <rFont val="Tahoma"/>
            <family val="2"/>
          </rPr>
          <t>Réplica del anterior. 
En esta columna se encuentran los resultados incluyendo solamente las actividades programadas por las áreas para el periodo objeto de medición.</t>
        </r>
      </text>
    </comment>
    <comment ref="N100" authorId="2" shapeId="0" xr:uid="{EF91C501-DBC7-4BBC-9A69-025838CF63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0" authorId="2" shapeId="0" xr:uid="{0B5CFE92-D7B8-4CFE-8390-D72F5A70224B}">
      <text>
        <r>
          <rPr>
            <sz val="9"/>
            <color indexed="81"/>
            <rFont val="Tahoma"/>
            <family val="2"/>
          </rPr>
          <t>Réplica del anterior. 
En esta columna se encuentran los resultados incluyendo solamente las actividades programadas por las áreas para el periodo objeto de medición.</t>
        </r>
      </text>
    </comment>
    <comment ref="V100" authorId="2" shapeId="0" xr:uid="{0DEEA00A-0960-47D2-A17A-C4E3FDBBCE7A}">
      <text>
        <r>
          <rPr>
            <sz val="9"/>
            <color indexed="81"/>
            <rFont val="Tahoma"/>
            <family val="2"/>
          </rPr>
          <t>Réplica del anterior. 
En esta columna se encuentran los resultados incluyendo solamente las actividades programadas por las áreas para el periodo objeto de medición.</t>
        </r>
      </text>
    </comment>
    <comment ref="AC100" authorId="2" shapeId="0" xr:uid="{93176760-E4A5-4C10-BB86-AD66E37E0BA1}">
      <text>
        <r>
          <rPr>
            <sz val="9"/>
            <color indexed="81"/>
            <rFont val="Tahoma"/>
            <family val="2"/>
          </rPr>
          <t>Réplica del anterior. 
En esta columna se encuentran los resultados incluyendo solamente las actividades programadas por las áreas para el periodo objeto de medición.</t>
        </r>
      </text>
    </comment>
    <comment ref="N101" authorId="2" shapeId="0" xr:uid="{D5415661-18A6-4E16-8F8D-F929E6EA7A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1" authorId="2" shapeId="0" xr:uid="{D62BB65C-19FA-4F64-AC22-1051E25AD838}">
      <text>
        <r>
          <rPr>
            <sz val="9"/>
            <color indexed="81"/>
            <rFont val="Tahoma"/>
            <family val="2"/>
          </rPr>
          <t>Réplica del anterior. 
En esta columna se encuentran los resultados incluyendo solamente las actividades programadas por las áreas para el periodo objeto de medición.</t>
        </r>
      </text>
    </comment>
    <comment ref="V101" authorId="2" shapeId="0" xr:uid="{7176EB2B-B1AF-4A3F-BC72-5120542961E1}">
      <text>
        <r>
          <rPr>
            <sz val="9"/>
            <color indexed="81"/>
            <rFont val="Tahoma"/>
            <family val="2"/>
          </rPr>
          <t>Réplica del anterior. 
En esta columna se encuentran los resultados incluyendo solamente las actividades programadas por las áreas para el periodo objeto de medición.</t>
        </r>
      </text>
    </comment>
    <comment ref="AC101" authorId="2" shapeId="0" xr:uid="{B0B5E2C2-6218-48BB-BDB1-90A7235A5101}">
      <text>
        <r>
          <rPr>
            <sz val="9"/>
            <color indexed="81"/>
            <rFont val="Tahoma"/>
            <family val="2"/>
          </rPr>
          <t>Réplica del anterior. 
En esta columna se encuentran los resultados incluyendo solamente las actividades programadas por las áreas para el periodo objeto de medición.</t>
        </r>
      </text>
    </comment>
    <comment ref="N102" authorId="2" shapeId="0" xr:uid="{33FD75F1-0CBA-4A1D-81CD-7EE01CC50D6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2" authorId="2" shapeId="0" xr:uid="{2DE7BE83-82FF-4B1F-A711-89748510E6F1}">
      <text>
        <r>
          <rPr>
            <sz val="9"/>
            <color indexed="81"/>
            <rFont val="Tahoma"/>
            <family val="2"/>
          </rPr>
          <t>Réplica del anterior. 
En esta columna se encuentran los resultados incluyendo solamente las actividades programadas por las áreas para el periodo objeto de medición.</t>
        </r>
      </text>
    </comment>
    <comment ref="V102" authorId="2" shapeId="0" xr:uid="{7B99424B-C818-4AB2-BCF0-DF3ABC55CF57}">
      <text>
        <r>
          <rPr>
            <sz val="9"/>
            <color indexed="81"/>
            <rFont val="Tahoma"/>
            <family val="2"/>
          </rPr>
          <t>Réplica del anterior. 
En esta columna se encuentran los resultados incluyendo solamente las actividades programadas por las áreas para el periodo objeto de medición.</t>
        </r>
      </text>
    </comment>
    <comment ref="AC102" authorId="2" shapeId="0" xr:uid="{36969575-9EB5-4D81-B71E-8E8DE41B6115}">
      <text>
        <r>
          <rPr>
            <sz val="9"/>
            <color indexed="81"/>
            <rFont val="Tahoma"/>
            <family val="2"/>
          </rPr>
          <t>Réplica del anterior. 
En esta columna se encuentran los resultados incluyendo solamente las actividades programadas por las áreas para el periodo objeto de medición.</t>
        </r>
      </text>
    </comment>
    <comment ref="N103" authorId="2" shapeId="0" xr:uid="{107F3909-1AE9-4F24-8C5F-4FEDFF5138C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3" authorId="2" shapeId="0" xr:uid="{FB186B78-1DDA-4A5C-8158-06E4254101F3}">
      <text>
        <r>
          <rPr>
            <sz val="9"/>
            <color indexed="81"/>
            <rFont val="Tahoma"/>
            <family val="2"/>
          </rPr>
          <t>Réplica del anterior. 
En esta columna se encuentran los resultados incluyendo solamente las actividades programadas por las áreas para el periodo objeto de medición.</t>
        </r>
      </text>
    </comment>
    <comment ref="V103" authorId="2" shapeId="0" xr:uid="{21998909-E14A-48F9-BB94-2B3FE323E1F6}">
      <text>
        <r>
          <rPr>
            <sz val="9"/>
            <color indexed="81"/>
            <rFont val="Tahoma"/>
            <family val="2"/>
          </rPr>
          <t>Réplica del anterior. 
En esta columna se encuentran los resultados incluyendo solamente las actividades programadas por las áreas para el periodo objeto de medición.</t>
        </r>
      </text>
    </comment>
    <comment ref="AC103" authorId="2" shapeId="0" xr:uid="{B69EC5BB-31F0-419B-AA73-0C34AEF8AAAC}">
      <text>
        <r>
          <rPr>
            <sz val="9"/>
            <color indexed="81"/>
            <rFont val="Tahoma"/>
            <family val="2"/>
          </rPr>
          <t>Réplica del anterior. 
En esta columna se encuentran los resultados incluyendo solamente las actividades programadas por las áreas para el periodo objeto de medición.</t>
        </r>
      </text>
    </comment>
    <comment ref="N104" authorId="2" shapeId="0" xr:uid="{46206B99-8D00-40E3-A1D7-27F13174C88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4" authorId="2" shapeId="0" xr:uid="{4EFF9F48-AEF4-4C08-A614-F6A1299F0A5C}">
      <text>
        <r>
          <rPr>
            <sz val="9"/>
            <color indexed="81"/>
            <rFont val="Tahoma"/>
            <family val="2"/>
          </rPr>
          <t>Réplica del anterior. 
En esta columna se encuentran los resultados incluyendo solamente las actividades programadas por las áreas para el periodo objeto de medición.</t>
        </r>
      </text>
    </comment>
    <comment ref="V104" authorId="2" shapeId="0" xr:uid="{B13B688B-1F7E-48AB-8182-1BE7C039949B}">
      <text>
        <r>
          <rPr>
            <sz val="9"/>
            <color indexed="81"/>
            <rFont val="Tahoma"/>
            <family val="2"/>
          </rPr>
          <t>Réplica del anterior. 
En esta columna se encuentran los resultados incluyendo solamente las actividades programadas por las áreas para el periodo objeto de medición.</t>
        </r>
      </text>
    </comment>
    <comment ref="AC104" authorId="2" shapeId="0" xr:uid="{BF6A1768-493E-4641-B42E-2D8D7FC0D489}">
      <text>
        <r>
          <rPr>
            <sz val="9"/>
            <color indexed="81"/>
            <rFont val="Tahoma"/>
            <family val="2"/>
          </rPr>
          <t>Réplica del anterior. 
En esta columna se encuentran los resultados incluyendo solamente las actividades programadas por las áreas para el periodo objeto de medición.</t>
        </r>
      </text>
    </comment>
    <comment ref="N105" authorId="2" shapeId="0" xr:uid="{1BB22464-0015-4AE5-A4E6-0E2F487F98D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5" authorId="2" shapeId="0" xr:uid="{64E68D7B-4933-4DCB-8D42-39D4FE3E8890}">
      <text>
        <r>
          <rPr>
            <sz val="9"/>
            <color indexed="81"/>
            <rFont val="Tahoma"/>
            <family val="2"/>
          </rPr>
          <t>Réplica del anterior. 
En esta columna se encuentran los resultados incluyendo solamente las actividades programadas por las áreas para el periodo objeto de medición.</t>
        </r>
      </text>
    </comment>
    <comment ref="V105" authorId="2" shapeId="0" xr:uid="{FECC324B-39DB-4433-8E01-4AE57D6851A1}">
      <text>
        <r>
          <rPr>
            <sz val="9"/>
            <color indexed="81"/>
            <rFont val="Tahoma"/>
            <family val="2"/>
          </rPr>
          <t>Réplica del anterior. 
En esta columna se encuentran los resultados incluyendo solamente las actividades programadas por las áreas para el periodo objeto de medición.</t>
        </r>
      </text>
    </comment>
    <comment ref="AC105" authorId="2" shapeId="0" xr:uid="{12725AFE-4A9D-4E68-9869-7B5493C748BE}">
      <text>
        <r>
          <rPr>
            <sz val="9"/>
            <color indexed="81"/>
            <rFont val="Tahoma"/>
            <family val="2"/>
          </rPr>
          <t>Réplica del anterior. 
En esta columna se encuentran los resultados incluyendo solamente las actividades programadas por las áreas para el periodo objeto de medición.</t>
        </r>
      </text>
    </comment>
    <comment ref="N106" authorId="2" shapeId="0" xr:uid="{5C9FC683-86E5-4E43-A11F-7845E008AA1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6" authorId="2" shapeId="0" xr:uid="{B3B73F90-2603-4678-B73B-BB4735499071}">
      <text>
        <r>
          <rPr>
            <sz val="9"/>
            <color indexed="81"/>
            <rFont val="Tahoma"/>
            <family val="2"/>
          </rPr>
          <t>Réplica del anterior. 
En esta columna se encuentran los resultados incluyendo solamente las actividades programadas por las áreas para el periodo objeto de medición.</t>
        </r>
      </text>
    </comment>
    <comment ref="V106" authorId="2" shapeId="0" xr:uid="{798FD7B6-CDCD-470F-BA6F-705BC699D404}">
      <text>
        <r>
          <rPr>
            <sz val="9"/>
            <color indexed="81"/>
            <rFont val="Tahoma"/>
            <family val="2"/>
          </rPr>
          <t>Réplica del anterior. 
En esta columna se encuentran los resultados incluyendo solamente las actividades programadas por las áreas para el periodo objeto de medición.</t>
        </r>
      </text>
    </comment>
    <comment ref="AC106" authorId="2" shapeId="0" xr:uid="{50E07EF1-5714-401B-B952-67CADF5488B4}">
      <text>
        <r>
          <rPr>
            <sz val="9"/>
            <color indexed="81"/>
            <rFont val="Tahoma"/>
            <family val="2"/>
          </rPr>
          <t>Réplica del anterior. 
En esta columna se encuentran los resultados incluyendo solamente las actividades programadas por las áreas para el periodo objeto de medición.</t>
        </r>
      </text>
    </comment>
    <comment ref="N107" authorId="2" shapeId="0" xr:uid="{B9BE073D-62C4-4F06-9614-1D88DDAACC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7" authorId="2" shapeId="0" xr:uid="{267E42A1-F4ED-4530-9A99-152BEC8F84BB}">
      <text>
        <r>
          <rPr>
            <sz val="9"/>
            <color indexed="81"/>
            <rFont val="Tahoma"/>
            <family val="2"/>
          </rPr>
          <t>Réplica del anterior. 
En esta columna se encuentran los resultados incluyendo solamente las actividades programadas por las áreas para el periodo objeto de medición.</t>
        </r>
      </text>
    </comment>
    <comment ref="V107" authorId="2" shapeId="0" xr:uid="{CFD211E2-D93E-4A31-929E-2BA223D87756}">
      <text>
        <r>
          <rPr>
            <sz val="9"/>
            <color indexed="81"/>
            <rFont val="Tahoma"/>
            <family val="2"/>
          </rPr>
          <t>Réplica del anterior. 
En esta columna se encuentran los resultados incluyendo solamente las actividades programadas por las áreas para el periodo objeto de medición.</t>
        </r>
      </text>
    </comment>
    <comment ref="AC107" authorId="2" shapeId="0" xr:uid="{681D93B0-EA4F-43C1-B030-8933E21BD7C4}">
      <text>
        <r>
          <rPr>
            <sz val="9"/>
            <color indexed="81"/>
            <rFont val="Tahoma"/>
            <family val="2"/>
          </rPr>
          <t>Réplica del anterior. 
En esta columna se encuentran los resultados incluyendo solamente las actividades programadas por las áreas para el periodo objeto de medición.</t>
        </r>
      </text>
    </comment>
    <comment ref="N108" authorId="2" shapeId="0" xr:uid="{EB325BD1-85DE-440C-85F1-55A380A80DA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8" authorId="2" shapeId="0" xr:uid="{875A76BC-58FD-41EE-A40B-B8B4B67B2E94}">
      <text>
        <r>
          <rPr>
            <sz val="9"/>
            <color indexed="81"/>
            <rFont val="Tahoma"/>
            <family val="2"/>
          </rPr>
          <t>Réplica del anterior. 
En esta columna se encuentran los resultados incluyendo solamente las actividades programadas por las áreas para el periodo objeto de medición.</t>
        </r>
      </text>
    </comment>
    <comment ref="V108" authorId="2" shapeId="0" xr:uid="{2E24A13B-359B-45F3-ABC0-74082AFB1E6C}">
      <text>
        <r>
          <rPr>
            <sz val="9"/>
            <color indexed="81"/>
            <rFont val="Tahoma"/>
            <family val="2"/>
          </rPr>
          <t>Réplica del anterior. 
En esta columna se encuentran los resultados incluyendo solamente las actividades programadas por las áreas para el periodo objeto de medición.</t>
        </r>
      </text>
    </comment>
    <comment ref="AC108" authorId="2" shapeId="0" xr:uid="{A99C2F4C-19E8-431C-9A7F-B58F2BB26DED}">
      <text>
        <r>
          <rPr>
            <sz val="9"/>
            <color indexed="81"/>
            <rFont val="Tahoma"/>
            <family val="2"/>
          </rPr>
          <t>Réplica del anterior. 
En esta columna se encuentran los resultados incluyendo solamente las actividades programadas por las áreas para el periodo objeto de medición.</t>
        </r>
      </text>
    </comment>
    <comment ref="N109" authorId="2" shapeId="0" xr:uid="{ECA9B363-8DC1-46B6-8A6D-48CE849E443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9" authorId="2" shapeId="0" xr:uid="{C192324E-68AD-4060-A06C-5B6E4BD9B6C3}">
      <text>
        <r>
          <rPr>
            <sz val="9"/>
            <color indexed="81"/>
            <rFont val="Tahoma"/>
            <family val="2"/>
          </rPr>
          <t>Réplica del anterior. 
En esta columna se encuentran los resultados incluyendo solamente las actividades programadas por las áreas para el periodo objeto de medición.</t>
        </r>
      </text>
    </comment>
    <comment ref="V109" authorId="2" shapeId="0" xr:uid="{4B33F970-AC3A-4E3D-B2FF-F15A7134F439}">
      <text>
        <r>
          <rPr>
            <sz val="9"/>
            <color indexed="81"/>
            <rFont val="Tahoma"/>
            <family val="2"/>
          </rPr>
          <t>Réplica del anterior. 
En esta columna se encuentran los resultados incluyendo solamente las actividades programadas por las áreas para el periodo objeto de medición.</t>
        </r>
      </text>
    </comment>
    <comment ref="AC109" authorId="2" shapeId="0" xr:uid="{4E73F7D1-9546-4639-8355-C3795E74488A}">
      <text>
        <r>
          <rPr>
            <sz val="9"/>
            <color indexed="81"/>
            <rFont val="Tahoma"/>
            <family val="2"/>
          </rPr>
          <t>Réplica del anterior. 
En esta columna se encuentran los resultados incluyendo solamente las actividades programadas por las áreas para el periodo objeto de medición.</t>
        </r>
      </text>
    </comment>
    <comment ref="N110" authorId="2" shapeId="0" xr:uid="{66066B70-4820-4CCB-B1EE-D6451AC880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0" authorId="2" shapeId="0" xr:uid="{025BA891-E644-4314-8BC1-5BD97EF488E3}">
      <text>
        <r>
          <rPr>
            <sz val="9"/>
            <color indexed="81"/>
            <rFont val="Tahoma"/>
            <family val="2"/>
          </rPr>
          <t>Réplica del anterior. 
En esta columna se encuentran los resultados incluyendo solamente las actividades programadas por las áreas para el periodo objeto de medición.</t>
        </r>
      </text>
    </comment>
    <comment ref="V110" authorId="2" shapeId="0" xr:uid="{F438D535-7FF5-4151-9C60-6DA65D0939A6}">
      <text>
        <r>
          <rPr>
            <sz val="9"/>
            <color indexed="81"/>
            <rFont val="Tahoma"/>
            <family val="2"/>
          </rPr>
          <t>Réplica del anterior. 
En esta columna se encuentran los resultados incluyendo solamente las actividades programadas por las áreas para el periodo objeto de medición.</t>
        </r>
      </text>
    </comment>
    <comment ref="AC110" authorId="2" shapeId="0" xr:uid="{C01FB5DC-E7C0-48AE-AAB4-E6CFFE3B3080}">
      <text>
        <r>
          <rPr>
            <sz val="9"/>
            <color indexed="81"/>
            <rFont val="Tahoma"/>
            <family val="2"/>
          </rPr>
          <t>Réplica del anterior. 
En esta columna se encuentran los resultados incluyendo solamente las actividades programadas por las áreas para el periodo objeto de medición.</t>
        </r>
      </text>
    </comment>
    <comment ref="N111" authorId="2" shapeId="0" xr:uid="{9931B6DD-B616-44CE-AE67-831F9495614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1" authorId="2" shapeId="0" xr:uid="{C4C4379D-7C71-4271-B6A7-82A34C1DF9F7}">
      <text>
        <r>
          <rPr>
            <sz val="9"/>
            <color indexed="81"/>
            <rFont val="Tahoma"/>
            <family val="2"/>
          </rPr>
          <t>Réplica del anterior. 
En esta columna se encuentran los resultados incluyendo solamente las actividades programadas por las áreas para el periodo objeto de medición.</t>
        </r>
      </text>
    </comment>
    <comment ref="V111" authorId="2" shapeId="0" xr:uid="{CB08A973-9780-44AA-8BEB-245944129CC0}">
      <text>
        <r>
          <rPr>
            <sz val="9"/>
            <color indexed="81"/>
            <rFont val="Tahoma"/>
            <family val="2"/>
          </rPr>
          <t>Réplica del anterior. 
En esta columna se encuentran los resultados incluyendo solamente las actividades programadas por las áreas para el periodo objeto de medición.</t>
        </r>
      </text>
    </comment>
    <comment ref="AC111" authorId="2" shapeId="0" xr:uid="{EFC7FA8E-AEF9-42C4-97A9-67C386F3764C}">
      <text>
        <r>
          <rPr>
            <sz val="9"/>
            <color indexed="81"/>
            <rFont val="Tahoma"/>
            <family val="2"/>
          </rPr>
          <t>Réplica del anterior. 
En esta columna se encuentran los resultados incluyendo solamente las actividades programadas por las áreas para el periodo objeto de medición.</t>
        </r>
      </text>
    </comment>
    <comment ref="N112" authorId="2" shapeId="0" xr:uid="{63D4113C-0951-4B0A-A71C-3CE677EF20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2" authorId="2" shapeId="0" xr:uid="{1F922496-C8C2-4916-9FFD-4DFA0FB3C087}">
      <text>
        <r>
          <rPr>
            <sz val="9"/>
            <color indexed="81"/>
            <rFont val="Tahoma"/>
            <family val="2"/>
          </rPr>
          <t>Réplica del anterior. 
En esta columna se encuentran los resultados incluyendo solamente las actividades programadas por las áreas para el periodo objeto de medición.</t>
        </r>
      </text>
    </comment>
    <comment ref="V112" authorId="2" shapeId="0" xr:uid="{94C66E4D-DB34-4CE5-8698-77BC3D182116}">
      <text>
        <r>
          <rPr>
            <sz val="9"/>
            <color indexed="81"/>
            <rFont val="Tahoma"/>
            <family val="2"/>
          </rPr>
          <t>Réplica del anterior. 
En esta columna se encuentran los resultados incluyendo solamente las actividades programadas por las áreas para el periodo objeto de medición.</t>
        </r>
      </text>
    </comment>
    <comment ref="AC112" authorId="2" shapeId="0" xr:uid="{069C83F8-7B67-4FD9-9185-74EDCEF9BF6D}">
      <text>
        <r>
          <rPr>
            <sz val="9"/>
            <color indexed="81"/>
            <rFont val="Tahoma"/>
            <family val="2"/>
          </rPr>
          <t>Réplica del anterior. 
En esta columna se encuentran los resultados incluyendo solamente las actividades programadas por las áreas para el periodo objeto de medición.</t>
        </r>
      </text>
    </comment>
    <comment ref="N113" authorId="2" shapeId="0" xr:uid="{BDC79299-1C18-49AD-B7BC-4FE04E6339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3" authorId="2" shapeId="0" xr:uid="{A02EB300-2F2C-4C9A-81C8-2A36FCFDA21A}">
      <text>
        <r>
          <rPr>
            <sz val="9"/>
            <color indexed="81"/>
            <rFont val="Tahoma"/>
            <family val="2"/>
          </rPr>
          <t>Réplica del anterior. 
En esta columna se encuentran los resultados incluyendo solamente las actividades programadas por las áreas para el periodo objeto de medición.</t>
        </r>
      </text>
    </comment>
    <comment ref="V113" authorId="2" shapeId="0" xr:uid="{030C8668-82A2-4F6D-8D46-DAEB890BE392}">
      <text>
        <r>
          <rPr>
            <sz val="9"/>
            <color indexed="81"/>
            <rFont val="Tahoma"/>
            <family val="2"/>
          </rPr>
          <t>Réplica del anterior. 
En esta columna se encuentran los resultados incluyendo solamente las actividades programadas por las áreas para el periodo objeto de medición.</t>
        </r>
      </text>
    </comment>
    <comment ref="AC113" authorId="2" shapeId="0" xr:uid="{891C04E1-94F1-46FE-8323-39FF7E2EA4E2}">
      <text>
        <r>
          <rPr>
            <sz val="9"/>
            <color indexed="81"/>
            <rFont val="Tahoma"/>
            <family val="2"/>
          </rPr>
          <t>Réplica del anterior. 
En esta columna se encuentran los resultados incluyendo solamente las actividades programadas por las áreas para el periodo objeto de medición.</t>
        </r>
      </text>
    </comment>
    <comment ref="N114" authorId="2" shapeId="0" xr:uid="{98C9C7F9-2C8D-4CB3-86AD-39CBBA8A022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4" authorId="2" shapeId="0" xr:uid="{DF3C6CC9-AFAD-43C1-8C2E-FF86738739BB}">
      <text>
        <r>
          <rPr>
            <sz val="9"/>
            <color indexed="81"/>
            <rFont val="Tahoma"/>
            <family val="2"/>
          </rPr>
          <t>Réplica del anterior. 
En esta columna se encuentran los resultados incluyendo solamente las actividades programadas por las áreas para el periodo objeto de medición.</t>
        </r>
      </text>
    </comment>
    <comment ref="V114" authorId="2" shapeId="0" xr:uid="{B12C889D-03AB-4E83-B46F-EFB7FFC8F61A}">
      <text>
        <r>
          <rPr>
            <sz val="9"/>
            <color indexed="81"/>
            <rFont val="Tahoma"/>
            <family val="2"/>
          </rPr>
          <t>Réplica del anterior. 
En esta columna se encuentran los resultados incluyendo solamente las actividades programadas por las áreas para el periodo objeto de medición.</t>
        </r>
      </text>
    </comment>
    <comment ref="AC114" authorId="2" shapeId="0" xr:uid="{DF409206-9B89-493F-9778-E6503FC5EE31}">
      <text>
        <r>
          <rPr>
            <sz val="9"/>
            <color indexed="81"/>
            <rFont val="Tahoma"/>
            <family val="2"/>
          </rPr>
          <t>Réplica del anterior. 
En esta columna se encuentran los resultados incluyendo solamente las actividades programadas por las áreas para el periodo objeto de medición.</t>
        </r>
      </text>
    </comment>
    <comment ref="N115" authorId="2" shapeId="0" xr:uid="{A05E5033-6F6B-427A-A99C-1261B8DDE49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5" authorId="2" shapeId="0" xr:uid="{C4708418-DAB9-4E62-9491-ADC60A566BB7}">
      <text>
        <r>
          <rPr>
            <sz val="9"/>
            <color indexed="81"/>
            <rFont val="Tahoma"/>
            <family val="2"/>
          </rPr>
          <t>Réplica del anterior. 
En esta columna se encuentran los resultados incluyendo solamente las actividades programadas por las áreas para el periodo objeto de medición.</t>
        </r>
      </text>
    </comment>
    <comment ref="V115" authorId="2" shapeId="0" xr:uid="{68AC3F81-117B-4855-8438-25ED1DAD5E8B}">
      <text>
        <r>
          <rPr>
            <sz val="9"/>
            <color indexed="81"/>
            <rFont val="Tahoma"/>
            <family val="2"/>
          </rPr>
          <t>Réplica del anterior. 
En esta columna se encuentran los resultados incluyendo solamente las actividades programadas por las áreas para el periodo objeto de medición.</t>
        </r>
      </text>
    </comment>
    <comment ref="AC115" authorId="2" shapeId="0" xr:uid="{1A189121-7C6D-4F96-815C-3EFE1A29395D}">
      <text>
        <r>
          <rPr>
            <sz val="9"/>
            <color indexed="81"/>
            <rFont val="Tahoma"/>
            <family val="2"/>
          </rPr>
          <t>Réplica del anterior. 
En esta columna se encuentran los resultados incluyendo solamente las actividades programadas por las áreas para el periodo objeto de medición.</t>
        </r>
      </text>
    </comment>
    <comment ref="N116" authorId="2" shapeId="0" xr:uid="{103CA3BE-5F1B-4F55-8D01-D9CA9B1028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6" authorId="2" shapeId="0" xr:uid="{A62F19AD-1D96-4D9D-A927-A7CE8B0F0817}">
      <text>
        <r>
          <rPr>
            <sz val="9"/>
            <color indexed="81"/>
            <rFont val="Tahoma"/>
            <family val="2"/>
          </rPr>
          <t>Réplica del anterior. 
En esta columna se encuentran los resultados incluyendo solamente las actividades programadas por las áreas para el periodo objeto de medición.</t>
        </r>
      </text>
    </comment>
    <comment ref="V116" authorId="2" shapeId="0" xr:uid="{C68102C7-5A3F-4FC2-A097-6594551A53CE}">
      <text>
        <r>
          <rPr>
            <sz val="9"/>
            <color indexed="81"/>
            <rFont val="Tahoma"/>
            <family val="2"/>
          </rPr>
          <t>Réplica del anterior. 
En esta columna se encuentran los resultados incluyendo solamente las actividades programadas por las áreas para el periodo objeto de medición.</t>
        </r>
      </text>
    </comment>
    <comment ref="AC116" authorId="2" shapeId="0" xr:uid="{7803A51F-624E-45D5-985E-836B58ADC2B7}">
      <text>
        <r>
          <rPr>
            <sz val="9"/>
            <color indexed="81"/>
            <rFont val="Tahoma"/>
            <family val="2"/>
          </rPr>
          <t>Réplica del anterior. 
En esta columna se encuentran los resultados incluyendo solamente las actividades programadas por las áreas para el periodo objeto de medición.</t>
        </r>
      </text>
    </comment>
    <comment ref="N117" authorId="2" shapeId="0" xr:uid="{6C2BDC6C-0571-4E0F-8C14-A0B9B7DB5D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7" authorId="2" shapeId="0" xr:uid="{9A992890-7102-412F-98FC-36F9077FD958}">
      <text>
        <r>
          <rPr>
            <sz val="9"/>
            <color indexed="81"/>
            <rFont val="Tahoma"/>
            <family val="2"/>
          </rPr>
          <t>Réplica del anterior. 
En esta columna se encuentran los resultados incluyendo solamente las actividades programadas por las áreas para el periodo objeto de medición.</t>
        </r>
      </text>
    </comment>
    <comment ref="V117" authorId="2" shapeId="0" xr:uid="{BCF20046-DA29-4DDE-9F61-09730A5A6165}">
      <text>
        <r>
          <rPr>
            <sz val="9"/>
            <color indexed="81"/>
            <rFont val="Tahoma"/>
            <family val="2"/>
          </rPr>
          <t>Réplica del anterior. 
En esta columna se encuentran los resultados incluyendo solamente las actividades programadas por las áreas para el periodo objeto de medición.</t>
        </r>
      </text>
    </comment>
    <comment ref="AC117" authorId="2" shapeId="0" xr:uid="{8E0CC893-8871-4C74-8B51-612B7F3BFA55}">
      <text>
        <r>
          <rPr>
            <sz val="9"/>
            <color indexed="81"/>
            <rFont val="Tahoma"/>
            <family val="2"/>
          </rPr>
          <t>Réplica del anterior. 
En esta columna se encuentran los resultados incluyendo solamente las actividades programadas por las áreas para el periodo objeto de medición.</t>
        </r>
      </text>
    </comment>
    <comment ref="N118" authorId="2" shapeId="0" xr:uid="{F83A703E-B72D-448B-BCAA-F8FEC02D42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8" authorId="2" shapeId="0" xr:uid="{41D85BA4-9437-4019-B568-9C9ADB1ED548}">
      <text>
        <r>
          <rPr>
            <sz val="9"/>
            <color indexed="81"/>
            <rFont val="Tahoma"/>
            <family val="2"/>
          </rPr>
          <t>Réplica del anterior. 
En esta columna se encuentran los resultados incluyendo solamente las actividades programadas por las áreas para el periodo objeto de medición.</t>
        </r>
      </text>
    </comment>
    <comment ref="V118" authorId="2" shapeId="0" xr:uid="{0446801B-3628-4538-A637-68E85B015E7F}">
      <text>
        <r>
          <rPr>
            <sz val="9"/>
            <color indexed="81"/>
            <rFont val="Tahoma"/>
            <family val="2"/>
          </rPr>
          <t>Réplica del anterior. 
En esta columna se encuentran los resultados incluyendo solamente las actividades programadas por las áreas para el periodo objeto de medición.</t>
        </r>
      </text>
    </comment>
    <comment ref="AC118" authorId="2" shapeId="0" xr:uid="{59BA01C0-9545-4627-A532-55C200FE5235}">
      <text>
        <r>
          <rPr>
            <sz val="9"/>
            <color indexed="81"/>
            <rFont val="Tahoma"/>
            <family val="2"/>
          </rPr>
          <t>Réplica del anterior. 
En esta columna se encuentran los resultados incluyendo solamente las actividades programadas por las áreas para el periodo objeto de medición.</t>
        </r>
      </text>
    </comment>
    <comment ref="N119" authorId="2" shapeId="0" xr:uid="{D0905A7F-D96F-4964-A75B-7BC8B27A31A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9" authorId="2" shapeId="0" xr:uid="{D67EAD77-F0CE-4CCA-8E94-73FAA8D2809E}">
      <text>
        <r>
          <rPr>
            <sz val="9"/>
            <color indexed="81"/>
            <rFont val="Tahoma"/>
            <family val="2"/>
          </rPr>
          <t>Réplica del anterior. 
En esta columna se encuentran los resultados incluyendo solamente las actividades programadas por las áreas para el periodo objeto de medición.</t>
        </r>
      </text>
    </comment>
    <comment ref="V119" authorId="2" shapeId="0" xr:uid="{102B3EF8-C5EF-403F-8B52-E12447D1C99E}">
      <text>
        <r>
          <rPr>
            <sz val="9"/>
            <color indexed="81"/>
            <rFont val="Tahoma"/>
            <family val="2"/>
          </rPr>
          <t>Réplica del anterior. 
En esta columna se encuentran los resultados incluyendo solamente las actividades programadas por las áreas para el periodo objeto de medición.</t>
        </r>
      </text>
    </comment>
    <comment ref="AC119" authorId="2" shapeId="0" xr:uid="{9C399C18-5F89-4660-862F-C127579580C7}">
      <text>
        <r>
          <rPr>
            <sz val="9"/>
            <color indexed="81"/>
            <rFont val="Tahoma"/>
            <family val="2"/>
          </rPr>
          <t>Réplica del anterior. 
En esta columna se encuentran los resultados incluyendo solamente las actividades programadas por las áreas para el periodo objeto de medición.</t>
        </r>
      </text>
    </comment>
    <comment ref="N120" authorId="2" shapeId="0" xr:uid="{848C4C6A-B0AE-4011-BF56-AC04A34575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0" authorId="2" shapeId="0" xr:uid="{0D21B763-92E4-4EC2-9D30-B02E6F62F731}">
      <text>
        <r>
          <rPr>
            <sz val="9"/>
            <color indexed="81"/>
            <rFont val="Tahoma"/>
            <family val="2"/>
          </rPr>
          <t>Réplica del anterior. 
En esta columna se encuentran los resultados incluyendo solamente las actividades programadas por las áreas para el periodo objeto de medición.</t>
        </r>
      </text>
    </comment>
    <comment ref="V120" authorId="2" shapeId="0" xr:uid="{5AC792D7-3E23-4F94-845F-A0B68ED46837}">
      <text>
        <r>
          <rPr>
            <sz val="9"/>
            <color indexed="81"/>
            <rFont val="Tahoma"/>
            <family val="2"/>
          </rPr>
          <t>Réplica del anterior. 
En esta columna se encuentran los resultados incluyendo solamente las actividades programadas por las áreas para el periodo objeto de medición.</t>
        </r>
      </text>
    </comment>
    <comment ref="AC120" authorId="2" shapeId="0" xr:uid="{27CCB811-1285-42B8-8DF9-E3B77635539A}">
      <text>
        <r>
          <rPr>
            <sz val="9"/>
            <color indexed="81"/>
            <rFont val="Tahoma"/>
            <family val="2"/>
          </rPr>
          <t>Réplica del anterior. 
En esta columna se encuentran los resultados incluyendo solamente las actividades programadas por las áreas para el periodo objeto de medición.</t>
        </r>
      </text>
    </comment>
    <comment ref="N121" authorId="2" shapeId="0" xr:uid="{4278C478-5ADE-47EA-9014-D7A57F8FE5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1" authorId="2" shapeId="0" xr:uid="{8B43D008-90EF-45C1-B3A3-9D2BCF5E058E}">
      <text>
        <r>
          <rPr>
            <sz val="9"/>
            <color indexed="81"/>
            <rFont val="Tahoma"/>
            <family val="2"/>
          </rPr>
          <t>Réplica del anterior. 
En esta columna se encuentran los resultados incluyendo solamente las actividades programadas por las áreas para el periodo objeto de medición.</t>
        </r>
      </text>
    </comment>
    <comment ref="V121" authorId="2" shapeId="0" xr:uid="{4E088BB8-F5FF-4629-B1CB-30C3A511E1D8}">
      <text>
        <r>
          <rPr>
            <sz val="9"/>
            <color indexed="81"/>
            <rFont val="Tahoma"/>
            <family val="2"/>
          </rPr>
          <t>Réplica del anterior. 
En esta columna se encuentran los resultados incluyendo solamente las actividades programadas por las áreas para el periodo objeto de medición.</t>
        </r>
      </text>
    </comment>
    <comment ref="AC121" authorId="2" shapeId="0" xr:uid="{D6F9047A-FE3B-4661-AD8C-A58D78DF7B63}">
      <text>
        <r>
          <rPr>
            <sz val="9"/>
            <color indexed="81"/>
            <rFont val="Tahoma"/>
            <family val="2"/>
          </rPr>
          <t>Réplica del anterior. 
En esta columna se encuentran los resultados incluyendo solamente las actividades programadas por las áreas para el periodo objeto de medición.</t>
        </r>
      </text>
    </comment>
    <comment ref="N122" authorId="2" shapeId="0" xr:uid="{19F48FAC-9876-49E4-A69F-F77BF57F408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2" authorId="2" shapeId="0" xr:uid="{8209DDDE-BED3-410A-8FAC-C226C98652B1}">
      <text>
        <r>
          <rPr>
            <sz val="9"/>
            <color indexed="81"/>
            <rFont val="Tahoma"/>
            <family val="2"/>
          </rPr>
          <t>Réplica del anterior. 
En esta columna se encuentran los resultados incluyendo solamente las actividades programadas por las áreas para el periodo objeto de medición.</t>
        </r>
      </text>
    </comment>
    <comment ref="V122" authorId="2" shapeId="0" xr:uid="{0CFD9A83-59B7-4549-AB53-11813DE0394D}">
      <text>
        <r>
          <rPr>
            <sz val="9"/>
            <color indexed="81"/>
            <rFont val="Tahoma"/>
            <family val="2"/>
          </rPr>
          <t>Réplica del anterior. 
En esta columna se encuentran los resultados incluyendo solamente las actividades programadas por las áreas para el periodo objeto de medición.</t>
        </r>
      </text>
    </comment>
    <comment ref="AC122" authorId="2" shapeId="0" xr:uid="{4EBDD826-2668-4530-A4E7-5283DF6162E6}">
      <text>
        <r>
          <rPr>
            <sz val="9"/>
            <color indexed="81"/>
            <rFont val="Tahoma"/>
            <family val="2"/>
          </rPr>
          <t>Réplica del anterior. 
En esta columna se encuentran los resultados incluyendo solamente las actividades programadas por las áreas para el periodo objeto de medición.</t>
        </r>
      </text>
    </comment>
    <comment ref="N123" authorId="2" shapeId="0" xr:uid="{9D333A71-31C7-4D2C-A285-E24149B517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3" authorId="2" shapeId="0" xr:uid="{FFC2CAF9-E21A-40B4-A5D5-0BA8600AC7EB}">
      <text>
        <r>
          <rPr>
            <sz val="9"/>
            <color indexed="81"/>
            <rFont val="Tahoma"/>
            <family val="2"/>
          </rPr>
          <t>Réplica del anterior. 
En esta columna se encuentran los resultados incluyendo solamente las actividades programadas por las áreas para el periodo objeto de medición.</t>
        </r>
      </text>
    </comment>
    <comment ref="V123" authorId="2" shapeId="0" xr:uid="{97269D4D-F6A2-4CD3-A087-2C34DBFF60FE}">
      <text>
        <r>
          <rPr>
            <sz val="9"/>
            <color indexed="81"/>
            <rFont val="Tahoma"/>
            <family val="2"/>
          </rPr>
          <t>Réplica del anterior. 
En esta columna se encuentran los resultados incluyendo solamente las actividades programadas por las áreas para el periodo objeto de medición.</t>
        </r>
      </text>
    </comment>
    <comment ref="AC123" authorId="2" shapeId="0" xr:uid="{3A569E60-85FF-4A3B-8037-BA064C4A7632}">
      <text>
        <r>
          <rPr>
            <sz val="9"/>
            <color indexed="81"/>
            <rFont val="Tahoma"/>
            <family val="2"/>
          </rPr>
          <t>Réplica del anterior. 
En esta columna se encuentran los resultados incluyendo solamente las actividades programadas por las áreas para el periodo objeto de medición.</t>
        </r>
      </text>
    </comment>
    <comment ref="N124" authorId="2" shapeId="0" xr:uid="{C830D9F2-9861-4E73-8C27-DC88C4CF4C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4" authorId="2" shapeId="0" xr:uid="{F107C5D6-805A-4B3F-AD0A-D6DD86DD039A}">
      <text>
        <r>
          <rPr>
            <sz val="9"/>
            <color indexed="81"/>
            <rFont val="Tahoma"/>
            <family val="2"/>
          </rPr>
          <t>Réplica del anterior. 
En esta columna se encuentran los resultados incluyendo solamente las actividades programadas por las áreas para el periodo objeto de medición.</t>
        </r>
      </text>
    </comment>
    <comment ref="V124" authorId="2" shapeId="0" xr:uid="{F6310439-85A3-4CDC-9DBF-9ECF5194D87F}">
      <text>
        <r>
          <rPr>
            <sz val="9"/>
            <color indexed="81"/>
            <rFont val="Tahoma"/>
            <family val="2"/>
          </rPr>
          <t>Réplica del anterior. 
En esta columna se encuentran los resultados incluyendo solamente las actividades programadas por las áreas para el periodo objeto de medición.</t>
        </r>
      </text>
    </comment>
    <comment ref="AC124" authorId="2" shapeId="0" xr:uid="{CD1F54A4-61B6-4F8F-A752-5AFC09D86A3F}">
      <text>
        <r>
          <rPr>
            <sz val="9"/>
            <color indexed="81"/>
            <rFont val="Tahoma"/>
            <family val="2"/>
          </rPr>
          <t>Réplica del anterior. 
En esta columna se encuentran los resultados incluyendo solamente las actividades programadas por las áreas para el periodo objeto de medición.</t>
        </r>
      </text>
    </comment>
    <comment ref="N125" authorId="2" shapeId="0" xr:uid="{EACA4680-78A9-4EA0-832E-B305B36DA79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5" authorId="2" shapeId="0" xr:uid="{85F681BD-E1C9-464A-83F4-3C9F077DCFDA}">
      <text>
        <r>
          <rPr>
            <sz val="9"/>
            <color indexed="81"/>
            <rFont val="Tahoma"/>
            <family val="2"/>
          </rPr>
          <t>Réplica del anterior. 
En esta columna se encuentran los resultados incluyendo solamente las actividades programadas por las áreas para el periodo objeto de medición.</t>
        </r>
      </text>
    </comment>
    <comment ref="V125" authorId="2" shapeId="0" xr:uid="{85671D88-F1C7-48FF-8C26-B9470A806859}">
      <text>
        <r>
          <rPr>
            <sz val="9"/>
            <color indexed="81"/>
            <rFont val="Tahoma"/>
            <family val="2"/>
          </rPr>
          <t>Réplica del anterior. 
En esta columna se encuentran los resultados incluyendo solamente las actividades programadas por las áreas para el periodo objeto de medición.</t>
        </r>
      </text>
    </comment>
    <comment ref="AC125" authorId="2" shapeId="0" xr:uid="{0BA8359C-625E-4C4B-9FB5-E00FC043C531}">
      <text>
        <r>
          <rPr>
            <sz val="9"/>
            <color indexed="81"/>
            <rFont val="Tahoma"/>
            <family val="2"/>
          </rPr>
          <t>Réplica del anterior. 
En esta columna se encuentran los resultados incluyendo solamente las actividades programadas por las áreas para el periodo objeto de medición.</t>
        </r>
      </text>
    </comment>
    <comment ref="N126" authorId="2" shapeId="0" xr:uid="{F3C0DDD9-EDBB-4CD1-957F-91756309FBF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6" authorId="2" shapeId="0" xr:uid="{4945D073-3F10-4981-8509-6E2220064C33}">
      <text>
        <r>
          <rPr>
            <sz val="9"/>
            <color indexed="81"/>
            <rFont val="Tahoma"/>
            <family val="2"/>
          </rPr>
          <t>Réplica del anterior. 
En esta columna se encuentran los resultados incluyendo solamente las actividades programadas por las áreas para el periodo objeto de medición.</t>
        </r>
      </text>
    </comment>
    <comment ref="V126" authorId="2" shapeId="0" xr:uid="{84119994-2818-4259-A1CD-66CA70F32E34}">
      <text>
        <r>
          <rPr>
            <sz val="9"/>
            <color indexed="81"/>
            <rFont val="Tahoma"/>
            <family val="2"/>
          </rPr>
          <t>Réplica del anterior. 
En esta columna se encuentran los resultados incluyendo solamente las actividades programadas por las áreas para el periodo objeto de medición.</t>
        </r>
      </text>
    </comment>
    <comment ref="AC126" authorId="2" shapeId="0" xr:uid="{6B07D08E-AC04-44B7-B0A8-7527356B4478}">
      <text>
        <r>
          <rPr>
            <sz val="9"/>
            <color indexed="81"/>
            <rFont val="Tahoma"/>
            <family val="2"/>
          </rPr>
          <t>Réplica del anterior. 
En esta columna se encuentran los resultados incluyendo solamente las actividades programadas por las áreas para el periodo objeto de medición.</t>
        </r>
      </text>
    </comment>
    <comment ref="N128" authorId="2" shapeId="0" xr:uid="{C2179E28-7AE8-4532-922F-3D0309FFF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29" authorId="2" shapeId="0" xr:uid="{1C9293FA-209A-4577-A21C-424ADD06A1D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0" authorId="2" shapeId="0" xr:uid="{07CFC652-C0C2-4E89-9D29-9B39E8D4D6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1" authorId="2" shapeId="0" xr:uid="{E37D487C-EF88-468B-9BD8-2778906E4B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3" authorId="2" shapeId="0" xr:uid="{72AAF9BF-836A-4B04-A038-E9ED9070DE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4" authorId="2" shapeId="0" xr:uid="{6171A621-823C-46B9-B419-7EFB8FAD49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5" authorId="2" shapeId="0" xr:uid="{FE7F1CFA-07EA-4E99-81F1-44CC3250BC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6" authorId="2" shapeId="0" xr:uid="{A7E52754-90EC-430F-BBDB-584BC05C41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9" authorId="2" shapeId="0" xr:uid="{A8029E61-BD9D-4876-9035-90E9A15CAB0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0" authorId="2" shapeId="0" xr:uid="{7C7826BC-D9CE-4C46-A9E4-E91C96EF111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1" authorId="2" shapeId="0" xr:uid="{54A4B175-DD30-490B-969C-14FA842725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2" authorId="2" shapeId="0" xr:uid="{0E74E390-3447-4839-8119-8B50077CB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3" authorId="2" shapeId="0" xr:uid="{64FC81DA-567E-45EA-9C6E-940993AB219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4" authorId="2" shapeId="0" xr:uid="{B907279F-9A67-440B-8CCF-7DBC180CF7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5" authorId="2" shapeId="0" xr:uid="{350C35CD-5E9A-4281-8D64-6AE356D614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6" authorId="2" shapeId="0" xr:uid="{97C04CB8-5EBB-42AA-8844-2982DE99316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7" authorId="2" shapeId="0" xr:uid="{76F96D8F-91DB-4D26-8F3F-6E587D1949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8" authorId="2" shapeId="0" xr:uid="{1DBD1CA4-1A74-4A4A-B627-F6E613C483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9" authorId="2" shapeId="0" xr:uid="{CD54A507-0B82-403C-98E6-04350C4761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0" authorId="2" shapeId="0" xr:uid="{9E8625A5-45C5-4126-91AA-5B34F4C7B3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1" authorId="2" shapeId="0" xr:uid="{408E2B01-82D7-4363-8D37-CA272D0D45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2" authorId="2" shapeId="0" xr:uid="{2FF026FB-52E1-4B05-B677-E4BAB972AD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3" authorId="2" shapeId="0" xr:uid="{4E76BE6F-5602-4905-9608-7233C0B8256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4" authorId="2" shapeId="0" xr:uid="{810E7849-A9D1-47F0-836D-5A5F478951F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5" authorId="2" shapeId="0" xr:uid="{8680D4CA-1CF4-43E6-9561-71AB243B5B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6" authorId="2" shapeId="0" xr:uid="{59A020DE-92D2-40B4-8CC0-CFF6C9FE54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7" authorId="2" shapeId="0" xr:uid="{D0E403A9-7567-43EB-A194-491EADABE2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8" authorId="2" shapeId="0" xr:uid="{E6BA099B-ECE5-4178-8959-CD47684D538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9" authorId="2" shapeId="0" xr:uid="{8D3657AF-9AED-4D6F-A3C3-85576FD7B08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59" authorId="2" shapeId="0" xr:uid="{500E9F08-4404-448D-A0CC-33994B972404}">
      <text>
        <r>
          <rPr>
            <sz val="9"/>
            <color indexed="81"/>
            <rFont val="Tahoma"/>
            <family val="2"/>
          </rPr>
          <t>Réplica del anterior. 
En esta columna se encuentran los resultados incluyendo solamente las actividades programadas por las áreas para el periodo objeto de medición.</t>
        </r>
      </text>
    </comment>
    <comment ref="AC159" authorId="2" shapeId="0" xr:uid="{F7C4BA03-50D9-4282-BFB2-797F63AF5401}">
      <text>
        <r>
          <rPr>
            <sz val="9"/>
            <color indexed="81"/>
            <rFont val="Tahoma"/>
            <family val="2"/>
          </rPr>
          <t>Réplica del anterior. 
En esta columna se encuentran los resultados incluyendo solamente las actividades programadas por las áreas para el periodo objeto de medición.</t>
        </r>
      </text>
    </comment>
    <comment ref="N160" authorId="2" shapeId="0" xr:uid="{F9DE5E52-639F-4282-A5FC-CDE364A4106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0" authorId="2" shapeId="0" xr:uid="{B9D91462-440C-4C2B-9D4E-DB1FB0B327E9}">
      <text>
        <r>
          <rPr>
            <sz val="9"/>
            <color indexed="81"/>
            <rFont val="Tahoma"/>
            <family val="2"/>
          </rPr>
          <t>Réplica del anterior. 
En esta columna se encuentran los resultados incluyendo solamente las actividades programadas por las áreas para el periodo objeto de medición.</t>
        </r>
      </text>
    </comment>
    <comment ref="N161" authorId="2" shapeId="0" xr:uid="{575DA247-C051-45DE-94E9-50111C46CC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1" authorId="2" shapeId="0" xr:uid="{A851C7EA-8A20-4ED1-A2C1-266A16FBA681}">
      <text>
        <r>
          <rPr>
            <sz val="9"/>
            <color indexed="81"/>
            <rFont val="Tahoma"/>
            <family val="2"/>
          </rPr>
          <t>Réplica del anterior. 
En esta columna se encuentran los resultados incluyendo solamente las actividades programadas por las áreas para el periodo objeto de medición.</t>
        </r>
      </text>
    </comment>
    <comment ref="N162" authorId="2" shapeId="0" xr:uid="{90CAF7F2-F0A3-4D12-A31D-0A370DB798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2" authorId="2" shapeId="0" xr:uid="{757102F3-A28A-4EDB-9450-0B6A9967FDDB}">
      <text>
        <r>
          <rPr>
            <sz val="9"/>
            <color indexed="81"/>
            <rFont val="Tahoma"/>
            <family val="2"/>
          </rPr>
          <t>Réplica del anterior. 
En esta columna se encuentran los resultados incluyendo solamente las actividades programadas por las áreas para el periodo objeto de medición.</t>
        </r>
      </text>
    </comment>
    <comment ref="N163" authorId="2" shapeId="0" xr:uid="{102CB551-80F7-47EC-82DA-C8BD202D90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3" authorId="2" shapeId="0" xr:uid="{E81C02D8-DB81-4851-9C47-19BE9A4685E8}">
      <text>
        <r>
          <rPr>
            <sz val="9"/>
            <color indexed="81"/>
            <rFont val="Tahoma"/>
            <family val="2"/>
          </rPr>
          <t>Réplica del anterior. 
En esta columna se encuentran los resultados incluyendo solamente las actividades programadas por las áreas para el periodo objeto de medición.</t>
        </r>
      </text>
    </comment>
    <comment ref="N164" authorId="2" shapeId="0" xr:uid="{CBB282CA-7EE7-46AC-A368-5C1E00FF05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4" authorId="2" shapeId="0" xr:uid="{4D006279-8B56-4952-BE7D-18F146A420A8}">
      <text>
        <r>
          <rPr>
            <sz val="9"/>
            <color indexed="81"/>
            <rFont val="Tahoma"/>
            <family val="2"/>
          </rPr>
          <t>Réplica del anterior. 
En esta columna se encuentran los resultados incluyendo solamente las actividades programadas por las áreas para el periodo objeto de medición.</t>
        </r>
      </text>
    </comment>
    <comment ref="N165" authorId="2" shapeId="0" xr:uid="{04DF5826-D0E8-435A-962D-2941347A2F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6" authorId="2" shapeId="0" xr:uid="{861CD00A-2D52-446E-8C6F-457F26B904B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7" authorId="2" shapeId="0" xr:uid="{8E337EA5-EC9B-4EF0-BC82-F742B7084BC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8" authorId="2" shapeId="0" xr:uid="{D52CECF8-257D-4A84-9D8B-5A80337CD8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9" authorId="2" shapeId="0" xr:uid="{12FC75A7-4F58-40F7-AEC3-5766EF5133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0" authorId="2" shapeId="0" xr:uid="{6AA524A0-F6E2-4889-A977-737512203D7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1" authorId="2" shapeId="0" xr:uid="{02F8253D-F173-41F1-BC92-2EEB22F532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2" authorId="2" shapeId="0" xr:uid="{D45488C3-D5BC-424C-886D-66E5EC67123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3" authorId="2" shapeId="0" xr:uid="{8D22739F-1A04-462D-8B67-08CEE28A0E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4" authorId="2" shapeId="0" xr:uid="{8DFD03BC-B7AD-438E-A890-E00C649557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5" authorId="2" shapeId="0" xr:uid="{31D1B610-7756-424C-9D60-E8B68931BE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6" authorId="2" shapeId="0" xr:uid="{286DEAAC-0B21-4F53-805C-7FBAA9AE1E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7" authorId="2" shapeId="0" xr:uid="{6AD7D1E7-AFBC-4D73-91F7-497C4588D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8" authorId="2" shapeId="0" xr:uid="{88016036-8105-4B53-BB21-925E023EF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9" authorId="2" shapeId="0" xr:uid="{C55BA21A-962D-47F0-82AE-E43CBD76EA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0" authorId="2" shapeId="0" xr:uid="{911D54ED-AD17-48CB-AB36-920FFF84123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1" authorId="2" shapeId="0" xr:uid="{1C5A4F37-2A99-45A2-99B6-8948239866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2" authorId="2" shapeId="0" xr:uid="{C9E94E25-E69C-4A85-AEA0-E69693F177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3" authorId="2" shapeId="0" xr:uid="{70E5C028-CD3B-462B-A264-0AA3F3C5FC1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4" authorId="2" shapeId="0" xr:uid="{C124138D-81FD-4F59-BD8D-598C3AD818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5" authorId="2" shapeId="0" xr:uid="{CAD97673-204B-49F0-BA7B-7F6E26B1C2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6" authorId="2" shapeId="0" xr:uid="{C8E1E674-34DE-4B90-9104-4AEC14F2AB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7" authorId="2" shapeId="0" xr:uid="{55E7007B-ABEC-4CFB-B54D-5031343AAF7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8" authorId="2" shapeId="0" xr:uid="{AD70B5A5-5E53-4233-B2E9-B0211D8741F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9" authorId="2" shapeId="0" xr:uid="{23FF4435-D9B7-4B42-B4DD-37DB8A9A23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0" authorId="2" shapeId="0" xr:uid="{D3B65C98-248D-435C-88DC-95C57EFBF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1" authorId="2" shapeId="0" xr:uid="{358B1C90-8CF4-4FFD-BF9E-BDF0E6AEE93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3" authorId="2" shapeId="0" xr:uid="{A1BC4EF6-EB46-4DF5-8193-9E3BA56722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4" authorId="2" shapeId="0" xr:uid="{05E29F7B-C21F-44E4-B922-795A69FFE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5" authorId="2" shapeId="0" xr:uid="{E42D2133-7969-4E47-977C-AC8FF2421DF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6" authorId="2" shapeId="0" xr:uid="{5FC1F8CC-B472-4992-AAA4-92A6CDB240F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7" authorId="2" shapeId="0" xr:uid="{7FC1BAFF-09FE-4C47-ACBF-E37CDF349D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8" authorId="2" shapeId="0" xr:uid="{090B5801-8CFB-4E00-B9C5-D590CAEE6B5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9" authorId="2" shapeId="0" xr:uid="{FEA75127-A687-4DD0-A214-C98481967F0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0" authorId="2" shapeId="0" xr:uid="{286DC8B5-4FEA-4464-891A-5E4B756F233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1" authorId="2" shapeId="0" xr:uid="{570E26FC-7665-4EDC-B05F-20A0F006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2" authorId="2" shapeId="0" xr:uid="{A862910E-4A19-4279-B533-C2449497981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3" authorId="2" shapeId="0" xr:uid="{1CFDBD14-4ED7-4102-A8C2-1156D4051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4" authorId="2" shapeId="0" xr:uid="{296AD999-411F-46EC-A76B-D7FB3C0AEA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5" authorId="2" shapeId="0" xr:uid="{BE63C9A9-E754-42CF-835F-45343AC2F9F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6" authorId="2" shapeId="0" xr:uid="{4B9921F3-3A0B-4A3E-A825-46BD8A2759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7" authorId="2" shapeId="0" xr:uid="{66D17C9C-D5EC-49A4-9D47-66CF9C3D33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8" authorId="2" shapeId="0" xr:uid="{357227B8-61C7-4EE6-BB03-1D1AC5E747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9" authorId="2" shapeId="0" xr:uid="{0128BF30-6AA2-4387-9593-5A1C7942D7D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0" authorId="2" shapeId="0" xr:uid="{BDEB0F2D-71C0-4818-A8BD-403B8A02C0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1" authorId="2" shapeId="0" xr:uid="{FFEC1DB5-D9A2-431E-AB38-F3005A915B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2" authorId="2" shapeId="0" xr:uid="{59644718-B062-4883-BFE0-B0B522123B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4" authorId="2" shapeId="0" xr:uid="{6308DEF0-2ADC-4FC2-9E27-5685587EBA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5" authorId="2" shapeId="0" xr:uid="{9229FAD4-8F1A-4FC8-9CFE-97192B4B10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6" authorId="2" shapeId="0" xr:uid="{51D708B2-F449-4984-890D-F260E72F6A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7" authorId="2" shapeId="0" xr:uid="{9B6213DD-A96B-4496-BCFF-62EDF9BF08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8" authorId="2" shapeId="0" xr:uid="{6F99CFA4-7A3B-42AA-A1FA-6DE4B35BF7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9" authorId="2" shapeId="0" xr:uid="{D32F1914-F8DC-4F56-B31D-215619C47CD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0" authorId="2" shapeId="0" xr:uid="{66005943-F0DA-4B7F-9ED5-3BD58722A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1" authorId="2" shapeId="0" xr:uid="{CE5130FF-A1D6-48A3-840C-C0CF56218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2" authorId="2" shapeId="0" xr:uid="{81A3FA7A-34E3-4570-8C1E-8BD4EA3EF43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5" authorId="2" shapeId="0" xr:uid="{F669A25F-98C3-46AA-9629-89E199F743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6" authorId="2" shapeId="0" xr:uid="{4139306B-D474-4E61-8265-CD2A91BC269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7" authorId="2" shapeId="0" xr:uid="{5E2C96A9-4DAE-4507-9049-9069B0BFAE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8" authorId="2" shapeId="0" xr:uid="{8C09493F-3F89-498B-A8F4-DE8E379E101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9" authorId="2" shapeId="0" xr:uid="{96DC5692-02E7-46A9-935D-5DB0ECE969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0" authorId="2" shapeId="0" xr:uid="{59A0AB89-771A-44A4-9338-05C12FA0CC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1" authorId="2" shapeId="0" xr:uid="{AD5DC766-7E6D-4079-AD71-DCE0640A4D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2" authorId="2" shapeId="0" xr:uid="{FFFF918C-F7C3-436D-86D7-A1C45F7C5C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3" authorId="2" shapeId="0" xr:uid="{14A29D6E-EFBC-48DC-A3A4-A1A19A2B755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4" authorId="2" shapeId="0" xr:uid="{E282C690-987B-4CDA-9537-C0AB1B4B7D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5" authorId="2" shapeId="0" xr:uid="{39B98BF1-095F-48B3-8C68-735D78BA404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6" authorId="2" shapeId="0" xr:uid="{1300908C-BB4A-439E-8A06-C749AFC1F3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7" authorId="2" shapeId="0" xr:uid="{C1FF640F-59AC-4A3C-B66E-A269C01630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8" authorId="2" shapeId="0" xr:uid="{A4E0CCE4-87B5-49A7-B29C-ABE4D9EC7E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9" authorId="2" shapeId="0" xr:uid="{5E520470-D5C8-4F29-84DD-A834F883AE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0" authorId="2" shapeId="0" xr:uid="{982257F6-F920-4FC2-ABF9-E3B009D5A96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1" authorId="2" shapeId="0" xr:uid="{0DCCE56F-D832-4E52-B29F-D4B42699CB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2" authorId="2" shapeId="0" xr:uid="{BF4B58DE-74CD-43D8-814A-D870603DAFE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3" authorId="2" shapeId="0" xr:uid="{5F21539C-47DA-4F25-8E0D-ACD36859EF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4" authorId="2" shapeId="0" xr:uid="{C9E29C54-587B-4C7C-9494-7E785FED6C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5" authorId="2" shapeId="0" xr:uid="{201C0EE2-0F58-40BE-933A-535ADDFA14A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6" authorId="2" shapeId="0" xr:uid="{A4CD00EC-80A4-4913-BB40-5515AEA706F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7" authorId="2" shapeId="0" xr:uid="{573A0566-2C8B-4F75-BB74-9C64C7DE3F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8" authorId="2" shapeId="0" xr:uid="{6B801DF7-972F-41D9-957F-4064757038F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9" authorId="2" shapeId="0" xr:uid="{2F57E6D4-6F4B-40C7-917E-EA654CEDAB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0" authorId="2" shapeId="0" xr:uid="{DDB55110-37D5-4D7A-8174-53C3141D075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1" authorId="2" shapeId="0" xr:uid="{CA2CE37B-E002-4F80-A448-A8F27AB8734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2" authorId="2" shapeId="0" xr:uid="{5309CDD9-34DF-4AA3-89AA-34EE08DB20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3" authorId="2" shapeId="0" xr:uid="{46073BD8-D56A-4AB2-8121-46C2B9AD28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4" authorId="2" shapeId="0" xr:uid="{F71D7F18-AEB7-4663-858F-5436A5FFD7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5" authorId="2" shapeId="0" xr:uid="{CD103FC9-C049-4C60-8270-D0D0388E7F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6" authorId="2" shapeId="0" xr:uid="{6615A7B0-43F3-421B-9090-8EDA3C9B8A4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7" authorId="2" shapeId="0" xr:uid="{BC607CD9-9308-41BA-9F83-43BFE905B8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8" authorId="2" shapeId="0" xr:uid="{E59A9D94-C46B-4F6C-A7BA-22CC651DB39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9" authorId="2" shapeId="0" xr:uid="{E7F9B433-C691-4BF0-9132-596B3ED718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0" authorId="2" shapeId="0" xr:uid="{2F8BE1A4-6EBD-4D48-9C35-27759881905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1" authorId="2" shapeId="0" xr:uid="{16A4B9EB-35FD-4A3E-AECB-4A9AD59F112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2" authorId="2" shapeId="0" xr:uid="{8DE33578-9F03-43A9-9799-CFE31A6BE89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3" authorId="2" shapeId="0" xr:uid="{72888197-9112-4E84-B5BE-54E1529AD1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4" authorId="2" shapeId="0" xr:uid="{2E45646D-B6EA-4FC6-976A-672C88B3E8F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5" authorId="2" shapeId="0" xr:uid="{35526D24-260D-4F36-8011-3F714FF55F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6" authorId="2" shapeId="0" xr:uid="{D9F5C6BF-CD71-4FB9-949C-680AEC4324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7" authorId="2" shapeId="0" xr:uid="{AD8850F1-4BCA-4F0D-92B4-1780D28463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8" authorId="2" shapeId="0" xr:uid="{27D4FD9B-DC83-416F-8211-C6E0502557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9" authorId="2" shapeId="0" xr:uid="{E2736157-E809-49FA-8C2D-BB9C788F5EF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0" authorId="2" shapeId="0" xr:uid="{E1573737-A255-4CD8-A9E8-E89216DB3A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1" authorId="2" shapeId="0" xr:uid="{348BC59B-A792-4777-9FD1-84D0F888D67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2" authorId="2" shapeId="0" xr:uid="{D6708E5E-DC32-4A13-B729-004AFA7ACDC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3" authorId="2" shapeId="0" xr:uid="{2721901A-0DCB-4A8E-95EC-4D53CDABF9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4" authorId="2" shapeId="0" xr:uid="{1D71356F-328A-494A-AB7A-04C91BA5D34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5" authorId="2" shapeId="0" xr:uid="{23B9DAAE-358B-417E-877C-C8E3FB2529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6" authorId="2" shapeId="0" xr:uid="{66C45FD1-A9CB-48D6-9BFF-B2824D781D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7" authorId="2" shapeId="0" xr:uid="{9541987F-DAD4-41A7-9269-46CD1A332C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8" authorId="2" shapeId="0" xr:uid="{7C28C60E-A55A-43DF-BB5E-3B5B118E9C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9" authorId="2" shapeId="0" xr:uid="{44FC2707-7CB1-4B15-BF04-BA11BB91681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0" authorId="2" shapeId="0" xr:uid="{3D4404E2-C1F3-4CA0-880D-9A8A2EC389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1" authorId="2" shapeId="0" xr:uid="{5BE3068D-CEF5-4DD0-A345-F381F942C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2" authorId="2" shapeId="0" xr:uid="{D67D3375-5412-46B9-933E-783C6AA7D78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3" authorId="2" shapeId="0" xr:uid="{64D91B70-30AD-4EC0-86AB-A2C35FAF07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4" authorId="2" shapeId="0" xr:uid="{FA7B3EEA-2014-4DB9-8044-09399CC9F7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5" authorId="2" shapeId="0" xr:uid="{73425EA8-5F42-4F18-80E3-E46BD23959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6" authorId="2" shapeId="0" xr:uid="{A6A5DA78-045F-469C-8230-8FF727E784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7" authorId="2" shapeId="0" xr:uid="{D383C8B5-68FE-456E-B71C-9F82356719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9" authorId="2" shapeId="0" xr:uid="{CAF09EB7-5884-430C-83E4-FDE31090A33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0" authorId="2" shapeId="0" xr:uid="{307DD616-D808-4FF5-8DE6-C77D153380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1" authorId="2" shapeId="0" xr:uid="{9C5269F1-B512-4C6B-9C22-F3203F6A85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2" authorId="2" shapeId="0" xr:uid="{D6C5306E-32E2-41F1-B344-1EA88FD0D0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3" authorId="2" shapeId="0" xr:uid="{2E70716E-B3EE-40DF-826C-E9FC5C11C9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4" authorId="2" shapeId="0" xr:uid="{F2EAB7EC-F6E4-4F68-B57E-41657AF845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5" authorId="2" shapeId="0" xr:uid="{6D1DB726-AB13-49AF-AA45-22DC5CAA55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6" authorId="2" shapeId="0" xr:uid="{01A267A8-CA70-4F5B-BB8B-03B406E0345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7" authorId="2" shapeId="0" xr:uid="{1AC5E932-2D88-4C70-AF47-962FCD71149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8" authorId="2" shapeId="0" xr:uid="{C1444729-0572-4965-9748-9E3FFAF2F51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9" authorId="2" shapeId="0" xr:uid="{3EEB8DB1-51B2-4D08-BE4D-674A67FDA8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0" authorId="2" shapeId="0" xr:uid="{DDF4CD47-7E2B-4476-B50B-38BFA53A512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1" authorId="2" shapeId="0" xr:uid="{241D6307-2995-4323-9DF9-C5154E18DC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2" authorId="2" shapeId="0" xr:uid="{DFEF81AB-42C2-421C-8837-D8FD2DD9C0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3" authorId="2" shapeId="0" xr:uid="{176B3A27-0825-4615-B319-2311308632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4" authorId="2" shapeId="0" xr:uid="{B916B8A1-3E97-46BF-92C7-9CBCAE40EA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5" authorId="2" shapeId="0" xr:uid="{1A2FC342-4E04-4F76-BFCA-26299EFCCDD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6" authorId="2" shapeId="0" xr:uid="{0CC3B27D-9D14-45D5-8841-DD6A4911FE3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7" authorId="2" shapeId="0" xr:uid="{6DD4A382-8C3C-4B83-A3FC-3A9AD785EF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8" authorId="2" shapeId="0" xr:uid="{7404B2D1-902F-4F44-B623-A7FD270892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9" authorId="2" shapeId="0" xr:uid="{D10A07F3-1410-4A24-B73A-E20479FFD5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0" authorId="2" shapeId="0" xr:uid="{98C1E2F7-4B6D-4D7D-8179-A3630935548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1" authorId="2" shapeId="0" xr:uid="{DF8CAD71-2FCB-44E4-9DE6-A21FBB0C8D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2" authorId="2" shapeId="0" xr:uid="{B6208472-F6E8-4760-9E63-ADF109813C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3" authorId="2" shapeId="0" xr:uid="{1A9D2778-F3C7-4DF8-933C-6A13CC2E830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4" authorId="2" shapeId="0" xr:uid="{E933BE77-2E07-4DBA-A927-B33E8EA89A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5" authorId="2" shapeId="0" xr:uid="{1BB98AC6-7B44-4663-92A1-C1643F0691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6" authorId="2" shapeId="0" xr:uid="{E18C4393-6CDA-4A8F-9CD2-1E790257C5F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7" authorId="2" shapeId="0" xr:uid="{796AF6F1-14F4-4DDF-BA6E-244825B353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8" authorId="2" shapeId="0" xr:uid="{F1B7D18C-6D7A-4D0D-ADC2-105BA66AEC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9" authorId="2" shapeId="0" xr:uid="{7D19DAD0-1DD6-447D-9B85-DC68DBB4CC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0" authorId="2" shapeId="0" xr:uid="{13F2EA1B-1E52-4496-ABB2-492CEA9C49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1" authorId="2" shapeId="0" xr:uid="{3704094F-6FC4-417D-A72C-9C26577127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2" authorId="2" shapeId="0" xr:uid="{40C6F4DD-0963-4827-974D-5602E988265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3" authorId="2" shapeId="0" xr:uid="{7369C56B-E1AA-4C23-B2C3-19ABC652EB7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4" authorId="2" shapeId="0" xr:uid="{2ABA0E19-E430-4779-92DB-BE06FAB66F7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5" authorId="2" shapeId="0" xr:uid="{694CC700-B77A-4111-8C31-1BEF05A01A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6" authorId="2" shapeId="0" xr:uid="{5E4653B0-3106-4C26-A134-B02F7A1E6E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7" authorId="2" shapeId="0" xr:uid="{9882482B-86C0-4F4A-9048-0959E2B491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8" authorId="2" shapeId="0" xr:uid="{DF9F9508-2791-408D-83D4-8B322B081CD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9" authorId="2" shapeId="0" xr:uid="{947FA147-466E-4E7E-890B-5974DED73B5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0" authorId="2" shapeId="0" xr:uid="{B00B97B7-365C-4B91-A6F5-B5FCC26E0F7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1" authorId="2" shapeId="0" xr:uid="{EDE9ED01-1F90-4C44-84CB-B05B19B540D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2" authorId="2" shapeId="0" xr:uid="{6D34197D-A0D5-4A44-9EBB-CC15E34DF84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3" authorId="2" shapeId="0" xr:uid="{010F5590-91B7-46F0-853A-0904535432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4" authorId="2" shapeId="0" xr:uid="{FB4782A9-5CB7-44FA-91E3-54817EDC5AC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5" authorId="2" shapeId="0" xr:uid="{E811D6AA-EDD7-4A6D-AD08-00F288175E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6" authorId="2" shapeId="0" xr:uid="{3046DD3E-FA06-4E3E-A939-E2CED8ED9E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7" authorId="2" shapeId="0" xr:uid="{8E532399-4772-49D6-B18E-8EB3345C08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8" authorId="2" shapeId="0" xr:uid="{5811F4E2-EE83-4676-8CA3-62EE235531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9" authorId="2" shapeId="0" xr:uid="{BD271D85-574F-4303-A491-9A0B31DE3E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0" authorId="2" shapeId="0" xr:uid="{F04042FE-7E3F-48E8-8CDB-3DFC2CD2B9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1" authorId="2" shapeId="0" xr:uid="{DA0F725C-7381-444F-B2DC-F507555B9D6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42E03877-B708-4962-A647-9F662DA9496D}">
      <text>
        <r>
          <rPr>
            <b/>
            <sz val="10"/>
            <color indexed="81"/>
            <rFont val="Tahoma"/>
            <family val="2"/>
          </rPr>
          <t>Es la correspondencia entre el resultado del indicador en el periodo y la meta establecida.</t>
        </r>
      </text>
    </comment>
    <comment ref="I5" authorId="0" shapeId="0" xr:uid="{DE6AA335-100D-4145-ABBE-01B19D14BE64}">
      <text>
        <r>
          <rPr>
            <b/>
            <sz val="10"/>
            <color indexed="81"/>
            <rFont val="Tahoma"/>
            <family val="2"/>
          </rPr>
          <t>Corresponde al avance acumulado del indicador</t>
        </r>
      </text>
    </comment>
    <comment ref="Q5" authorId="0" shapeId="0" xr:uid="{E0F426B5-D91D-407D-AC2B-DC9BCE0C2E0D}">
      <text>
        <r>
          <rPr>
            <b/>
            <sz val="10"/>
            <color indexed="81"/>
            <rFont val="Tahoma"/>
            <family val="2"/>
          </rPr>
          <t>Es la correspondencia entre el resultado del indicador en el periodo y la meta establecida.</t>
        </r>
      </text>
    </comment>
    <comment ref="W5" authorId="0" shapeId="0" xr:uid="{0F9BEE29-5A5A-416E-A85C-A5E05660EADA}">
      <text>
        <r>
          <rPr>
            <b/>
            <sz val="10"/>
            <color indexed="81"/>
            <rFont val="Tahoma"/>
            <family val="2"/>
          </rPr>
          <t>Corresponde al avance acumulado del indicador</t>
        </r>
      </text>
    </comment>
    <comment ref="AE5" authorId="0" shapeId="0" xr:uid="{001902F3-1BC7-4B98-BB68-F51505331218}">
      <text>
        <r>
          <rPr>
            <b/>
            <sz val="10"/>
            <color indexed="81"/>
            <rFont val="Tahoma"/>
            <family val="2"/>
          </rPr>
          <t>Es la correspondencia entre el resultado del indicador en el periodo y la meta establecida.</t>
        </r>
      </text>
    </comment>
    <comment ref="AK5" authorId="0" shapeId="0" xr:uid="{C49F5B9C-C769-492A-BD45-636C317AA492}">
      <text>
        <r>
          <rPr>
            <b/>
            <sz val="10"/>
            <color indexed="81"/>
            <rFont val="Tahoma"/>
            <family val="2"/>
          </rPr>
          <t>Corresponde al avance acumulado del indicador</t>
        </r>
      </text>
    </comment>
    <comment ref="AS5" authorId="0" shapeId="0" xr:uid="{8C3D131D-A754-4F24-B58E-81CC59C5BFDE}">
      <text>
        <r>
          <rPr>
            <b/>
            <sz val="10"/>
            <color indexed="81"/>
            <rFont val="Tahoma"/>
            <family val="2"/>
          </rPr>
          <t>Es la correspondencia entre el resultado del indicador en el periodo y la meta establecida.</t>
        </r>
      </text>
    </comment>
    <comment ref="AY5" authorId="0" shapeId="0" xr:uid="{630C01D7-FC8C-42C4-A4F4-4E9DA75A9EC1}">
      <text>
        <r>
          <rPr>
            <b/>
            <sz val="10"/>
            <color indexed="81"/>
            <rFont val="Tahoma"/>
            <family val="2"/>
          </rPr>
          <t>Corresponde al avance acumulado del indicador</t>
        </r>
      </text>
    </comment>
    <comment ref="I6" authorId="1" shapeId="0" xr:uid="{337D9745-ABAE-40A7-8929-5522C07E44EA}">
      <text>
        <r>
          <rPr>
            <sz val="9"/>
            <color indexed="81"/>
            <rFont val="Tahoma"/>
            <family val="2"/>
          </rPr>
          <t>Datos incluyendo todas las actividades programadas por las áreas para el año.</t>
        </r>
      </text>
    </comment>
    <comment ref="W6" authorId="1" shapeId="0" xr:uid="{1310EF9F-F68D-49AC-B5D5-0E8AA90212A5}">
      <text>
        <r>
          <rPr>
            <sz val="9"/>
            <color indexed="81"/>
            <rFont val="Tahoma"/>
            <family val="2"/>
          </rPr>
          <t>Datos incluyendo todas las actividades programadas por las áreas para el año.</t>
        </r>
      </text>
    </comment>
    <comment ref="AK6" authorId="1" shapeId="0" xr:uid="{65EF8B79-5272-411E-B588-B96B7BD21D25}">
      <text>
        <r>
          <rPr>
            <sz val="9"/>
            <color indexed="81"/>
            <rFont val="Tahoma"/>
            <family val="2"/>
          </rPr>
          <t>Datos incluyendo todas las actividades programadas por las áreas para el año.</t>
        </r>
      </text>
    </comment>
    <comment ref="AY6" authorId="1" shapeId="0" xr:uid="{06311A75-4E11-4F47-8550-1BBDF2E43AA5}">
      <text>
        <r>
          <rPr>
            <sz val="9"/>
            <color indexed="81"/>
            <rFont val="Tahoma"/>
            <family val="2"/>
          </rPr>
          <t>Datos incluyendo todas las actividades programadas por las áreas para el año.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889E5147-7496-433F-886D-E124F166430B}">
      <text>
        <r>
          <rPr>
            <b/>
            <sz val="10"/>
            <color indexed="81"/>
            <rFont val="Tahoma"/>
            <family val="2"/>
          </rPr>
          <t>Es la correspondencia entre el resultado del indicador en el periodo y la meta establecida.</t>
        </r>
      </text>
    </comment>
    <comment ref="I5" authorId="0" shapeId="0" xr:uid="{9CE86E9A-143D-412B-AC30-6CF3413D82AA}">
      <text>
        <r>
          <rPr>
            <b/>
            <sz val="10"/>
            <color indexed="81"/>
            <rFont val="Tahoma"/>
            <family val="2"/>
          </rPr>
          <t>Correponde al cumplimiento acumuldo del indicador</t>
        </r>
      </text>
    </comment>
    <comment ref="P5" authorId="0" shapeId="0" xr:uid="{DC7F8ECB-9A60-47FC-93E2-FC08C0657C69}">
      <text>
        <r>
          <rPr>
            <b/>
            <sz val="10"/>
            <color indexed="81"/>
            <rFont val="Tahoma"/>
            <family val="2"/>
          </rPr>
          <t>Es la correspondencia entre el resultado del indicador en el periodo y la meta establecida.</t>
        </r>
      </text>
    </comment>
    <comment ref="V5" authorId="0" shapeId="0" xr:uid="{FD052C04-BF14-4D78-B4F7-E0757DF1591C}">
      <text>
        <r>
          <rPr>
            <b/>
            <sz val="10"/>
            <color indexed="81"/>
            <rFont val="Tahoma"/>
            <family val="2"/>
          </rPr>
          <t>Correponde al cumplimiento acumuldo del indicador</t>
        </r>
      </text>
    </comment>
    <comment ref="AC5" authorId="0" shapeId="0" xr:uid="{5341CF6F-2AAE-493E-9F6C-FD7FA8F24571}">
      <text>
        <r>
          <rPr>
            <b/>
            <sz val="10"/>
            <color indexed="81"/>
            <rFont val="Tahoma"/>
            <family val="2"/>
          </rPr>
          <t>Es la correspondencia entre el resultado del indicador en el periodo y la meta establecida.</t>
        </r>
      </text>
    </comment>
    <comment ref="AI5" authorId="0" shapeId="0" xr:uid="{F6132A43-C585-49D0-95DF-C039579FB347}">
      <text>
        <r>
          <rPr>
            <b/>
            <sz val="10"/>
            <color indexed="81"/>
            <rFont val="Tahoma"/>
            <family val="2"/>
          </rPr>
          <t>Correponde al cumplimiento acumuldo del indicador</t>
        </r>
      </text>
    </comment>
    <comment ref="AP5" authorId="0" shapeId="0" xr:uid="{E7733BA7-716B-4E49-9735-AAFB2D528969}">
      <text>
        <r>
          <rPr>
            <b/>
            <sz val="10"/>
            <color indexed="81"/>
            <rFont val="Tahoma"/>
            <family val="2"/>
          </rPr>
          <t>Es la correspondencia entre el resultado del indicador en el periodo y la meta establecida.</t>
        </r>
      </text>
    </comment>
    <comment ref="AV5" authorId="0" shapeId="0" xr:uid="{FC1AEEE3-4CA6-4296-8B85-6D2FC920662F}">
      <text>
        <r>
          <rPr>
            <b/>
            <sz val="10"/>
            <color indexed="81"/>
            <rFont val="Tahoma"/>
            <family val="2"/>
          </rPr>
          <t>Correponde al cumplimiento acumuldo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5863343E-515F-43D2-93DA-26A10006F64E}">
      <text>
        <r>
          <rPr>
            <b/>
            <sz val="10"/>
            <color indexed="81"/>
            <rFont val="Tahoma"/>
            <family val="2"/>
          </rPr>
          <t>Es la correspondencia entre el resultado del indicador en el periodo y la meta establecida.</t>
        </r>
      </text>
    </comment>
    <comment ref="I5" authorId="0" shapeId="0" xr:uid="{65A75F47-CA83-43B6-9376-C7D43D886687}">
      <text>
        <r>
          <rPr>
            <b/>
            <sz val="10"/>
            <color indexed="81"/>
            <rFont val="Tahoma"/>
            <family val="2"/>
          </rPr>
          <t>Corresponde al avance acumulado en el periodo</t>
        </r>
      </text>
    </comment>
    <comment ref="P5" authorId="0" shapeId="0" xr:uid="{27C936F0-360A-45C5-9670-F08312D6A219}">
      <text>
        <r>
          <rPr>
            <b/>
            <sz val="10"/>
            <color indexed="81"/>
            <rFont val="Tahoma"/>
            <family val="2"/>
          </rPr>
          <t>Es la correspondencia entre el resultado del indicador en el periodo y la meta establecida.</t>
        </r>
      </text>
    </comment>
    <comment ref="V5" authorId="0" shapeId="0" xr:uid="{0D88D062-206A-4110-9F6B-EB22B6ADD1E7}">
      <text>
        <r>
          <rPr>
            <b/>
            <sz val="10"/>
            <color indexed="81"/>
            <rFont val="Tahoma"/>
            <family val="2"/>
          </rPr>
          <t>Corresponde al avance acumulado en el periodo</t>
        </r>
      </text>
    </comment>
    <comment ref="AC5" authorId="0" shapeId="0" xr:uid="{1BE63937-1FEC-4A4B-8CA5-404F2345C9AE}">
      <text>
        <r>
          <rPr>
            <b/>
            <sz val="10"/>
            <color indexed="81"/>
            <rFont val="Tahoma"/>
            <family val="2"/>
          </rPr>
          <t>Es la correspondencia entre el resultado del indicador en el periodo y la meta establecida.</t>
        </r>
      </text>
    </comment>
    <comment ref="AI5" authorId="0" shapeId="0" xr:uid="{80912CE2-C270-428F-B01E-956D78CDDDFE}">
      <text>
        <r>
          <rPr>
            <b/>
            <sz val="10"/>
            <color indexed="81"/>
            <rFont val="Tahoma"/>
            <family val="2"/>
          </rPr>
          <t>Corresponde al avance acumulado en el periodo</t>
        </r>
      </text>
    </comment>
    <comment ref="AP5" authorId="0" shapeId="0" xr:uid="{98CE286F-8CD9-4245-9D06-38AB177328D9}">
      <text>
        <r>
          <rPr>
            <b/>
            <sz val="10"/>
            <color indexed="81"/>
            <rFont val="Tahoma"/>
            <family val="2"/>
          </rPr>
          <t>Es la correspondencia entre el resultado del indicador en el periodo y la meta establecida.</t>
        </r>
      </text>
    </comment>
    <comment ref="AV5" authorId="0" shapeId="0" xr:uid="{29B2E2C4-3309-41FE-A228-58C77F40CABC}">
      <text>
        <r>
          <rPr>
            <b/>
            <sz val="10"/>
            <color indexed="81"/>
            <rFont val="Tahoma"/>
            <family val="2"/>
          </rPr>
          <t>Corresponde al avance acumulado en el periodo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9DAB1F16-81C3-42BA-BEDA-519C4C4D5CC4}">
      <text>
        <r>
          <rPr>
            <b/>
            <sz val="10"/>
            <color indexed="81"/>
            <rFont val="Tahoma"/>
            <family val="2"/>
          </rPr>
          <t>Es la correspondencia entre el resultado del indicador en el periodo y la meta establecida.</t>
        </r>
      </text>
    </comment>
    <comment ref="I5" authorId="0" shapeId="0" xr:uid="{F9FA5DCE-4C9C-4D91-9BE2-F35907A8D81A}">
      <text>
        <r>
          <rPr>
            <b/>
            <sz val="10"/>
            <color indexed="81"/>
            <rFont val="Tahoma"/>
            <family val="2"/>
          </rPr>
          <t>Corresponde al avance acumulado en el periodo</t>
        </r>
      </text>
    </comment>
    <comment ref="P5" authorId="0" shapeId="0" xr:uid="{B2AC81E9-A281-429C-8B58-7B04462ED34B}">
      <text>
        <r>
          <rPr>
            <b/>
            <sz val="10"/>
            <color indexed="81"/>
            <rFont val="Tahoma"/>
            <family val="2"/>
          </rPr>
          <t>Es la correspondencia entre el resultado del indicador en el periodo y la meta establecida.</t>
        </r>
      </text>
    </comment>
    <comment ref="V5" authorId="0" shapeId="0" xr:uid="{37B03869-DE16-4745-A859-6528477D720A}">
      <text>
        <r>
          <rPr>
            <b/>
            <sz val="10"/>
            <color indexed="81"/>
            <rFont val="Tahoma"/>
            <family val="2"/>
          </rPr>
          <t>Corresponde al avance acumulado en el periodo</t>
        </r>
      </text>
    </comment>
    <comment ref="AC5" authorId="0" shapeId="0" xr:uid="{761D9F70-43B3-4B02-8A88-9B9F79667447}">
      <text>
        <r>
          <rPr>
            <b/>
            <sz val="10"/>
            <color indexed="81"/>
            <rFont val="Tahoma"/>
            <family val="2"/>
          </rPr>
          <t>Es la correspondencia entre el resultado del indicador en el periodo y la meta establecida.</t>
        </r>
      </text>
    </comment>
    <comment ref="AI5" authorId="0" shapeId="0" xr:uid="{2023EC07-93C4-4EBB-971E-DFC403B64298}">
      <text>
        <r>
          <rPr>
            <b/>
            <sz val="10"/>
            <color indexed="81"/>
            <rFont val="Tahoma"/>
            <family val="2"/>
          </rPr>
          <t>Corresponde al avance acumulado en el periodo</t>
        </r>
      </text>
    </comment>
    <comment ref="AP5" authorId="0" shapeId="0" xr:uid="{EECB1F77-55F4-4248-9693-98DCE24CB793}">
      <text>
        <r>
          <rPr>
            <b/>
            <sz val="10"/>
            <color indexed="81"/>
            <rFont val="Tahoma"/>
            <family val="2"/>
          </rPr>
          <t>Es la correspondencia entre el resultado del indicador en el periodo y la meta establecida.</t>
        </r>
      </text>
    </comment>
    <comment ref="AV5" authorId="0" shapeId="0" xr:uid="{4F1B618A-2F82-4EA0-9AC9-D62A7AB028F2}">
      <text>
        <r>
          <rPr>
            <b/>
            <sz val="10"/>
            <color indexed="81"/>
            <rFont val="Tahoma"/>
            <family val="2"/>
          </rPr>
          <t>Corresponde al avance acumulado en el periodo</t>
        </r>
      </text>
    </comment>
  </commentList>
</comments>
</file>

<file path=xl/sharedStrings.xml><?xml version="1.0" encoding="utf-8"?>
<sst xmlns="http://schemas.openxmlformats.org/spreadsheetml/2006/main" count="6900" uniqueCount="1577">
  <si>
    <t>INDICADOR</t>
  </si>
  <si>
    <t>Dirección General</t>
  </si>
  <si>
    <t>Dirección de Gestión de Recursos Financieros de Salud</t>
  </si>
  <si>
    <t>Oficina de Control Interno</t>
  </si>
  <si>
    <t>Dirección de Gestión de Tecnología de la Información y la Comunicación</t>
  </si>
  <si>
    <t>%</t>
  </si>
  <si>
    <t>PROCESO ASOCIADO</t>
  </si>
  <si>
    <t>FISICO</t>
  </si>
  <si>
    <t>CANTIDAD</t>
  </si>
  <si>
    <t>FUENTE RECURSOS</t>
  </si>
  <si>
    <t>FINANCIERO</t>
  </si>
  <si>
    <t>Reportar el cumplimiento del Plan de Acción de la Dependencia</t>
  </si>
  <si>
    <t>Dirección de Liquidaciones y Garantías</t>
  </si>
  <si>
    <t xml:space="preserve">Dirección de Otras Prestaciones  </t>
  </si>
  <si>
    <t>Dirección Administrativa y Financiera</t>
  </si>
  <si>
    <t>Oficina Asesora de Planeación y Control de Riegos</t>
  </si>
  <si>
    <t>1. Talento Humano</t>
  </si>
  <si>
    <t>3. Gestión Resultado con valores</t>
  </si>
  <si>
    <t>5. Información y Comunicación</t>
  </si>
  <si>
    <t>7. Control Interno</t>
  </si>
  <si>
    <t>2. Direccionamiento Estratégico</t>
  </si>
  <si>
    <t>1.1. Talento Humano</t>
  </si>
  <si>
    <t>2.1. Planeación Institucional</t>
  </si>
  <si>
    <t>3.6. Servicio al Ciudadano</t>
  </si>
  <si>
    <t>5.2. Transparencia, acceso a la información pública y lucha contra la corrupción</t>
  </si>
  <si>
    <t>7.1. Control Interno</t>
  </si>
  <si>
    <t>3.1. Gestión presupuestal y eficiencia del gasto público</t>
  </si>
  <si>
    <t>3.3. Gobierno Digital: Para Gestión y Seguridad de la Información</t>
  </si>
  <si>
    <t>3.5. Defensa Jurídica</t>
  </si>
  <si>
    <t>1. Direccionamiento Estratégico</t>
  </si>
  <si>
    <t>CÓDIGO AREA</t>
  </si>
  <si>
    <t>NOMBRE AREA</t>
  </si>
  <si>
    <t>CÓDIGO
PRODUCTO</t>
  </si>
  <si>
    <t>Código ACTIVIDAD</t>
  </si>
  <si>
    <t>INDICADOR SINERGIA</t>
  </si>
  <si>
    <t>UNIDAD DE MEDICIÓN</t>
  </si>
  <si>
    <t>POLÍTICA DEL MIPG</t>
  </si>
  <si>
    <t>DIMENSIÓN MIPG</t>
  </si>
  <si>
    <t>OBJETIVO PND</t>
  </si>
  <si>
    <t>ESTRATEGIA ASOCIADO</t>
  </si>
  <si>
    <t>Cumplir con el componente Rendición de Cuentas (Democratización de la Administración Pública)</t>
  </si>
  <si>
    <t xml:space="preserve">Estructurar y poner en funcionamiento la Entidad Administradora de los Recursos </t>
  </si>
  <si>
    <t>Cumplir la Política de Servicio al Ciudadano</t>
  </si>
  <si>
    <t xml:space="preserve">Implementar gestión estratégica del talento humano </t>
  </si>
  <si>
    <t>Modelos de evaluación orientados al cumplimiento de objetivos y metas institucionales implementados</t>
  </si>
  <si>
    <t>Utilización del SECOP II</t>
  </si>
  <si>
    <t>Recursos Propios</t>
  </si>
  <si>
    <t>Administrados</t>
  </si>
  <si>
    <t>NA</t>
  </si>
  <si>
    <t>DESCRIPCIÓN PRODUCTO</t>
  </si>
  <si>
    <t>DESCRIPCIÓN ACTIVIDAD</t>
  </si>
  <si>
    <t>Porcentaje</t>
  </si>
  <si>
    <t>Numérico</t>
  </si>
  <si>
    <t>12000-1</t>
  </si>
  <si>
    <t>12000-1-1</t>
  </si>
  <si>
    <t># Informes Publicados / # Informes Proyectados a Publicar</t>
  </si>
  <si>
    <t>OBJETIVO ESTRATEGICO</t>
  </si>
  <si>
    <t>CÓDIGO
OBJETIVO ESTRATEGICO</t>
  </si>
  <si>
    <t>12000-1-1-1</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</si>
  <si>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</si>
  <si>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</si>
  <si>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</si>
  <si>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11300-1</t>
  </si>
  <si>
    <t>11300-2</t>
  </si>
  <si>
    <t>Ejecución del Trimestre / Presupuesto Proyectado del Trimestre</t>
  </si>
  <si>
    <t>11400-1</t>
  </si>
  <si>
    <t>11400-1-1</t>
  </si>
  <si>
    <t>11400-2-1</t>
  </si>
  <si>
    <t>11400-3</t>
  </si>
  <si>
    <t>11400-3-1</t>
  </si>
  <si>
    <t>Prestaciones económicas REX</t>
  </si>
  <si>
    <t>3. Gestión de Recobros y Reclamaciones</t>
  </si>
  <si>
    <t>4. Gestión Presupuestal</t>
  </si>
  <si>
    <t>5. Gestión de Recaudo y Fuentes de Financiación</t>
  </si>
  <si>
    <t xml:space="preserve">7. Gestión de Pagos y Portafolio
</t>
  </si>
  <si>
    <t>8. Gestión Integral Régimen Contributivo</t>
  </si>
  <si>
    <t>9. Gestión de Contratación</t>
  </si>
  <si>
    <t>10. Gestión del Talento Humano</t>
  </si>
  <si>
    <t>12. Gestión Servicio al Ciudadano</t>
  </si>
  <si>
    <t>15. Gestión Integral Régimen Subsidiado</t>
  </si>
  <si>
    <t>17. Fortalecimiento Financiero  a EPSs e IPSs</t>
  </si>
  <si>
    <t xml:space="preserve">19. Gestión de Proyectos de Información </t>
  </si>
  <si>
    <t>20. Gestión Soporte a las Tecnologías</t>
  </si>
  <si>
    <t>22. Control y Evaluación de las Gestión</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</si>
  <si>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</si>
  <si>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</si>
  <si>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</si>
  <si>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</si>
  <si>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Realizar Informes de Ejecución Presupuestal</t>
  </si>
  <si>
    <t>Gestión de Recaudo</t>
  </si>
  <si>
    <t>Seguimiento e identificación del Recaudo</t>
  </si>
  <si>
    <t># Partidas Identificadas que no fueron identificadas en el mes anterior / # Partidas No identificadas en el mes anterior</t>
  </si>
  <si>
    <t>Ordenes de Giros tramitadas</t>
  </si>
  <si>
    <t>Estados Financieros</t>
  </si>
  <si>
    <t>Garantizar la adecuación institucional mediante actividades transversales que complementen y sustenten el desempeño de los procesos misionales y estratégicos, así como el seguimiento continuo al cumplimiento de los objetivos de la Entidad.</t>
  </si>
  <si>
    <t>11500-1</t>
  </si>
  <si>
    <t>11500-2</t>
  </si>
  <si>
    <t>11500-2-1</t>
  </si>
  <si>
    <t>11500-2-2</t>
  </si>
  <si>
    <t>11600-1</t>
  </si>
  <si>
    <t>11600-2</t>
  </si>
  <si>
    <t>11600-1-1</t>
  </si>
  <si>
    <t>11600-2-1</t>
  </si>
  <si>
    <t>11600-2-2</t>
  </si>
  <si>
    <t>11600-1-1-1</t>
  </si>
  <si>
    <t>11600-2-1-1</t>
  </si>
  <si>
    <t>11600-2-2-1</t>
  </si>
  <si>
    <t>11500-2-1-1</t>
  </si>
  <si>
    <t>11500-2-2-1</t>
  </si>
  <si>
    <t>11500-1-1-1</t>
  </si>
  <si>
    <t>11500-1-1</t>
  </si>
  <si>
    <t>11200-1</t>
  </si>
  <si>
    <t>11200-1-1-1</t>
  </si>
  <si>
    <t>11300-1-1-1</t>
  </si>
  <si>
    <t>11400-1-1-1</t>
  </si>
  <si>
    <t>11400-2-1-1</t>
  </si>
  <si>
    <t>11800-1</t>
  </si>
  <si>
    <t>11800-1-1</t>
  </si>
  <si>
    <t>11800-1-1-1</t>
  </si>
  <si>
    <t>Medir el grado de cumplimiento de las acciones que hacen parte del Plan de mejoramiento institucional derivadas de la Auditoría de la CGR.</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</si>
  <si>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</si>
  <si>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</si>
  <si>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</si>
  <si>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</si>
  <si>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</si>
  <si>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Oficina Asesora Jurídica</t>
  </si>
  <si>
    <t>11900-1</t>
  </si>
  <si>
    <t>11900-2</t>
  </si>
  <si>
    <t>11900-1-1</t>
  </si>
  <si>
    <t>11900-2-1</t>
  </si>
  <si>
    <t># Tutela Tramitadas Oportunamente / # Tutelas Radicadas que Requieren Trámite</t>
  </si>
  <si>
    <t>Recurrir los Actos Administrativos interpuestos por COLPENSIONES</t>
  </si>
  <si>
    <t># Procesos contenciosos administrativos contestados oportunamente / # Procesos contenciosos administrativos notificados a la Entidad</t>
  </si>
  <si>
    <t># Cuentas de Cobro con Soportes Documentales radicadas en el mes / # Pagos de las Cuentas de Cobro radicadas en el mes</t>
  </si>
  <si>
    <t># Procesos Contractuales Tramitados / # Procesos Incluidos en el Plan de Adquisiciones</t>
  </si>
  <si>
    <t># Procedimientos Aprobados / # Procedimientos Proyectados</t>
  </si>
  <si>
    <t># Encuestas Efectivas al Cumplimiento del Objetivo / # Encuestas de Satisfacciones Realizadas</t>
  </si>
  <si>
    <t># Demandas Laborales Contestadas Oportunamente / # Demandas Laborales Notificadas a la Entidad</t>
  </si>
  <si>
    <t># Solicitudes de pruebas atendidas / # Solicitudes de pruebas radicadas en la Entidad</t>
  </si>
  <si>
    <t># Fichas técnicas de conciliación prejudicial presentadas a consideración del Comité de Conciliación / # Solicitudes de conciliación prejudicial radicadas en la Entidad</t>
  </si>
  <si>
    <t>Venta de Cartera mayor a &gt;180 días con actos administrativos debidamente ejecutoriados a Central de Inversiones SA -CISA-</t>
  </si>
  <si>
    <t xml:space="preserve"># Reclamaciones Vendidas con mora mayor a 180 días / Reclamaciones contenidas actos administrativos ejecutoriados con mora mayor a 180 días </t>
  </si>
  <si>
    <t># solicitudes de aclaración elaboradas/# EPS con hallazgos de apropiación sin justa causa</t>
  </si>
  <si>
    <t># Informes de Auditoría de Reintegro Elaborados / # EPS con Procedimiento de Reintegro de Recursos Iniciado</t>
  </si>
  <si>
    <t>11400-3-2</t>
  </si>
  <si>
    <t>11400-3-2-1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</si>
  <si>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</si>
  <si>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</si>
  <si>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</si>
  <si>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</si>
  <si>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11900-1-1-1</t>
  </si>
  <si>
    <t>11900-2-1-1</t>
  </si>
  <si>
    <t>VALOR ASIGNADO PARA EL DESARROLLO DE LA ACTIVIDAD</t>
  </si>
  <si>
    <t># Indicadores Medidos / # Indicadores Sujetos de Medición</t>
  </si>
  <si>
    <t>Publicación  Ejecución Presupuestal</t>
  </si>
  <si>
    <t>11300-2-1</t>
  </si>
  <si>
    <t>11300-2-1-1</t>
  </si>
  <si>
    <t># Recaudos Identificados / # Total de Recaudo Recibido en el Trimestre</t>
  </si>
  <si>
    <t># Ordenes Giradas / # Giradas Tramitadas</t>
  </si>
  <si>
    <t># Boletines Realizados / # Boletines Proyectados del Periodo</t>
  </si>
  <si>
    <t>Apoyos técnicos entregados a la OAJ en recobros y reclamaciones una vez son resueltos por la Dirección de Tecnología de la Información</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</si>
  <si>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</si>
  <si>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</si>
  <si>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</si>
  <si>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</si>
  <si>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</si>
  <si>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</si>
  <si>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</si>
  <si>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 Informes reportados</t>
  </si>
  <si>
    <t>Valor pagado/Valor proyectado</t>
  </si>
  <si>
    <t># de nóminas generadas</t>
  </si>
  <si>
    <t>Porcentual</t>
  </si>
  <si>
    <t># Capacitaciones Ejecutadas</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</si>
  <si>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</si>
  <si>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</si>
  <si>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</si>
  <si>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</si>
  <si>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</si>
  <si>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Recursos interpuestos oportunamente contra actos administrativos expedidos por Colpensiones / # Actos administrativos expedidos por Colpensiones notificados por aviso a la Entidad</t>
  </si>
  <si>
    <t>Vigilancia judicial</t>
  </si>
  <si>
    <t># procesos penales en los que el apoderado adelantó actuación judicial / # procesos penales en los que es parte, tercero interviniente o víctima la ADRES</t>
  </si>
  <si>
    <t>SEMÁFORO EFICACIA EN LA EJECUCIÓN DE ACTIVIDADES</t>
  </si>
  <si>
    <t>No Prog ni Ejec</t>
  </si>
  <si>
    <t>No programado ni Ejecutado</t>
  </si>
  <si>
    <t xml:space="preserve">Cumplió Parcialmente    </t>
  </si>
  <si>
    <t xml:space="preserve">Avanzo Sustancialmente </t>
  </si>
  <si>
    <t xml:space="preserve">Cumplió  </t>
  </si>
  <si>
    <t>&gt;100%</t>
  </si>
  <si>
    <t xml:space="preserve">Sobre ejecutado </t>
  </si>
  <si>
    <t># conceptos emitidos / # conceptos requeridos</t>
  </si>
  <si>
    <t xml:space="preserve">DESCRIPCIÓN ACTIVIDAD </t>
  </si>
  <si>
    <t>OBSERVACIONES</t>
  </si>
  <si>
    <t>AVANCES PRIMER TRIMESTRE</t>
  </si>
  <si>
    <t>AVANCES TERCER TRIMESTRE</t>
  </si>
  <si>
    <t>AVANCES SEGUNDO TRIMESTRE</t>
  </si>
  <si>
    <t>AVANCES CUARTO TRIMESTRE</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</si>
  <si>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</si>
  <si>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</si>
  <si>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</si>
  <si>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</si>
  <si>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</si>
  <si>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</si>
  <si>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</si>
  <si>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</si>
  <si>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</si>
  <si>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</si>
  <si>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N.A</t>
  </si>
  <si>
    <t>OBJETIVO/LINEAMIENTO ESTRATÉGICO</t>
  </si>
  <si>
    <t>RESPONSABLE</t>
  </si>
  <si>
    <t>PRODUCTO</t>
  </si>
  <si>
    <t>CUMPLIMIENTO PERSPECTIVA FINANCIERA (Promedio porcentual)</t>
  </si>
  <si>
    <t>CUADRO DE MANDO INTEGRAL</t>
  </si>
  <si>
    <t>% 
Cumplimiento Acumulado</t>
  </si>
  <si>
    <t>Resultado Marzo</t>
  </si>
  <si>
    <t>Resultado Junio</t>
  </si>
  <si>
    <t>Resultado Septiembre</t>
  </si>
  <si>
    <t>Resultado Diciembre</t>
  </si>
  <si>
    <t xml:space="preserve">DETALLES </t>
  </si>
  <si>
    <t>CUMPLIMIENTO PERSPECTIVA DE ENFOQUE AL CLIENTE Y OTRAS PARTES INTERESADAS (Promedio porcentual)</t>
  </si>
  <si>
    <t>CUMPLIMIENTO PERSPECTIVA DE PROCESOS INTERNOS (Promedio porcentual)</t>
  </si>
  <si>
    <t>CUMPLIMIENTO PERSPECTIVA DE APRENDIZAJE Y DESARROLLO (Promedio porcentual)</t>
  </si>
  <si>
    <t>Ejecución presupuestal</t>
  </si>
  <si>
    <t>11200-1-1</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</si>
  <si>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</si>
  <si>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</si>
  <si>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</si>
  <si>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</si>
  <si>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</si>
  <si>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</si>
  <si>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</si>
  <si>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</si>
  <si>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</si>
  <si>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</si>
  <si>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</si>
  <si>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</si>
  <si>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</si>
  <si>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</si>
  <si>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</si>
  <si>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</si>
  <si>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seguidores en Twitter periodo actual - # de seguidores en Twitter periodo anterior)/ # de seguidores en Twitter periodo anterior)</t>
  </si>
  <si>
    <t>11700-1</t>
  </si>
  <si>
    <t>11700-1-1</t>
  </si>
  <si>
    <t>11700-1-1-1</t>
  </si>
  <si>
    <t>96 &lt;=100%</t>
  </si>
  <si>
    <t>CÓDIGO</t>
  </si>
  <si>
    <t>SEGUIMIENTO AL CUMPLIMIENTO POR PERSPECTIVA DEL CMI</t>
  </si>
  <si>
    <t>SEGUIMIENTO AL CUMPLIMIENTO POR DEPENDENCIAS</t>
  </si>
  <si>
    <t>Detalles</t>
  </si>
  <si>
    <t>PROCESO</t>
  </si>
  <si>
    <t>DIRECCIONAMIENTO ESTRATÉGICO</t>
  </si>
  <si>
    <t>FORMATO</t>
  </si>
  <si>
    <t>VERSIÓN</t>
  </si>
  <si>
    <t>PLAN DE ACCIÓN ANUAL ADRES</t>
  </si>
  <si>
    <t>DIES-F08</t>
  </si>
  <si>
    <t>EJECUCIÓN DEL PLAN DE ACCION</t>
  </si>
  <si>
    <t>CUMPLIMIENTO DE OBJETIVOS ESTRATÉGICOS</t>
  </si>
  <si>
    <t>DIES-F07</t>
  </si>
  <si>
    <t>TIPO DE PLAN</t>
  </si>
  <si>
    <t>CÓDIGO
PROYECTO ESTRATÉGICO</t>
  </si>
  <si>
    <t>OBJETIVO ESTRATÉGICO</t>
  </si>
  <si>
    <t>PROYECTO ESTRATÉGICO</t>
  </si>
  <si>
    <t>A</t>
  </si>
  <si>
    <t>B</t>
  </si>
  <si>
    <t>C</t>
  </si>
  <si>
    <t>D</t>
  </si>
  <si>
    <t>E</t>
  </si>
  <si>
    <t>F</t>
  </si>
  <si>
    <t>G</t>
  </si>
  <si>
    <t>H</t>
  </si>
  <si>
    <t>I</t>
  </si>
  <si>
    <t>Central de Costos</t>
  </si>
  <si>
    <t>Áreas Técnicas</t>
  </si>
  <si>
    <t>Dimensión MIPG</t>
  </si>
  <si>
    <t>Política MIPG</t>
  </si>
  <si>
    <t>Objetivo Especifico PND</t>
  </si>
  <si>
    <t xml:space="preserve">Estrategia Sectorial </t>
  </si>
  <si>
    <t>Proceso</t>
  </si>
  <si>
    <t>Procedimiento</t>
  </si>
  <si>
    <t>Indicador</t>
  </si>
  <si>
    <t>Indicador SINERGIA</t>
  </si>
  <si>
    <t>Fuente de Recursos</t>
  </si>
  <si>
    <t>PGN</t>
  </si>
  <si>
    <t>Porcentaje de ESE sin riesgo financiero o riesgo bajo</t>
  </si>
  <si>
    <t>1.2. Integralidad</t>
  </si>
  <si>
    <t>Deudas a más de 180 días como porcentaje de facturación anual de los hospitales públicos</t>
  </si>
  <si>
    <t># Procesos de Compensación Ejecutados</t>
  </si>
  <si>
    <t>Gasto por eventos no incluidos en el plan de beneficios ($ billones)</t>
  </si>
  <si>
    <t xml:space="preserve">Inversión </t>
  </si>
  <si>
    <t xml:space="preserve">Subdirección  Liquidaciones </t>
  </si>
  <si>
    <t>4. Evaluación de Resultados</t>
  </si>
  <si>
    <t>2.2. Gestión Presupuestal y eficiencia del gasto público</t>
  </si>
  <si>
    <t xml:space="preserve"># Procesos de LMA Ejecutados </t>
  </si>
  <si>
    <t>Portales web de consulta en salud y protección social operando</t>
  </si>
  <si>
    <t xml:space="preserve">Subdirección de Garantías </t>
  </si>
  <si>
    <t># Giros Directos Ejecutados y Publicados</t>
  </si>
  <si>
    <t>Reportar el plan Anticorrupción</t>
  </si>
  <si>
    <t>6. Gestión del Conocimiento y la Innovación</t>
  </si>
  <si>
    <t xml:space="preserve">3.2. Fortalecimiento organizacional y simplificación de procesos
</t>
  </si>
  <si>
    <t>Cumplir con las directrices de la Ley 1712 de 2014</t>
  </si>
  <si>
    <t>3.4 Seguridad Digital</t>
  </si>
  <si>
    <t>Mantener actualizado el reporte al SUIT</t>
  </si>
  <si>
    <t xml:space="preserve">3.7. Racionalización de Tramites </t>
  </si>
  <si>
    <t>Porcentaje de implementación de las recomendaciones de la OCDE en materia de control interno</t>
  </si>
  <si>
    <t>3.8. Participación Ciudadana en la gestión publica</t>
  </si>
  <si>
    <t>Porcentaje de implementación de las estrategias GEL</t>
  </si>
  <si>
    <t>3.9. Gobierno Digital: Para servicio y Gobierno Abierto</t>
  </si>
  <si>
    <t>4.1. Seguimiento y Evaluación del Desempeño Institucional</t>
  </si>
  <si>
    <t>5.1. Gestión Documental</t>
  </si>
  <si>
    <t>Porcentaje de implementación del Plan Estratégico de Empleo Público, que incluya las recomendaciones de la OCDE</t>
  </si>
  <si>
    <t>Tablas de retención documental implementadas</t>
  </si>
  <si>
    <t>6.1. Gestión del Conocimiento y la Innovación</t>
  </si>
  <si>
    <t>Reportar información al SISPRO</t>
  </si>
  <si>
    <t>Reportes a SPI, con indicadores actualizados</t>
  </si>
  <si>
    <t>Índice de actualización de los indicadores del PND Sinergia</t>
  </si>
  <si>
    <t>Sistema de Información del Sistema de Compra público Implementado</t>
  </si>
  <si>
    <t># Funcionarios Asistentes / # Funcionarios Convocados</t>
  </si>
  <si>
    <t># Examenes Realizados / # Examenes Programados</t>
  </si>
  <si>
    <t># llamadas atendidas / # llamadas entrantes</t>
  </si>
  <si>
    <t>Valor pagado por viáticos del periodo mas el valor pagado de tiquetes/ Valor  determinado por cada resolución de desplazamineto y pago de tiquete del periodo. </t>
  </si>
  <si>
    <t># Certificaciones realizadas  / # certificaciones solicitadas</t>
  </si>
  <si>
    <t># Procesos contractuales tramitados / # Procesos contractuales incluidos en el Plan Anual de Adquisiciones y requeridos por las dependencias de la ADRES</t>
  </si>
  <si>
    <t># comités de conciliación llevados a cabo / # comités de conciliación requeridos en el trimestre</t>
  </si>
  <si>
    <t># Autos de cierre o actas de liquidación elaboradas / # contratos con ejecución finalizada</t>
  </si>
  <si>
    <t>Ejecución / presupuesto proyectado según rubro</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</si>
  <si>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</si>
  <si>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</si>
  <si>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</si>
  <si>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</si>
  <si>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#Noticias Positivas en el periodo/#Noticias Negativas en el mismo periodo.</t>
  </si>
  <si>
    <t>((#Visitas Página WEB periodo actual - # Visitas Página WEB periodo anterior) / # Visitas Página WEB periodo anterior)</t>
  </si>
  <si>
    <t>(Número de auditorías internas al Control Interno y otros informes realizadas / Número de auditorías internas, al Control Interno y otros informes programadas)*100</t>
  </si>
  <si>
    <t>Tipo de plan</t>
  </si>
  <si>
    <t>Plan de Acción</t>
  </si>
  <si>
    <t>Plan Estratégico de Tecnologías de la Información y las Comunicaciones PETI</t>
  </si>
  <si>
    <t>Plan de Seguridad y Privacidad de la Información</t>
  </si>
  <si>
    <t xml:space="preserve">Plan de Tratamiento de Riesgos de Seguridad y Privacidad de la Información </t>
  </si>
  <si>
    <t xml:space="preserve">Plan Institucional de Capacitación </t>
  </si>
  <si>
    <t xml:space="preserve">Plan de Bienestar e Incentivos Institucionales </t>
  </si>
  <si>
    <t>Plan Anticorrupción y de Atención al Ciudadano</t>
  </si>
  <si>
    <t>Plan Institucional de Archivos</t>
  </si>
  <si>
    <t>Proyecto Estratégico</t>
  </si>
  <si>
    <t xml:space="preserve">Optimización de la ejecución del proceso de liquidación, reconocimiento, giro y reintegro de los recobros y reclamaciones 
</t>
  </si>
  <si>
    <t>Optimización de la liquidación, reconocimiento, giro y reintegro de la UPC, de las prestaciones económicas (PE), de la devolución de aportes y de la conciliación bancaria de cotizaciones.</t>
  </si>
  <si>
    <t xml:space="preserve">Mejoramiento de la infraestructura tecnológica para garantizar la operación de los procesos misionales
</t>
  </si>
  <si>
    <t xml:space="preserve">Gestión del riesgo legal
</t>
  </si>
  <si>
    <t xml:space="preserve">Gestión, análisis de información y consolidación de la transparencia.
</t>
  </si>
  <si>
    <t>Lograr calidad y oportunidad en los procesos de reconocimiento del aseguramiento</t>
  </si>
  <si>
    <t xml:space="preserve">Lograr calidad y oportunidad en los procesos de reconocimiento de prestaciones excepcionales </t>
  </si>
  <si>
    <t>VIGENCIA 2019</t>
  </si>
  <si>
    <t>Administrar los contenidos de medios digitales de la ADRES</t>
  </si>
  <si>
    <t>Adelantar las actuaciones administrativas y operativas del proceso de Cobro Coactivo, encaminadas a lograr el cobro efectivo de las acreencias por todo concepto a favor de la Administradora de los Recursos del Sistema General de Seguridad Social en Salud – ADRES.</t>
  </si>
  <si>
    <t xml:space="preserve">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
</t>
  </si>
  <si>
    <t>Contratar el servicio de documentación de los servicios TI y Sistemas de Información</t>
  </si>
  <si>
    <t>Servicio BPO-Mesa de ayuda</t>
  </si>
  <si>
    <t>Contratar una consultoría para la planeación, diagnóstico, alistamiento, implementación y monitoreo para la adopción del protocolo IPV6.</t>
  </si>
  <si>
    <t>Contratar la prestación de servicios técnicos para realizar análisis de vulnerabilidades, Ethical Hacking y pruebas de Ingeniería Social</t>
  </si>
  <si>
    <t>Implementación de los diferentes flujos de correspondencia, que incluya impresión de stickers, firma digital de documentos, estampado cronológico, reconocimiento OCR e integración con los flujos de PQRSD y Tutelas</t>
  </si>
  <si>
    <t>Apoyar a la Oficina Asesora Jurídica en la administración de la plataforma Ekogui, y demás actuaciones necesarias para gestionar y lograr el pago de las sentencias condenatorias y conciliaciones.</t>
  </si>
  <si>
    <t>Estructuración y elaboración del Plan Estratégico de TI</t>
  </si>
  <si>
    <t xml:space="preserve">Realizar el proceso de saneamiento de aportes patronales y el consecuente cierre de las cuentas bancarias de SGP, conforme al cronograma adoptado. </t>
  </si>
  <si>
    <t>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t>
  </si>
  <si>
    <t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t>
  </si>
  <si>
    <t xml:space="preserve">Verificar los actuales controles de los procesos de liquidación y reconocimiento de UPC y de prestaciones económicas, considerando las características de los afiliados (edad, género, ubicación geográfica, capacidad de pago, novedades). </t>
  </si>
  <si>
    <t>Ejecutar los procesos de compensación conforme al cronograma adoptado</t>
  </si>
  <si>
    <t xml:space="preserve">Tramitar oportunamente las solicitudes de prestaciones económicas radicadas por afiliados a los regímenes exceptuados y especiales con ingresos adicionales. </t>
  </si>
  <si>
    <t xml:space="preserve">Tramitar oportunamente las solicitudes de devoluciones de aportes radicadas por afiliados a los regímenes exceptuados y especiales con ingresos adicionales. </t>
  </si>
  <si>
    <t>Gestión de Servicio al ciudadano de la entidad  por los diferentes canales  de atención.</t>
  </si>
  <si>
    <t>Cooperación Interinstitucional con el Ministerio de Salud para la implementación del CENTRO ESPECIALIZADO DE SERVICIO AL CIUDADANO para las Entidades del Sector Salud</t>
  </si>
  <si>
    <t>Evaluar la satisfacción y percepción de los usuarios por el canal de atención presencial y virtual  en cuanto a los servicios brindados por la ADRES y socializar los resultados a las áreas involucradas para la generación de planes de mejoramiento.</t>
  </si>
  <si>
    <t>Implementar las recomendaciones generadas por CIDCCA bajo ajustes razonables al punto de Atención al Ciudadano y Correspondencia</t>
  </si>
  <si>
    <t xml:space="preserve">Informe semestral de acceso a información pública PQRS como lo establece la Ley 1474 de 2011. </t>
  </si>
  <si>
    <t>Consolidar la información de la atención de Quejas, Peticiones, Reclamos y Sugerencias y elaborar informes trimestrales.</t>
  </si>
  <si>
    <t>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t>
  </si>
  <si>
    <t>Evaluar bimensualmente un promedio de 30 respuestas a PQRSD y presentar recomendaciones a las dependencias competentes</t>
  </si>
  <si>
    <t>Participar en la Ferias del Servicio al Ciudadano del PNSC en las que la entidad decida asistir</t>
  </si>
  <si>
    <t>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</si>
  <si>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Informes trimestrales de PQRS presentado a la OCI de la Entidad</t>
  </si>
  <si>
    <t># Informes semestrales de acceso a información pública PQRS elaborados</t>
  </si>
  <si>
    <t xml:space="preserve">Cambio de jurisdicción de laboral a administrativa para resolver conflictos judiciales con la ADRES.
</t>
  </si>
  <si>
    <t xml:space="preserve">Ajustes normativos en cuanto a la no aplicación de intereses de mora en los pagos derivados de sentencias judiciales por recobros y reclamaciones .
</t>
  </si>
  <si>
    <t>Reporte Trimestral del Avance del Plan de Acción</t>
  </si>
  <si>
    <t>Realizar las auditorías internas y otros informes, de acuerdo a lo programado para la vigencia en el Plan Anual Auditorias</t>
  </si>
  <si>
    <t>Entrega de Informes de Evaluación y Seguimiento de los Requerimientos Legales Internos en el marco de la normatividad vigente</t>
  </si>
  <si>
    <t>Dar respuesta a los Requerimientos Legales Internos en el marco de la normatividad vigente</t>
  </si>
  <si>
    <t>Entrega de Informes de Evaluación y Seguimiento de los Requerimientos Legales Externos en el marco de la normatividad vigente</t>
  </si>
  <si>
    <t>Seguimientos al Plan de Mejoramiento suscrito con la CGR</t>
  </si>
  <si>
    <t>Boletines de Autocontrol con mensajes o actividades de promoción del  autocontrol para los funcionarios de ADRES.</t>
  </si>
  <si>
    <t>Dar respuesta a los Requerimientos Legales Externos en el marco de la normatividad vigente</t>
  </si>
  <si>
    <t>Comunicar a través de Boletines informativos temas de autocontrol y fomentar la cultura del autocontrol en la ADRES.</t>
  </si>
  <si>
    <t>Apoyo técnico para respuestas a PQRSD relacionadas con BDUA</t>
  </si>
  <si>
    <t xml:space="preserve">Servicios de Mesa de Ayuda </t>
  </si>
  <si>
    <t>Proceso de Compensación ejecutado</t>
  </si>
  <si>
    <t>Ejecutar los procesos de liquidación y reconocimiento de la UPC de los afiliados al régimen subsidiado.</t>
  </si>
  <si>
    <t>Liquidación y reconocimiento de la UPC de los Afiliados del Régimen Subsidiado</t>
  </si>
  <si>
    <t>Unidad</t>
  </si>
  <si>
    <t xml:space="preserve">Ejecutar los procesos de liquidación y reconocimiento de licencias de maternidad y paternidad. </t>
  </si>
  <si>
    <t xml:space="preserve">Liquidación y reconocimiento de licencias de maternidad y paternidad </t>
  </si>
  <si>
    <t xml:space="preserve"># Procesos de LMA ejecutados </t>
  </si>
  <si>
    <t xml:space="preserve">Desarrollar auditorías a los procesos de liquidación y reconocimiento de UPC de los afiliados al régimen contributivo y subsidiado. </t>
  </si>
  <si>
    <t>Informes de auditoría de los procesos de liquidación y reconocimiento de UPC de los afiliados al régimen contributivo y subsidiado</t>
  </si>
  <si>
    <t># Informes de auditoría elaborados</t>
  </si>
  <si>
    <t>Devoluciones económicas REX</t>
  </si>
  <si>
    <t># Solicitudes de devolución de aportes tramitadas / # Solicitudes de devolución de aportes radicadas</t>
  </si>
  <si>
    <t># Procesos optimizados</t>
  </si>
  <si>
    <t>Proceso de saneamiento de aportes ejecutado</t>
  </si>
  <si>
    <t>Controles de los procesos de liquidación y reconocimiento de UPC y de prestaciones económicas verificados y ajustados</t>
  </si>
  <si>
    <t>Propiciar la gestión y el análisis de la información de la prescripción, suministro, de recobros, reclamaciones y del aseguramiento en salud, para contribuir con la adopción de mecanismos de control y la formulación de políticas públicas.</t>
  </si>
  <si>
    <t>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t>
  </si>
  <si>
    <t>Flujos de correspondencia, que incluya impresión de stickers, firma digital de documentos, estampado cronológico, reconocimiento OCR e integración con los flujos de PQRSD y Tutelas</t>
  </si>
  <si>
    <t>Servicio de documentación de los servicios TI y Sistemas de Información</t>
  </si>
  <si>
    <t>Flujos de correspondencia implementados con el cumplimiento de requisitos / Flujos de correspondencia requeridos</t>
  </si>
  <si>
    <t xml:space="preserve">Unidad  </t>
  </si>
  <si>
    <t>Comunicaciones de ordenación del gasto resultantes del proceso de giro previo</t>
  </si>
  <si>
    <t>Comunicaciones de ordenación del gasto resultantes del proceso de pagos de los paquetes de recobros cuyo trámite de auditoria haya culminado</t>
  </si>
  <si>
    <t>Correos electrónicos de solicitud de publicación del giro por recobros</t>
  </si>
  <si>
    <t>Comunicaciones de ordenación del gasto resultantes del proceso de pagos de los paquetes de reclamaciones cuyo trámite de auditoria haya culminado</t>
  </si>
  <si>
    <t>Correos electrónicos de solicitud de publicación del giro por reclamaciones</t>
  </si>
  <si>
    <t>Ordenar el giro previo a favor de las entidades recobrantes y proveedores de servicios y tecnologías no incluidas en el PB con cargo a la UPC</t>
  </si>
  <si>
    <t>Ordenar el pago de los paquetes de recobros cuyo trámite de auditoría haya culminado, para el trámite de reconocimiento y pago por parte de ADRES</t>
  </si>
  <si>
    <t xml:space="preserve">Solicitar la publicación del los giros ordenados por recobros </t>
  </si>
  <si>
    <t>Ordenar el pago de los paquetes de reclamaciones cuyo trámite de auditoría haya culminado, para el trámite de reconocimiento y pago por parte de ADRES</t>
  </si>
  <si>
    <t>Solicitar la publicación del los giros ordenados por reclamaciones</t>
  </si>
  <si>
    <t xml:space="preserve"># Procesos de liquidación y reconocimiento de licencias de maternidad y paternidad ejecutados </t>
  </si>
  <si>
    <t># Apoyos técnicos entregados a la OAJ / # apoyos técnicos resueltos por la Dirección de Tecnología</t>
  </si>
  <si>
    <t xml:space="preserve"># Comunicaciones de ordenación de gasto del giro previo </t>
  </si>
  <si>
    <t># Ordenaciones realizadas de paquetes de recobros MYT0102 con resultado de auditoría culminado/ # paquetes MYT0102 cuyo tramite de auditoria haya culminado</t>
  </si>
  <si>
    <t># Ordenaciones realizadas de paquetes de recobros MYT04 con resultado de auditoría culminado/ # paquetes MYT04 cuyo tramite de auditoria haya culminado</t>
  </si>
  <si>
    <t># Solicitudes de publicación de giros por recobros / # ordenaciones de giros por recobros</t>
  </si>
  <si>
    <t># Ordenaciones de paquetes de reclamaciones con resultado de auditoría culminado / # paquetes cuyo tramite de auditoría haya culminado</t>
  </si>
  <si>
    <t># Solicitudes de publicación de giros por reclamaciones / # ordenaciones de giros por reclamaciones</t>
  </si>
  <si>
    <t># Procesos de saneamiento de aportes ejecutados / # procesos de saneamiento de aportes programados en el cronograma</t>
  </si>
  <si>
    <t># Controles verificados y ajustados / # controles con ajuste requerido</t>
  </si>
  <si>
    <t># Procesos de compensación ejecutados / # procesos de compensación programados en el cronograma</t>
  </si>
  <si>
    <t># Solicitudes de prestaciones económicas tramitadas / # solicitudes de prestaciones económicas radicadas</t>
  </si>
  <si>
    <t># Informes trimestrales reportados</t>
  </si>
  <si>
    <t># Recomendaciones realizadas / # PQRSD evaluadas</t>
  </si>
  <si>
    <t># Encuestas evaluadas como excelente / # encuestas realizadas</t>
  </si>
  <si>
    <t># Informes trimestrales elaborados y socializado</t>
  </si>
  <si>
    <t># Informes sobre servicios técnicos para realizar análisis de vulnerabilidades, Ethical Hacking y pruebas de Ingeniería Social adquiridos</t>
  </si>
  <si>
    <t># Manuales documentados/ # manuales requeridos</t>
  </si>
  <si>
    <t>Realizar los informes trimestrales de satisfacción a los servicios prestados por la entidad por el canal presencial y presentar las recomendaciones a las áreas de la entidad.</t>
  </si>
  <si>
    <t>Servicios, infraestructura, Sistemas de información migrados (Transición) a IPV6 y compatibilidad con IPV4</t>
  </si>
  <si>
    <t>(Servicios, infraestructura, Sistemas de información) migrados a IPV6 / (Servicios, infraestructura, Sistemas de información) compatibles a migración IPV6</t>
  </si>
  <si>
    <t>Informe sobre servicios técnicos para realizar análisis de vulnerabilidades, ethical Hacking y pruebas de Ingeniería Social adquiridos</t>
  </si>
  <si>
    <t>Procesos optimizados mediante desarrollos o ajustes tecnológicos</t>
  </si>
  <si>
    <t>Cobro efectivo de las acreencias por todo concepto a favor de la Administradora de los Recursos del Sistema General de Seguridad Social en Salud – ADRES.</t>
  </si>
  <si>
    <t>Realizar periodicamente depuración de cartera confome a las normas contables aplicables</t>
  </si>
  <si>
    <t>Sitio Web de la ADRES diseñado y en funcionamiento</t>
  </si>
  <si>
    <t xml:space="preserve">Unidad    </t>
  </si>
  <si>
    <t># Sitios Web de la ADRES diseñado y en funcionamiento</t>
  </si>
  <si>
    <t>Informe mensual de los contenidos digitales de la ADRES</t>
  </si>
  <si>
    <t># Informes de administración de contenidos digitales de la ADRES presentados</t>
  </si>
  <si>
    <t>Correos electrónicos con el monitoreo de noticias</t>
  </si>
  <si>
    <t># Informes e audiencia pública de rendición de cuentras</t>
  </si>
  <si>
    <t xml:space="preserve">Ejercer la representación judicial del recurso extraordinario de casación  y procesos cuya relevancia y asuntos que requieran de su intervención para la adecuada defensa de los intereses de la Entidad, entre las que se encuentran las acciones de repetición. </t>
  </si>
  <si>
    <t>Recursos de casación y representación judicial</t>
  </si>
  <si>
    <t>(# argumentos pertinentes X recursos presentados) / (# argumentos totales X procesos entregados)</t>
  </si>
  <si>
    <t># Autos notificados por estado / # autos informados por el contratista</t>
  </si>
  <si>
    <t>Revisión, análisis y liquidación de sentencias condenatorias</t>
  </si>
  <si>
    <t>Entrega de la provisión de contingencias judiciales al Grupo de Gestión Contable y Control de Recursos ET en la fecha pactada</t>
  </si>
  <si>
    <t>Tiempo (días)</t>
  </si>
  <si>
    <t>Fecha de entrega real de la provisión de contingencias judiciales durante el trimestre - Fecha de entrega pactada con el Grupo de Gestión Contable y Control de Recursos ET</t>
  </si>
  <si>
    <t>Procesos radicados en Ekogui</t>
  </si>
  <si>
    <t>Intervención en los procesos e investigaciones penales</t>
  </si>
  <si>
    <t xml:space="preserve">Ejercer la representación prejudicial y  judicial en los procesos en que sea parte la  – ADRES </t>
  </si>
  <si>
    <t># Fichas técnicas demandas próximas a audiencia inicial / # audiencias iniciales</t>
  </si>
  <si>
    <t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t>
  </si>
  <si>
    <t>Respuestas a reclamaciones</t>
  </si>
  <si>
    <t xml:space="preserve">Apoyar a la Oficina Asesora Jurídica en las actividades relacionadas con el ejercicio de las funciones de la Secretaría Técnica  del Comité de Conciliación;  y en las actividades propias de dicho organismo en el Ekogui. </t>
  </si>
  <si>
    <t># Actas debidamente firmadas / # sesiones del Comité de Conciliación</t>
  </si>
  <si>
    <t>Apoyo a las actividades administrativas y operativas  requeridas por el Grupo de Representación Judicial</t>
  </si>
  <si>
    <t xml:space="preserve">Reparto </t>
  </si>
  <si>
    <t># asignaciones realizadas / # de radicados de correspondencia</t>
  </si>
  <si>
    <t>Poderes</t>
  </si>
  <si>
    <t># Poderes elaborados / # demandas asignadas a los apoderados</t>
  </si>
  <si>
    <t># Ordenes Giradas / # Ordenes solicitadas</t>
  </si>
  <si>
    <t># Estados Financieros reportados a entes de control  / # Estados Financieros solicitados por entes de control</t>
  </si>
  <si>
    <t>Reportar Estados Financieros</t>
  </si>
  <si>
    <t>Informes de Portafolio</t>
  </si>
  <si>
    <t>Realizar informes de portafolio</t>
  </si>
  <si>
    <t>Tramitar Ordenes de Giro</t>
  </si>
  <si>
    <t>Tablas de Retención Documental - TRD actualizadas y aprobadas</t>
  </si>
  <si>
    <t># TRD actualizadas y aprobadas / # de TRD generadas y aprobadas en la vigencia 2018</t>
  </si>
  <si>
    <t xml:space="preserve">Tramitar las acciones constitucionales y demás asuntos derivados de éstas, que se instauren contra la Administradora de los Recursos del Sistema General de Seguridad Social en Salud - ADRES o contra el entonces FOSYGA. </t>
  </si>
  <si>
    <t># Acciones constitucionales tramitadas Oportunamente / # Acciones constitucionales  radicadas que requieren Trámite</t>
  </si>
  <si>
    <t xml:space="preserve">Atender las solicitudes de informes derivadas de acciones constitucionales </t>
  </si>
  <si>
    <t>Adelantar acercamientos con altos organismos de rama judicial con el objeto de reducir el volumen de tutelas que recibe la entidad</t>
  </si>
  <si>
    <t>Documentos de acercamiento con la rama judicial (Comunicaciones o actas de reuniones o actos administrativos)</t>
  </si>
  <si>
    <t># Documentos de acercamiento con la rama judicial</t>
  </si>
  <si>
    <t>EXCEPCIONES PRESUPUESTALES</t>
  </si>
  <si>
    <t>ÍTEM/RUBRO</t>
  </si>
  <si>
    <t>VALOR</t>
  </si>
  <si>
    <t>Nómina</t>
  </si>
  <si>
    <t>Servicios públicos</t>
  </si>
  <si>
    <t>Gastos judiciales</t>
  </si>
  <si>
    <t>Subtotal</t>
  </si>
  <si>
    <t>TOTAL</t>
  </si>
  <si>
    <t>Cuentas por pagar</t>
  </si>
  <si>
    <t>VALIDACIONES</t>
  </si>
  <si>
    <t>Plan de Acción Proyectos estratégicos</t>
  </si>
  <si>
    <t>Plan de Acción Misional</t>
  </si>
  <si>
    <t>Plan de Acción apoyo transversal</t>
  </si>
  <si>
    <t>TOTAL PRESUPUESTO</t>
  </si>
  <si>
    <t>PLANES DE ACCIÓN + EXCEPCIONES</t>
  </si>
  <si>
    <t>DIFERENCIAS</t>
  </si>
  <si>
    <t>Actas de las audiencias, memoriales y
providencias judiciales que se generen en la ejecución de las actividades de defensa de los intereses de la entidad</t>
  </si>
  <si>
    <t>Valor pagado/valor programado</t>
  </si>
  <si>
    <t>Participación de la ADRES en ferias de Servicio al Ciudadano programadas por el DNP-PNSC  y promocionar los servicios y realizar trámites de la Entidad</t>
  </si>
  <si>
    <t># Ferias de servicio al ciudadano en las que ADRES participó / # Ferias de servicio al ciudadano programadas por el DNP-PNSC de interés para la ADRES</t>
  </si>
  <si>
    <t>Recomendaciones implementadas</t>
  </si>
  <si>
    <t># Recomendaciones implementadas  / # recomendaciones aprobadas</t>
  </si>
  <si>
    <t>Conceptos jurídicos</t>
  </si>
  <si>
    <t>Remitir comunicaciones a los terceros deudores informándoles lo adeudado a la ADRES</t>
  </si>
  <si>
    <t>Comunicaciones enviadas</t>
  </si>
  <si>
    <t xml:space="preserve">Unidad   </t>
  </si>
  <si>
    <t xml:space="preserve"># Resoluciones que ordenan el cobro </t>
  </si>
  <si>
    <t># Comunicaciones enviadas</t>
  </si>
  <si>
    <t>Actos Administrativos mediante los cuales se ordena la depuración de reclamaciones y los estados financieros de la entidad</t>
  </si>
  <si>
    <t># Actos Administrativos proferidos / Universo de reclamaciones</t>
  </si>
  <si>
    <t>Conciliar con el Grupo de Tesorería de la DGRFS los pagos realizados por los terceros deudores con ocasión de los acuerdos de pago</t>
  </si>
  <si>
    <t>Pagos registrados en el SII PRE Procesos de repetición</t>
  </si>
  <si>
    <t># Pagos registrados en SII PRE / # pagos realizados y conciliados</t>
  </si>
  <si>
    <t>Pago de la cartera vendida a CISA S.A de resoluciones ejecutoriadas con mas de 180 días</t>
  </si>
  <si>
    <t xml:space="preserve"># Reclamaciones Vendidas contenidas en actos administrativos ejecutoriados con mora mayor a 180 días / # Reclamaciones contenidas actos administrativos ejecutoriados con mora mayor a 180 días </t>
  </si>
  <si>
    <t xml:space="preserve">Monto pagado por CISA S.A / Monto de cartera vendida </t>
  </si>
  <si>
    <t>Otro sí al convenio especificando las necesidades y acceso a la información</t>
  </si>
  <si>
    <t># Otro si suscrtos</t>
  </si>
  <si>
    <t>Estudiar el convenio 370 del 2015 suscrito con el Ministerio de Transporte  y adelantar las gestiones que correspondan para que se amplíen los criterios de acceso a la información a la plataforma del RUNT</t>
  </si>
  <si>
    <t>Convenios o contratos interadministrativos</t>
  </si>
  <si>
    <t>Adelantar acercamientos con entidades del estado tales como la RNEC en aras de acceder a la informacion de los terceros deudores</t>
  </si>
  <si>
    <t>Plan Institucional de Capacitación</t>
  </si>
  <si>
    <t>Profesiograma elaborado</t>
  </si>
  <si>
    <t># Profesiogramas elaborados</t>
  </si>
  <si>
    <t>Elementos ergonómicos adquiridos</t>
  </si>
  <si>
    <t># Elementos ergonómicos adquiridos/ # elementos ergonómicos requeridos</t>
  </si>
  <si>
    <t xml:space="preserve">Plan de Trabajo Anual del Sistema de Seguridad y Salud en el Trabajo </t>
  </si>
  <si>
    <t># Estudios ambientales y ergonómicos realizados</t>
  </si>
  <si>
    <t>Realizar estudios ambientales y ergonómicos en salud ocupacional</t>
  </si>
  <si>
    <t>Plan Anticorrupción y de Atención al Ciudadano
Plan de Tratamiento de Riesgos de Seguridad y Privacidad de la Información
Plan de Seguridad y Privacidad de la Información</t>
  </si>
  <si>
    <t>Implementación de un módulo tecnológico en el CRM como herramienta de medición de oportunidad de respuestas a PQRSD.</t>
  </si>
  <si>
    <t>Política aprobada y publicada en la página Web</t>
  </si>
  <si>
    <t>Jornada de capacitación sobre las características y generalidades de información, que puede ser considerada como dato abierto.</t>
  </si>
  <si>
    <t>Actualizar de manera colaborativa la Política del Sistema Integrado de Administración de Riesgos de la ADRES.</t>
  </si>
  <si>
    <t>Capacitar a los funcionarios sobre las características y generalidades de información, que puede ser considerada como dato abierto.</t>
  </si>
  <si>
    <t># Módulos tecnológicos en el CRM como herramienta de medición de oportunidad de respuestas a PQRSD implementados.</t>
  </si>
  <si>
    <t># Políticas aprobadas y publicadas en la página Web</t>
  </si>
  <si>
    <t># Jornadas de capacitación realizadas</t>
  </si>
  <si>
    <t>Autodiagnóstico del Modelo de Seguridad y Privacidad Revisado</t>
  </si>
  <si>
    <t>Políticas General y Específicas de Seguridad y Privacidad de la Información</t>
  </si>
  <si>
    <t>Procedimientos relacionados con Seguridad de la Información</t>
  </si>
  <si>
    <t>Realizar evaluación del autodiagnóstico del Modelos de Seguridad y Privacidad de la Información - MSPI 1 vez por semestre</t>
  </si>
  <si>
    <t>Definir y aprobar las políticas de Seguridad que soportan el MSPI</t>
  </si>
  <si>
    <t>Elaborar y aprobar de los procedimientos relacionados con Seguridad de la Información que corresponden por competencias  directamente a la DGTIC.</t>
  </si>
  <si>
    <t># Políticas aprobadas mediante acto administrativo o equivalente</t>
  </si>
  <si>
    <t xml:space="preserve"># Procedimientos aprobados </t>
  </si>
  <si>
    <t>Campaña de sensibilización en Seguridad y Privacidad de la Información</t>
  </si>
  <si>
    <t>Jornadas de capacitación frente a temas de Seguridad y Privacidad de la Información</t>
  </si>
  <si>
    <t>Realizar campaña de sensibilización en Seguridad y Privacidad de la Información para Servidores Públicos y Contratistas</t>
  </si>
  <si>
    <t>Realizar jornadas de Capacitación en Seguridad y Privacidad de la Información para Servidores Públicos y Contratistas</t>
  </si>
  <si>
    <t xml:space="preserve"># Campañas de sensibilización en Seguridad y Privacidad de la Información </t>
  </si>
  <si>
    <t xml:space="preserve"># Jornadas de Capacitación en Seguridad y Privacidad de la Información para Servidores Públicos y Contratistas </t>
  </si>
  <si>
    <t>Plan de Seguridad y Privacidad de la Información
Plan de Acción</t>
  </si>
  <si>
    <t># Riesgos actualizados en el mapa en el periodo / # Total de Riesgos en el periodo</t>
  </si>
  <si>
    <t>Acto Administrativo que formaliza para ADRES la actualización de la Política de Administración de Riesgos</t>
  </si>
  <si>
    <t>Actualiza y formalizar la Política del Sistema Integrado de Administración de Riesgos de la ADRES.</t>
  </si>
  <si>
    <t># Actos administrativos de formalización de la política</t>
  </si>
  <si>
    <t>Publicación y Socialización de la versión actualizada de la Política del Sistema Integrado de Administración de Riesgos de la ADRES.</t>
  </si>
  <si>
    <t>Política publicada en página web.</t>
  </si>
  <si>
    <t># Políticas publicadas en página web.</t>
  </si>
  <si>
    <t># Jornadas de socialización realizadas</t>
  </si>
  <si>
    <t>Jornadas de socialización de la Política actualizada a funcionarios y contratistas</t>
  </si>
  <si>
    <t>Mapa de riesgos actalizado, publicado y socializado</t>
  </si>
  <si>
    <t># Mapas de riesgos publicados en página web en el periodo / # Mapas de riesgos actualizados en el periodo</t>
  </si>
  <si>
    <t>Disposición de instrumento en página web, con el fin de que la ciudadanía y partes interesadas realicen observaciones, recomendaciones y comentarios al Mapa de Riesgos Operativos, de Corrupción y de Seguridad Digital actualizado y al Plan de Acción</t>
  </si>
  <si>
    <t>Informe consolidado de observaciones, recomendaciones y comentarios al Mapa de Riesgos y al Plan de Acción</t>
  </si>
  <si>
    <t># lnformes al Mapa de Riesgos y al Plan de Acción</t>
  </si>
  <si>
    <t>Informes de seguimiento a los Mapas de Riesgos con corte 30 de abril, 31 de agosto y 31 de diciembre</t>
  </si>
  <si>
    <t>Realizar seguimiento al Mapa de Riesgos Operativos, de Corrupción y de Seguridad Digital y a la efectividad de los controles</t>
  </si>
  <si>
    <t># Informes de seguimiento a los Mapas de Riesgos</t>
  </si>
  <si>
    <t>Organizar la publicación de la información sobre la gestión de la entidad para proporcionar información relevante a los grupos de interés</t>
  </si>
  <si>
    <t># Secciones de publicación de información habilitadas</t>
  </si>
  <si>
    <t>Sección de publicación de información habilitada en el sitio de transparencia de la página Web</t>
  </si>
  <si>
    <t>Elaborar y publicar el informe de gestión de la entidad vigencia 2018</t>
  </si>
  <si>
    <t>Informe de gestión de la entidad vigencia 2018 publicado</t>
  </si>
  <si>
    <t># Informes de gestión publicados</t>
  </si>
  <si>
    <t>Autoevaluar el cumplimiento de la estrategia de rendición de cuentas implementada por la entidad.</t>
  </si>
  <si>
    <t>Informe de resultados de la estrategia de rendición de cuentas publicado en página web de la entidad.</t>
  </si>
  <si>
    <t># Informes de resultados de la estrategia de rendición de cuentas publicados</t>
  </si>
  <si>
    <t xml:space="preserve">Articular la publicación de información mínima requerida por la Ley 1712 de 2014 en página web </t>
  </si>
  <si>
    <t>Solicitudes de publicación de información a las dependencias</t>
  </si>
  <si>
    <t># Solicitudes realizadas a las dependencias / # solicitudes requeridas</t>
  </si>
  <si>
    <t>Plan estratégico cuatrienal aprobado</t>
  </si>
  <si>
    <t># Planes estratégicos cuatrienales aprobados</t>
  </si>
  <si>
    <t>Formular un plan estratégico cuatrienal de acuerdo con el Plan Nacional de Desarrollo vigente</t>
  </si>
  <si>
    <t>Implementar el SARLAFT</t>
  </si>
  <si>
    <t>SARLAFT implementado</t>
  </si>
  <si>
    <t># Actividades ejecutadas / # actividades programadas</t>
  </si>
  <si>
    <t>SARL, SARC y SARM implementados</t>
  </si>
  <si>
    <t>Apoyar la definición e implementación del Plan de Continuidad del Negocio</t>
  </si>
  <si>
    <t>Plan de Continuidad del negocio implementado</t>
  </si>
  <si>
    <t># procesos radicados en Ekogui / # procesos asignados a los apoderados</t>
  </si>
  <si>
    <t>11500-1-1-1-1</t>
  </si>
  <si>
    <t>11500-1-1-2</t>
  </si>
  <si>
    <t>11500-1-1-2-1</t>
  </si>
  <si>
    <t>11500-1-1-3</t>
  </si>
  <si>
    <t>11500-1-1-3-1</t>
  </si>
  <si>
    <t>11500-1-1-4</t>
  </si>
  <si>
    <t>11500-1-1-4-1</t>
  </si>
  <si>
    <t>11600-1-1-1-1</t>
  </si>
  <si>
    <t>11600-1-1-2</t>
  </si>
  <si>
    <t>11600-1-1-2-1</t>
  </si>
  <si>
    <t>11600-2-6</t>
  </si>
  <si>
    <t>11600-2-6-1</t>
  </si>
  <si>
    <t>11600-2-11</t>
  </si>
  <si>
    <t>11600-2-11-1</t>
  </si>
  <si>
    <t>11600-2-13</t>
  </si>
  <si>
    <t>11600-2-13-1</t>
  </si>
  <si>
    <t>11600-2-15</t>
  </si>
  <si>
    <t>11600-2-15-1</t>
  </si>
  <si>
    <t>11600-2-16</t>
  </si>
  <si>
    <t>11600-2-16-1</t>
  </si>
  <si>
    <t>11500-1-1-8</t>
  </si>
  <si>
    <t>11500-1-1-5</t>
  </si>
  <si>
    <t>11500-1-1-6</t>
  </si>
  <si>
    <t>11500-1-1-6-1</t>
  </si>
  <si>
    <t>11500-1-1-5-1</t>
  </si>
  <si>
    <t>11500-1-1-7</t>
  </si>
  <si>
    <t>11500-1-1-8-1</t>
  </si>
  <si>
    <t>11500-1-1-7-1</t>
  </si>
  <si>
    <t>11900-1-2</t>
  </si>
  <si>
    <t>11900-1-2-1</t>
  </si>
  <si>
    <t>11900-1-3</t>
  </si>
  <si>
    <t>11900-1-4</t>
  </si>
  <si>
    <t>11900-1-5</t>
  </si>
  <si>
    <t>11900-1-5-1</t>
  </si>
  <si>
    <t>11900-1-4-1</t>
  </si>
  <si>
    <t>11900-1-4-2</t>
  </si>
  <si>
    <t>11900-1-6</t>
  </si>
  <si>
    <t>11900-1-6-1</t>
  </si>
  <si>
    <t>Informe de alternativas para optimizar y sistematizar el proceso de auditoria integral</t>
  </si>
  <si>
    <t>Optimizar y sistematizar el proceso de auditoría integral en salud, jurídica y financiera de recbros y reclamaciones</t>
  </si>
  <si>
    <t>11500-1-1-5-2</t>
  </si>
  <si>
    <t>Organizar, digitalizar y transferir el archivo documental de gestión correspondiente al periodo comprendido entre agosto de 2017 y agosto de 2018, ubicado en las instalaciones de la ADRES</t>
  </si>
  <si>
    <t xml:space="preserve">Archivo documental transferido al custodio final </t>
  </si>
  <si>
    <t>Actualizar las TRD y someterlas a aprobación del Comité Institucional de Gestión y Desempeño</t>
  </si>
  <si>
    <t>Realizar los estudios técnicos, de mercado y económicos para la valoración documental</t>
  </si>
  <si>
    <t>Estudios técnicos, de mercado y económicos para la valoración documental</t>
  </si>
  <si>
    <t>Definir la política de cero papel y someterla a aprobación del Comité Institucional de Gestión y Desempeño</t>
  </si>
  <si>
    <t>Definir la política y los indicadores de gestión ambiental y someterlos a aprobación del Comité Institucional de Desarrollo Administrativo</t>
  </si>
  <si>
    <t>Revisar los formatos de los procesos a cargo de la Dirección Administrativa y Financiera para determinar su conveniencia</t>
  </si>
  <si>
    <t>Poner en funcionamiento de un digiturno, de acuerdo a las especificaciones técnicas definidas por ADRES y evaluación satisfacción usuarios</t>
  </si>
  <si>
    <t>Digiturno puesto a disposición de los ciudadanos que acuden al punto de atención presencial de la ADRES</t>
  </si>
  <si>
    <t># Digiturnos puestos en funcionamiento</t>
  </si>
  <si>
    <t>Brindar atención, respuesta inmediata, seguimiento a solicitudes de los ciudadanos, empresas y servidores públicos sobre los tramites y servicios de la ADRES y para la ejecución de Campañas informativas</t>
  </si>
  <si>
    <t>Plan Anticorrupción y de Atención al Ciudadano
Plan Institucional de Capacitación</t>
  </si>
  <si>
    <t xml:space="preserve"># Funcionarios que recibieron la información </t>
  </si>
  <si>
    <t># Mesas de trabajo en las que ADRES participó / # mesas de trabajo convocadas</t>
  </si>
  <si>
    <t>Seguimiento a la calidad y lenguaje claro de las respuestas dadas por los funcionarios a las PQRSD radicadas en la Entidad y presentar recomendaciones a las áreas competentes.</t>
  </si>
  <si>
    <t>11900-1-9</t>
  </si>
  <si>
    <t>11900-1-10</t>
  </si>
  <si>
    <t>11900-1-10-1</t>
  </si>
  <si>
    <t>11900-1-10-2</t>
  </si>
  <si>
    <t>11900-1-10-3</t>
  </si>
  <si>
    <t>11900-1-9-1</t>
  </si>
  <si>
    <t>11900-1-11</t>
  </si>
  <si>
    <t>11900-1-11-1</t>
  </si>
  <si>
    <t>11900-1-12</t>
  </si>
  <si>
    <t>11900-1-13</t>
  </si>
  <si>
    <t>11900-1-13-1</t>
  </si>
  <si>
    <t>11900-1-13-2</t>
  </si>
  <si>
    <t>11900-1-14</t>
  </si>
  <si>
    <t>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</si>
  <si>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11900-1-3-1</t>
  </si>
  <si>
    <t>2. Salud pública para la transformación de la calidad de vida con deberes y derechos</t>
  </si>
  <si>
    <t>1.  Alcanzar la eficiencia del sector, optimizando los recursos disponibles y generando nuevos con el aporte de todos</t>
  </si>
  <si>
    <t xml:space="preserve">2.1 Liderar las acciones intersectoriales para la promoción de políticas saludables.
</t>
  </si>
  <si>
    <t xml:space="preserve">1.1  Establecer un acuerdo de punto final para determinar el valor de la cartera y las alternativas de reconocimiento.
</t>
  </si>
  <si>
    <t xml:space="preserve">1.2 Hacer más eficiente el gasto en salud a través de la actualización del plan de beneficios (PBS) y otras medidas que hagan más eficiente el gasto no PBS. </t>
  </si>
  <si>
    <t xml:space="preserve">N.A
</t>
  </si>
  <si>
    <t>Actualizar el manual de la Política de Servicio al Ciudadano con el propósito de orientar la gestión al interior de la entidad y socializarlo en los programas de Inducción y Reinducción de la ADRES</t>
  </si>
  <si>
    <t># Manuales de Política de Servicio al Ciudadano actualizados</t>
  </si>
  <si>
    <t>Manual  de la Política de Servicio al Ciudadano actualizado para mejorar los estándares de servicio al interior de la Entidad</t>
  </si>
  <si>
    <t>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t>
  </si>
  <si>
    <t>Información difundida a los funcionarios sobre servicio al ciudadano, tramites, servicios y OPAS de la entidad.</t>
  </si>
  <si>
    <t># Cajas Transferidas por trimestre</t>
  </si>
  <si>
    <t># Estudios técnicos, de mercado y económicos para la valoración documental realizados</t>
  </si>
  <si>
    <t>Informe de Politica y los indicadores de gestión ambiental y someterlos a aprobación del Comité Institucional de Gestión y Desempeño</t>
  </si>
  <si>
    <t>Informe de Politica de "Cero papel" para aprobación del Comite Institucional de Gestión y Desempeño</t>
  </si>
  <si>
    <t># Informes de Politica y los indicadores de gestión ambiental para aprobación del Comité Institucional de Gestión y Desempeño</t>
  </si>
  <si>
    <t># Informes finales de la Politica de "Cero papel" para aprobación del Comite Institucional de Gestión y Desempeño</t>
  </si>
  <si>
    <t>Actualizar las bases de información sobre la gestión del cobro coactivo</t>
  </si>
  <si>
    <t>Bases de información actualizadas</t>
  </si>
  <si>
    <t># Actos administrativos y actuaciones actualizados en las bases de información / # expedientes entregados en reparto</t>
  </si>
  <si>
    <t>11900-1-1-1-1</t>
  </si>
  <si>
    <t>11900-1-1-2</t>
  </si>
  <si>
    <t>11900-1-1-2-1</t>
  </si>
  <si>
    <t>11900-1-1-3</t>
  </si>
  <si>
    <t>11900-1-1-3-1</t>
  </si>
  <si>
    <t>11900-1-15</t>
  </si>
  <si>
    <t>11900-1-15-1</t>
  </si>
  <si>
    <t>11900-1-16</t>
  </si>
  <si>
    <t>11900-1-17-1</t>
  </si>
  <si>
    <t>11900-1-18</t>
  </si>
  <si>
    <t>11900-1-18-1</t>
  </si>
  <si>
    <t>Diseñar, desarrollar, implementar  y  dar soporte técnico al nuevo portal web e intranet de la ADRES bajo la plataforma Microsoft SharePoint</t>
  </si>
  <si>
    <t>11200-1-2</t>
  </si>
  <si>
    <t>11200-1-5</t>
  </si>
  <si>
    <t>11200-1-2-1</t>
  </si>
  <si>
    <t>11200-1-3</t>
  </si>
  <si>
    <t>11200-1-3-1</t>
  </si>
  <si>
    <t>Realizar piezas audiovisuales para la audiencia pública de rendición de cuentas de la ADRES, así como su cubrimiento y transmisión de video en línea</t>
  </si>
  <si>
    <t>Plan de Acción
Plan Anticorrupción y de Atención al Ciudadano</t>
  </si>
  <si>
    <t>Informe de audiencia pública de rendición de cuentas</t>
  </si>
  <si>
    <t>11200-1-4</t>
  </si>
  <si>
    <t>11200-1-4-1</t>
  </si>
  <si>
    <t>11200-1-5-1</t>
  </si>
  <si>
    <t>Matriz de requisitos legales actualizada</t>
  </si>
  <si>
    <t xml:space="preserve"> Documentos del SG-SST actualizados</t>
  </si>
  <si>
    <t>Reuniones - Inspecciones - Acompañamiento y seguimiento en el desarrollo del Comité paritario de seguridad y Salud en el trabajo</t>
  </si>
  <si>
    <t>Informe de la evaluación de cumplimiento del SG-SST de proveedores y contratistas "de personería jurídica"</t>
  </si>
  <si>
    <t>Informe de la auditoria interna del SG-SST</t>
  </si>
  <si>
    <t>Plan de Trabajo Anual del Sistema de Seguridad y Salud en el Trabajo 
Plan Institucional de Capacitación</t>
  </si>
  <si>
    <t>Actualizar la matriz de requisitos legales</t>
  </si>
  <si>
    <t>Realizar verificación y actualización de los documentos del SG-SST según requerimientos del decreto 1072 de 2015 y Resolución 1111 de 2017.</t>
  </si>
  <si>
    <t>Realizar Reuniones - Inspecciones - Acompañamiento y seguimiento en el desarrollo del Comité paritario de seguridad y Salud en el trabajo</t>
  </si>
  <si>
    <t>Realizar evaluación de cumplimiento del SG-SST de proveedores y contratistas "de personería jurídica"</t>
  </si>
  <si>
    <t>Realizar auditoria interna del SG-SST</t>
  </si>
  <si>
    <t>Realizar plan de acción de los hallazgos generados por auditoria interna o entes de control.</t>
  </si>
  <si>
    <t xml:space="preserve">Socializar y divulgar las Políticas de SST y Prevención de alcohol y drogas a todos los servidores públicos y partes interesadas. </t>
  </si>
  <si>
    <t>Elaborar  programa de medicina preventiva y definir las actividades de intervención de la ATEL.</t>
  </si>
  <si>
    <t xml:space="preserve">Elaborar programa de orden y aseso  y definir las actividades de intervención </t>
  </si>
  <si>
    <t>Programa de medicina preventiva elaborado</t>
  </si>
  <si>
    <t>Programa de orden y aseso elaborado</t>
  </si>
  <si>
    <t>Elaborar el programa de vigilancia epidemiológicos  de riesgo Psicosocial y Biomecánico y definir las actividades de  intervención.</t>
  </si>
  <si>
    <t>Elaborar el programa de manejo de sustancias químicas (Sistema Globalmente armonizado)</t>
  </si>
  <si>
    <t>Socializar y divulgar los roles y responsabilidades a todos los servidores públicos y partes interesadas</t>
  </si>
  <si>
    <t>Divulgar el Plan de Emergencias</t>
  </si>
  <si>
    <t>Divulgar el programa de mantenimiento</t>
  </si>
  <si>
    <t>Divulgar el programa de inspecciones</t>
  </si>
  <si>
    <t>Programa de vigilancia epidemiológicos  de riesgo Psicosocial y Biomecánico elaborado</t>
  </si>
  <si>
    <t>Programa de manejo de sustancias químicas (Sistema Globalmente armonizado) elaborado</t>
  </si>
  <si>
    <t xml:space="preserve">Realizar Rendición de Cuentas  del Sistema de Seguridad y Salud en el Trabajo a todos los niveles de la Entidad </t>
  </si>
  <si>
    <t>Rendición de Cuentas del Sistema de Seguridad y Salud en el Trabajo a todos los niveles de la Entidad  realizada</t>
  </si>
  <si>
    <t>Jornada de divulgación del Plan de Emergencias realizada</t>
  </si>
  <si>
    <t>Jornada de socialización y divulgación de las Políticas de SST y Prevención de alcohol y drogas a todos los servidores públicos y partes interesadas realizada</t>
  </si>
  <si>
    <t>Jornada de socialización y divulgación de los roles y responsabilidades a todos los servidores públicos y partes interesadas realizada</t>
  </si>
  <si>
    <t>Jornada de divulgación  del programa de inspecciones  realizada</t>
  </si>
  <si>
    <t>Jornada de divulgación del programa de mantenimiento realizada</t>
  </si>
  <si>
    <t>Informes de resultado de la investigación</t>
  </si>
  <si>
    <t>Investigar los eventos de incidentes, accidentes de trabajo  y/o enfermedades laborales que se presenten</t>
  </si>
  <si>
    <t># Informes de resultado de la investigación / # eventos de incidentes, accidentes de trabajo y/o enfermedades reportados</t>
  </si>
  <si>
    <t>Plan de acción de los hallazgos generados por auditoria interna o entes de control.</t>
  </si>
  <si>
    <t># de actividades realizadas</t>
  </si>
  <si>
    <t>Informe de evaluación de los formatos de los procesos a cargo de la Dirección Administrativa y Financiera para determinar su conveniencia</t>
  </si>
  <si>
    <t># Informe de evaluación de los formatos de los procesos a cargo  de la Dirección Administrativa y Financiera de la Dirección Administrativa y Financiera para determinar su conveniencia</t>
  </si>
  <si>
    <t>11700-1-2</t>
  </si>
  <si>
    <t>11700-1-3</t>
  </si>
  <si>
    <t>11700-1-4</t>
  </si>
  <si>
    <t>11700-1-5</t>
  </si>
  <si>
    <t>11700-1-6</t>
  </si>
  <si>
    <t>11700-1-7</t>
  </si>
  <si>
    <t>11700-1-8</t>
  </si>
  <si>
    <t>11700-1-9</t>
  </si>
  <si>
    <t>11700-1-10</t>
  </si>
  <si>
    <t>11700-1-11</t>
  </si>
  <si>
    <t>11700-1-12</t>
  </si>
  <si>
    <t>11700-1-13</t>
  </si>
  <si>
    <t>11700-1-14</t>
  </si>
  <si>
    <t>11700-1-15</t>
  </si>
  <si>
    <t>11700-1-16</t>
  </si>
  <si>
    <t>11700-1-17</t>
  </si>
  <si>
    <t>11700-1-18</t>
  </si>
  <si>
    <t>11700-1-19</t>
  </si>
  <si>
    <t>11700-1-20</t>
  </si>
  <si>
    <t>11700-1-21</t>
  </si>
  <si>
    <t>11700-1-22</t>
  </si>
  <si>
    <t>11700-1-23</t>
  </si>
  <si>
    <t>11700-1-2-1</t>
  </si>
  <si>
    <t>11700-1-3-1</t>
  </si>
  <si>
    <t>11700-1-4-1</t>
  </si>
  <si>
    <t>11700-1-5-1</t>
  </si>
  <si>
    <t>11700-1-6-1</t>
  </si>
  <si>
    <t>11700-1-7-1</t>
  </si>
  <si>
    <t>11700-1-8-1</t>
  </si>
  <si>
    <t>11700-1-9-1</t>
  </si>
  <si>
    <t>11700-1-10-1</t>
  </si>
  <si>
    <t>11700-1-11-1</t>
  </si>
  <si>
    <t>11700-1-12-1</t>
  </si>
  <si>
    <t>11700-1-13-1</t>
  </si>
  <si>
    <t>11700-1-14-1</t>
  </si>
  <si>
    <t>11700-1-15-1</t>
  </si>
  <si>
    <t>11700-1-16-1</t>
  </si>
  <si>
    <t>11700-1-17-1</t>
  </si>
  <si>
    <t>11700-1-18-1</t>
  </si>
  <si>
    <t>11700-1-19-1</t>
  </si>
  <si>
    <t>11700-1-20-1</t>
  </si>
  <si>
    <t>11700-1-21-1</t>
  </si>
  <si>
    <t>11700-1-22-1</t>
  </si>
  <si>
    <t>11700-1-23-1</t>
  </si>
  <si>
    <t>Elaborar el profesiograma de los servidores públicos de ADRES</t>
  </si>
  <si>
    <t>Documento de estudios ambientales elaborado
Documento de estudios ergonómicos en salud ocupacional elaborado</t>
  </si>
  <si>
    <t>Poner a disposición de los funcionarios de la ADRES, elementos ergonómicos</t>
  </si>
  <si>
    <t>Capacitación de Sistema de Seguridad Social realizada</t>
  </si>
  <si>
    <t>Capacitación de Administración de personal sector publico y legislación laboral realizada</t>
  </si>
  <si>
    <t>Capacitación de Big Data realizada</t>
  </si>
  <si>
    <t>Capacitación de Finanzas, contabilidad básicas, Presupuesto Público, Gestión Presupuestal EICE realizada</t>
  </si>
  <si>
    <t>Capacitación de Estadística realizada</t>
  </si>
  <si>
    <t>Capacitación de Contratación estatal realizada</t>
  </si>
  <si>
    <t>Capacitación de Salud publica realizada</t>
  </si>
  <si>
    <t>Capacitación de Trabajo en equipo, comunicación asertiva realizada.</t>
  </si>
  <si>
    <t>Capacitación de Redacción realizada</t>
  </si>
  <si>
    <t>Capacitación de Código de Integridad realizada</t>
  </si>
  <si>
    <t>Capacitación de Sostenibilidad ambiental realizada.</t>
  </si>
  <si>
    <t>Capacitación Buen gobierno realizada</t>
  </si>
  <si>
    <t>Capacitación de Gestión documental realizada.</t>
  </si>
  <si>
    <t>Capacitación de Bilingüismo realizada</t>
  </si>
  <si>
    <t>Capacitación de Acceso a la información realizada</t>
  </si>
  <si>
    <t>Capacitación de Desarrollo territorial y nacional realizada</t>
  </si>
  <si>
    <t>Inducción realizada</t>
  </si>
  <si>
    <t>Reinducción realizada</t>
  </si>
  <si>
    <t>11700-1-24</t>
  </si>
  <si>
    <t>11700-1-25</t>
  </si>
  <si>
    <t>11700-1-26</t>
  </si>
  <si>
    <t>11700-1-24-1</t>
  </si>
  <si>
    <t>11700-1-25-1</t>
  </si>
  <si>
    <t>11700-1-26-1</t>
  </si>
  <si>
    <t>Actualizar a los funcionarios en la normatividad vigente, referente a las reglas de cada subsistema y sus interrelaciones en el sistema de seguridad social, para dar cumplimiento a la misión de la entidad</t>
  </si>
  <si>
    <t>Fortalecer los conocimientos de los funcionarios referente a los beneficios  económicos y legales al ser servidores públicos.</t>
  </si>
  <si>
    <t>Facilitar el proceso de consolidación de la información y los procesos de las áreas de la entidad que manejan volúmenes grandes de información</t>
  </si>
  <si>
    <t>Adquirir conocimientos  de acuerdo a la norma vigente que permitan establecer bases para la fundamentación de criterios y análisis en el desarrollo financiero de acuerdo a la naturaleza jurídica de la entidad</t>
  </si>
  <si>
    <t>Mejorar la presentación de la información en las áreas de la entidad que manejan volúmenes altos de datos, y se logre una adecuada recolección, información e interpretación de los datos</t>
  </si>
  <si>
    <t>Lograr que los funcionarios identifiquen los lineamientos esenciales, para construir una oferta favorable, que conlleve a los resultados esperados  en cada contratación y les facilite el desarrollo de  cada proceso de la entidad</t>
  </si>
  <si>
    <t>Dar cumplimiento al Decreto 1072 de 2015, relacionado con el programa de seguridad y salud en el trabajo.</t>
  </si>
  <si>
    <t>Fortalecer  las habilidades, competencias, comportamientos de los funcionarios en el desarrollo de sus funciones que permitan el cumplimiento de los objetivos organizacionales de la entidad</t>
  </si>
  <si>
    <t>Profundizar elementos gramaticales, y prácticos que permitan fortalecer la comunicación escrita generada en la entidad</t>
  </si>
  <si>
    <t>Dar cumplimiento al modelo integrado de planeación y gestión</t>
  </si>
  <si>
    <t>Dar cumplimiento al Decreto 1083 de 2015 "Por medio del cual se expide el Decreto único reglamentario del Sector de Función Publica</t>
  </si>
  <si>
    <t xml:space="preserve"># Capacitaciones realizadas </t>
  </si>
  <si>
    <t xml:space="preserve"># Inducciones  realizadas </t>
  </si>
  <si>
    <t xml:space="preserve"># Reinducciones realizadas </t>
  </si>
  <si>
    <t>11700-1-27</t>
  </si>
  <si>
    <t>11700-1-28</t>
  </si>
  <si>
    <t>11700-1-29</t>
  </si>
  <si>
    <t>11700-1-30</t>
  </si>
  <si>
    <t>11700-1-31</t>
  </si>
  <si>
    <t>11700-1-32</t>
  </si>
  <si>
    <t>11700-1-33</t>
  </si>
  <si>
    <t>11700-1-34</t>
  </si>
  <si>
    <t>11700-1-35</t>
  </si>
  <si>
    <t>11700-1-36</t>
  </si>
  <si>
    <t>11700-1-37</t>
  </si>
  <si>
    <t>11700-1-38</t>
  </si>
  <si>
    <t>11700-1-39</t>
  </si>
  <si>
    <t>11700-1-40</t>
  </si>
  <si>
    <t>11700-1-41</t>
  </si>
  <si>
    <t>11700-1-42</t>
  </si>
  <si>
    <t>11700-1-43</t>
  </si>
  <si>
    <t>11700-1-44</t>
  </si>
  <si>
    <t>11700-1-27-1</t>
  </si>
  <si>
    <t>11700-1-28-1</t>
  </si>
  <si>
    <t>11700-1-29-1</t>
  </si>
  <si>
    <t>11700-1-30-1</t>
  </si>
  <si>
    <t>11700-1-31-1</t>
  </si>
  <si>
    <t>11700-1-32-1</t>
  </si>
  <si>
    <t>11700-1-33-1</t>
  </si>
  <si>
    <t>11700-1-34-1</t>
  </si>
  <si>
    <t>11700-1-35-1</t>
  </si>
  <si>
    <t>11700-1-36-1</t>
  </si>
  <si>
    <t>11700-1-37-1</t>
  </si>
  <si>
    <t>11700-1-38-1</t>
  </si>
  <si>
    <t>11700-1-39-1</t>
  </si>
  <si>
    <t>11700-1-40-1</t>
  </si>
  <si>
    <t>11700-1-41-1</t>
  </si>
  <si>
    <t>11700-1-42-1</t>
  </si>
  <si>
    <t>11700-1-43-1</t>
  </si>
  <si>
    <t>11700-1-44-1</t>
  </si>
  <si>
    <t>Caminata ecológica realizada</t>
  </si>
  <si>
    <t>Actividad día del niño realizada</t>
  </si>
  <si>
    <t>Actividad cultural y artística de Cine realizada</t>
  </si>
  <si>
    <t>Actividad cultural y artística de Taller de cocina realizada</t>
  </si>
  <si>
    <t>Actividades de navidad (novenas del 16 al 20 de diciembre de 2019) realizadas</t>
  </si>
  <si>
    <t>Plan prepensionados realizado</t>
  </si>
  <si>
    <t>Medición del clima laboral realizada</t>
  </si>
  <si>
    <t>Jornada de salud sobre: Salud visual realizada</t>
  </si>
  <si>
    <t>Jornada de salud sobre: Salud Oral realizada</t>
  </si>
  <si>
    <t>Jornada de salud sobre: Prevención cardiovascular realizada</t>
  </si>
  <si>
    <t>Jornada de salud sobre: Prevención del cáncer realizada</t>
  </si>
  <si>
    <t xml:space="preserve">Realizar actividades orientadas a fomentar la integración, respeto, tolerancia, sana competencia, esparcimiento y participación en las actividades deportivas, mejorando el estado físico y mental de los funcionarios. </t>
  </si>
  <si>
    <t>Crear un espacio de esparcimiento, manejo del tiempo libre y desarrollo de habilidades creativas, para los hijos de los servidores públicos, como parte de su núcleo familiar.</t>
  </si>
  <si>
    <t>Estimular la sana utilización del tiempo libre de los servidores públicos y su núcleo familiar, brindando espacios de esparcimiento, recreación, cultural, fomentar la alimentación saludable y la integración.</t>
  </si>
  <si>
    <t>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t>
  </si>
  <si>
    <t>Determinar y analizar el estado de la satisfacción laboral de los funcionarios, para identificar aspectos que puedan entorpecer la obtención de resultados de acuerdo a la misión de la entidad</t>
  </si>
  <si>
    <t>Contribuir al bienestar integral de los funcionarios, mediante la promoción de hábitos saludables, acciones de prevención de la salud, diagnostico temprano, tratamiento oportuno de los factores de riesgo</t>
  </si>
  <si>
    <t>Olimpiada deportiva de Microfútbol</t>
  </si>
  <si>
    <t>Olimpiada deportiva de Voleibol</t>
  </si>
  <si>
    <t>Olimpiada deportiva de Tenis de mesa</t>
  </si>
  <si>
    <t>Olimpiada deportiva de Bolos</t>
  </si>
  <si>
    <t>Olimpiada deportiva de Billar</t>
  </si>
  <si>
    <t>Vacaciones recreativas realizadas</t>
  </si>
  <si>
    <t>Jornada de salud sobre: Pausas activas realizadas</t>
  </si>
  <si>
    <t>Actividad de Incentivos realizada</t>
  </si>
  <si>
    <t>Actividad de Cierre de gestión realizada</t>
  </si>
  <si>
    <t>Consolidar una apertura de la información y la transparencia, referente a los resultados obtenidos en el año dando cumplimiento a la misión de la entidad</t>
  </si>
  <si>
    <t># Actividades de bienestar realizadas</t>
  </si>
  <si>
    <t>11700-1-45</t>
  </si>
  <si>
    <t>11700-1-46</t>
  </si>
  <si>
    <t>11700-1-47</t>
  </si>
  <si>
    <t>11700-1-48</t>
  </si>
  <si>
    <t>11700-1-49</t>
  </si>
  <si>
    <t>11700-1-50</t>
  </si>
  <si>
    <t>11700-1-51</t>
  </si>
  <si>
    <t>11700-1-52</t>
  </si>
  <si>
    <t>11700-1-53</t>
  </si>
  <si>
    <t>11700-1-45-1</t>
  </si>
  <si>
    <t>11700-1-46-1</t>
  </si>
  <si>
    <t>11700-1-47-1</t>
  </si>
  <si>
    <t>11700-1-48-1</t>
  </si>
  <si>
    <t>11700-1-49-1</t>
  </si>
  <si>
    <t>11700-1-50-1</t>
  </si>
  <si>
    <t>11700-1-51-1</t>
  </si>
  <si>
    <t>11700-1-52-1</t>
  </si>
  <si>
    <t>11700-1-53-1</t>
  </si>
  <si>
    <t>Plan Anual de Vacantes</t>
  </si>
  <si>
    <t>11700-1-54</t>
  </si>
  <si>
    <t>11700-1-55</t>
  </si>
  <si>
    <t>11700-1-56</t>
  </si>
  <si>
    <t>Manual de funciones actualizado</t>
  </si>
  <si>
    <t xml:space="preserve">Solicitud a la CNSC sobre la apertura de la OPEC </t>
  </si>
  <si>
    <t>Informe de la OPEC actualizada</t>
  </si>
  <si>
    <t>Actualizar el Manual de funciones de la ADRES</t>
  </si>
  <si>
    <t xml:space="preserve">Solicitar a la CNSC, la apertura de la OPEC </t>
  </si>
  <si>
    <t>Actualizar la OPEC en el aplicativo SIMO</t>
  </si>
  <si>
    <t># Manual de funciones actualizados</t>
  </si>
  <si>
    <t># Solicitud a la CNSC</t>
  </si>
  <si>
    <t># Informe de Actualización</t>
  </si>
  <si>
    <t>11700-1-54-1</t>
  </si>
  <si>
    <t>11700-1-55-1</t>
  </si>
  <si>
    <t>11700-1-56-1</t>
  </si>
  <si>
    <t>11700-1-57</t>
  </si>
  <si>
    <t>11700-1-58</t>
  </si>
  <si>
    <t>11700-1-59</t>
  </si>
  <si>
    <t>11700-1-60</t>
  </si>
  <si>
    <t>11700-1-61</t>
  </si>
  <si>
    <t>11700-1-62</t>
  </si>
  <si>
    <t>11700-1-63</t>
  </si>
  <si>
    <t>11700-1-64</t>
  </si>
  <si>
    <t>11700-1-65</t>
  </si>
  <si>
    <t>11700-1-57-1</t>
  </si>
  <si>
    <t>11700-1-58-1</t>
  </si>
  <si>
    <t>11700-1-59-1</t>
  </si>
  <si>
    <t>11700-1-60-1</t>
  </si>
  <si>
    <t>11700-1-61-1</t>
  </si>
  <si>
    <t>11700-1-62-1</t>
  </si>
  <si>
    <t>11700-1-63-1</t>
  </si>
  <si>
    <t>11700-1-64-1</t>
  </si>
  <si>
    <t>11700-1-65-1</t>
  </si>
  <si>
    <t>Actividad social de Dia de la familia realizada</t>
  </si>
  <si>
    <t>Actividad social de Dia Internacional de la Mujer realizada</t>
  </si>
  <si>
    <t>Actividad social de Dia del servidor público realizada</t>
  </si>
  <si>
    <t>12000-1-2</t>
  </si>
  <si>
    <t>12000-1-3</t>
  </si>
  <si>
    <t>12000-1-4</t>
  </si>
  <si>
    <t>12000-1-3-1</t>
  </si>
  <si>
    <t>12000-1-4-1</t>
  </si>
  <si>
    <t>11900-1-12-1</t>
  </si>
  <si>
    <t>Evaluar cumplimiento a los seguimientos y  evaluaciones al control interno, contemplados en el Plan Anual de Auditorías</t>
  </si>
  <si>
    <t>Realizar vigilancia judicial y radicación de documentos en cada uno de los procesos que cursan en los despachos judiciales en contra de ADRES</t>
  </si>
  <si>
    <t># Conceptos jurídicos presentados en término legal / # Conceptos jurídicos requeridos el mes anterior al corte</t>
  </si>
  <si>
    <t># sentencias condenatorias en firme contra ADRES cuyo sentido de las mismas nos requiere el reconocimiento y pago de intereses moratorios, corrientes bancarios y/o indexaciones efectivamente entregadas para liquidación / # liquidaciones de intereses y/o indexaciones proyectadas</t>
  </si>
  <si>
    <t>Tramitar consultas y peticiones de carácter jurídico,  judicial y contractual que adelanta la entidad, y frente al contenido de actos administrativos y mantener actualizada la información de normas constitucionales y legales y demás asuntos de competencia de la ADRES.</t>
  </si>
  <si>
    <t>Ejercer la representación judicial en los procesos penales y denuncias en que sea parte la ADRES.</t>
  </si>
  <si>
    <t>#denuncias en las que el apoderado intervino / # denuncias reportadas en la base de datos de coordinación GRJ</t>
  </si>
  <si>
    <t>Demandas Contestadas Oportunamente</t>
  </si>
  <si>
    <t># Demandas Contestadas Oportunamente / # Demandas en término de contestación en el trimestre</t>
  </si>
  <si>
    <t>Respuestas a solicitudes de pruebas</t>
  </si>
  <si>
    <t># Respuestas a solicitudes de pruebas en términos / # peticiones realizadas en término de contestación en el trimestre</t>
  </si>
  <si>
    <t xml:space="preserve">Fichas técnicas  </t>
  </si>
  <si>
    <t># Fichas técnicas  / # Audiencias a la conciliación notificadas a la entidad</t>
  </si>
  <si>
    <t xml:space="preserve">Fichas técnicas demandas </t>
  </si>
  <si>
    <t># Respuestas a reclamaciones / # solicitudes de reclamación radicadas por las EPS en el mes anterior</t>
  </si>
  <si>
    <t>Actas del Comité de Conciliación dibidamente firmadas</t>
  </si>
  <si>
    <t># Propuestas aporbadas por el Min Salud</t>
  </si>
  <si>
    <t>Propuesta de articulado para inclusión en el proyecto del Plan Nacional de Desarrollo aprobada por Min Salud</t>
  </si>
  <si>
    <t># Convenios o contratos interadministrativos suscritos</t>
  </si>
  <si>
    <t>Resoluciones de Apertura</t>
  </si>
  <si>
    <t xml:space="preserve">Convocar a las veedurías ciudadanas para que participen el proceso de licitación pública </t>
  </si>
  <si>
    <t># Actos administrativos  / # procesos licitatorios previstos para la vigencia 2019</t>
  </si>
  <si>
    <t># Informes presentados en el periodo</t>
  </si>
  <si>
    <t>11300-1-2-1</t>
  </si>
  <si>
    <t>11300-1-3-1</t>
  </si>
  <si>
    <t>11300-1-4-1</t>
  </si>
  <si>
    <t>11300-1-5-1</t>
  </si>
  <si>
    <t>Desarrollo, soporte, mantenimiento, actualización e integración de los aplicativos que soportan las operaciones misionales de la Entidad</t>
  </si>
  <si>
    <t>Apoyo en soporte, desarrollo y mantenimiento e integración de aplicativos misionales</t>
  </si>
  <si>
    <t>Sensibilizar e incentivar a servidores y contratistas sobre la rendición de cuentas, la normativa aplicable, las responsabilidades frente a misma, su importancia y la forma en que la entidad rinde cuentas.</t>
  </si>
  <si>
    <t>Jornada de Sensibilización sobre la importancia de la Rendición de Cuentas</t>
  </si>
  <si>
    <t>Sensibilizar a la ciudadanía y partes interesadas sobre la rendición de cuentas y la importancia de su participación en los procesos, a través de medios electrónicos, con el fin de incentivarlos a participar en este proceso.</t>
  </si>
  <si>
    <t># Jornadas de rendición de Cuentas interna realizadas</t>
  </si>
  <si>
    <t>Una (1) pieza informativa sobre la rendición de cuentas publicada en medios electrónicos</t>
  </si>
  <si>
    <t># Piezas informativas  rendición de cuentas publicadas en medios electrónicos</t>
  </si>
  <si>
    <t>Realizar la audiencia pública de rendición de cuentas y comunicar los resultados a la ciudadanía y partes interesadas.</t>
  </si>
  <si>
    <t># publicaciones realizadas de los resultados de la audiencia pública de  rendición de cuentas en la página Web de la ADRES</t>
  </si>
  <si>
    <t>Realizar la rendición de cuentas interna</t>
  </si>
  <si>
    <t>Resultados de la audiencia pública de rendición de cuentas socializados en página web</t>
  </si>
  <si>
    <t>Rendición de cuentas interna realizada</t>
  </si>
  <si>
    <t>Realizar actividades de relacionamiento y rendición de cuentas con actores del sector salud y partes interesadas</t>
  </si>
  <si>
    <t>Actividades de relacionamiento y rendición de cuentas realizadas</t>
  </si>
  <si>
    <t># Actividades de relacionamiento y rendición de cuentas realizadas</t>
  </si>
  <si>
    <t>11200-1-2-2</t>
  </si>
  <si>
    <t>11200-1-2-3</t>
  </si>
  <si>
    <t>11200-1-2-4</t>
  </si>
  <si>
    <t>11200-1-6</t>
  </si>
  <si>
    <t>11200-1-7</t>
  </si>
  <si>
    <t>11200-1-8</t>
  </si>
  <si>
    <t>11200-1-6-1</t>
  </si>
  <si>
    <t>11200-1-7-1</t>
  </si>
  <si>
    <t>11200-1-8-1</t>
  </si>
  <si>
    <t>11900-1-2-2</t>
  </si>
  <si>
    <t>11900-1-2-3</t>
  </si>
  <si>
    <t>11900-1-12-2</t>
  </si>
  <si>
    <t>11900-1-12-3</t>
  </si>
  <si>
    <t>11900-1-12-4</t>
  </si>
  <si>
    <t>11900-1-14-1</t>
  </si>
  <si>
    <t>11900-1-15-2</t>
  </si>
  <si>
    <t>11800-1-2</t>
  </si>
  <si>
    <t>11800-1-3</t>
  </si>
  <si>
    <t>11800-1-4</t>
  </si>
  <si>
    <t>11800-1-5</t>
  </si>
  <si>
    <t>11800-1-6</t>
  </si>
  <si>
    <t>11800-1-2-1</t>
  </si>
  <si>
    <t>11800-1-3-1</t>
  </si>
  <si>
    <t>11800-1-4-1</t>
  </si>
  <si>
    <t>11800-1-5-1</t>
  </si>
  <si>
    <t>11800-1-6-1</t>
  </si>
  <si>
    <t>12000-1-5</t>
  </si>
  <si>
    <t>12000-1-6</t>
  </si>
  <si>
    <t>12000-1-7</t>
  </si>
  <si>
    <t>12000-1-8</t>
  </si>
  <si>
    <t>12000-1-9</t>
  </si>
  <si>
    <t>12000-1-10</t>
  </si>
  <si>
    <t>12000-1-11</t>
  </si>
  <si>
    <t>12000-1-5-1</t>
  </si>
  <si>
    <t>12000-1-5-2</t>
  </si>
  <si>
    <t>12000-1-6-1</t>
  </si>
  <si>
    <t>12000-1-6-2</t>
  </si>
  <si>
    <t>12000-1-7-1</t>
  </si>
  <si>
    <t>12000-1-8-1</t>
  </si>
  <si>
    <t>12000-1-9-1</t>
  </si>
  <si>
    <t>12000-1-10-1</t>
  </si>
  <si>
    <t>12000-1-11-1</t>
  </si>
  <si>
    <t>11800-1-7</t>
  </si>
  <si>
    <t>11800-1-7-1</t>
  </si>
  <si>
    <t>11400-2-1-1-1</t>
  </si>
  <si>
    <t>11400-1-1-2-1</t>
  </si>
  <si>
    <t>11400-1-1-3-1</t>
  </si>
  <si>
    <t>11400-1-1-4-1</t>
  </si>
  <si>
    <t>11400-1-1-5-1</t>
  </si>
  <si>
    <t>11400-1-1-6-1</t>
  </si>
  <si>
    <t>11400-1-1-7-1</t>
  </si>
  <si>
    <t>11400-1-1-8-1</t>
  </si>
  <si>
    <t>11400-1-1-9-1</t>
  </si>
  <si>
    <t>11400-1-1-2</t>
  </si>
  <si>
    <t>11400-1-1-3</t>
  </si>
  <si>
    <t>11400-1-1-4</t>
  </si>
  <si>
    <t>11400-1-1-5</t>
  </si>
  <si>
    <t>11400-1-1-6</t>
  </si>
  <si>
    <t>11400-1-1-7</t>
  </si>
  <si>
    <t>11400-1-1-8</t>
  </si>
  <si>
    <t>11400-1-1-9</t>
  </si>
  <si>
    <t>Tipo de Plan</t>
  </si>
  <si>
    <t>DAF</t>
  </si>
  <si>
    <t>DGRFS</t>
  </si>
  <si>
    <t>DG</t>
  </si>
  <si>
    <t>DLG</t>
  </si>
  <si>
    <t>DOP</t>
  </si>
  <si>
    <t>OAPCR</t>
  </si>
  <si>
    <t>OAJ</t>
  </si>
  <si>
    <t>OCI</t>
  </si>
  <si>
    <t>DGTIC</t>
  </si>
  <si>
    <t>Plan Institucional de Archivos de la Entidad –PINAR</t>
  </si>
  <si>
    <t>Plan Anual de Adquisiciones</t>
  </si>
  <si>
    <t>Plan de Previsión de Recursos Humanos</t>
  </si>
  <si>
    <t>Plan Estratégico de Talento Humano</t>
  </si>
  <si>
    <t>Plan de Incentivos Institucionales</t>
  </si>
  <si>
    <t>Plan de Trabajo Anual en Seguridad y Salud en el Trabajo</t>
  </si>
  <si>
    <t>Plan de Tratamiento de Riesgos de Seguridad y Privacidad de la Información</t>
  </si>
  <si>
    <t xml:space="preserve">Plan de Seguridad y Privacidad de la Información </t>
  </si>
  <si>
    <t xml:space="preserve">Plan de Acción </t>
  </si>
  <si>
    <t>Totales</t>
  </si>
  <si>
    <t>Total de actividades</t>
  </si>
  <si>
    <t>Valor total</t>
  </si>
  <si>
    <t>Viáticos y gastos de viaje</t>
  </si>
  <si>
    <t>Plan de Adquisiciones DG</t>
  </si>
  <si>
    <t>Plan de Adquisiciones DOP</t>
  </si>
  <si>
    <t>Plan de Adquisiciones DLG</t>
  </si>
  <si>
    <t>Plan de Adquisiciones DGRFS</t>
  </si>
  <si>
    <t>Plan de Adquisiciones DGTIC</t>
  </si>
  <si>
    <t>Plan de Adquisiciones DAF</t>
  </si>
  <si>
    <t>Plan Adquisiciones OAJ</t>
  </si>
  <si>
    <t>Vigencias futuras DAF</t>
  </si>
  <si>
    <t>Vigencias futuras DGTIC</t>
  </si>
  <si>
    <t>Vigencias futuras DOP</t>
  </si>
  <si>
    <t>Plan de Acción ajustes normativos</t>
  </si>
  <si>
    <t>Disponibilidad final</t>
  </si>
  <si>
    <t>Plan Anticorrupción y de Atención al Ciudadano - Plan de Tratamiento de Riesgos de Seguridad y Privacidad de la Información</t>
  </si>
  <si>
    <t xml:space="preserve">Plan Anticorrupción y de Atención al Ciudadano - Plan de Seguridad y Privacidad de la Información </t>
  </si>
  <si>
    <t>Plan Anticorrupción y de Atención al Ciudadano - Plan Institucional de Capacitación</t>
  </si>
  <si>
    <t>Plan de bienestar e Incentivos Institucionales</t>
  </si>
  <si>
    <t>X</t>
  </si>
  <si>
    <t>Enviar solicitud escrita mensualmente a cada Director, Subdirector y Jefe de Oficina, desde Talento Humano, con el fin de que indiquen los cargos vacantes a proveer</t>
  </si>
  <si>
    <t>Realizar nombramientos de acuerdo con los requerimientos de cada dependencia donde haya vacantes</t>
  </si>
  <si>
    <t>Realizar posesiones de acuerdo con los nombramientos realizados</t>
  </si>
  <si>
    <t># Solicitudes escritas desde Talento Humano</t>
  </si>
  <si>
    <t># de nombramientos realizados / # Solicitudes de nombramientos</t>
  </si>
  <si>
    <t xml:space="preserve"># de posesionados / # de nombramientos comunicados y aceptados </t>
  </si>
  <si>
    <t>Solicitud escrita desde Talento Humano</t>
  </si>
  <si>
    <t>Actos administrativos</t>
  </si>
  <si>
    <t>Actas de Posesión</t>
  </si>
  <si>
    <t>Plan de previsión de vacantes</t>
  </si>
  <si>
    <t>Plan de Adquisiciones</t>
  </si>
  <si>
    <t>Contratos suscritos</t>
  </si>
  <si>
    <t>Realizar el seguimiento a la ejecución del Plan de Adquisiciones</t>
  </si>
  <si>
    <t># Contratos del Plan de Adquisiciones suscritos / # contrataciones del Plan de Adquisiciones</t>
  </si>
  <si>
    <t>Implementar el SARL, SARC y SARM con los lineamientos establecidos en la Circular 006 de 2018</t>
  </si>
  <si>
    <t>21. Gestión Jurídica Representación Judicial</t>
  </si>
  <si>
    <t xml:space="preserve">13. Gestión Administrativa y Documental
</t>
  </si>
  <si>
    <t>6. Gestión Contable y Control Recursos</t>
  </si>
  <si>
    <t xml:space="preserve">11. Gestión Contable Interna </t>
  </si>
  <si>
    <t>14. Gestión Presupuestal Interna</t>
  </si>
  <si>
    <t>16. Reintegro de Recursos apropiados o reconocidos sin justa causa</t>
  </si>
  <si>
    <t>2. Administración de Riesgos</t>
  </si>
  <si>
    <t>18. Administración Base de Datos Unica de Afiliados - BDUA</t>
  </si>
  <si>
    <t>22. Gestión Jurídica Acciones Constitucionales y de Tutela</t>
  </si>
  <si>
    <t>23. Gestión Jurídica Cobro Coactivo</t>
  </si>
  <si>
    <t xml:space="preserve">24. Gestión de Tesorería Interna </t>
  </si>
  <si>
    <t>25. Control y Evaluación de las Gestión</t>
  </si>
  <si>
    <t>26. Planeación y Gestión Institucional</t>
  </si>
  <si>
    <t xml:space="preserve">27. Gestión y Prevención de Asuntos Disciplinarios </t>
  </si>
  <si>
    <t>28. Gestión Integral régimen especial o de excepción</t>
  </si>
  <si>
    <t>29. Comisión de servicios de desplazamiento nacional</t>
  </si>
  <si>
    <t>30. N.A</t>
  </si>
  <si>
    <t>Dirección de Gestión de Recursos Financieros de Salud
Oficina Asesora de Planeación y Control de Riesgos</t>
  </si>
  <si>
    <t>11300/12000-2</t>
  </si>
  <si>
    <t>11300/12000-2-1-1</t>
  </si>
  <si>
    <t>11300/12000-2-1</t>
  </si>
  <si>
    <t>Realizar reuniones de autocontrol y seguimiento a los procesos que evidencien el monitoreo a los riesgos, indicadores, planes de mejoramiento, manuales y documentos asociados</t>
  </si>
  <si>
    <t>Reuniones de autocontrol y seguimiento a  los procesos que evidencien monitoreo a los riesgos, indicadores, planes de mejoramiento, manuales y documentos asociados</t>
  </si>
  <si>
    <t># reuniones realizadas</t>
  </si>
  <si>
    <t>12000-1-2-1</t>
  </si>
  <si>
    <t>ESTRATEGIA ASOCIADA</t>
  </si>
  <si>
    <t>Informe de análisis sobre procesos o tecnologías reconocidas por la ADRES</t>
  </si>
  <si>
    <t>#  Informes de análisis sobre procesos o tecnologías reconocidas por la ADRES</t>
  </si>
  <si>
    <t xml:space="preserve">Racionalizar el trámite de Solicitud compra de cartera a través del cambio en la Resolución 4373 de 2017 del ministerio de salud </t>
  </si>
  <si>
    <t>Proyecto de resolución entregado al Ministerio de Salud para aprobación</t>
  </si>
  <si>
    <t># Proyectos de Resolución entregados</t>
  </si>
  <si>
    <t># Formularios FURPEN mejorados</t>
  </si>
  <si>
    <t>Racionalizar el trámite “Reconocimiento y pago de prestaciones por concepto de atenciones médico-quirúrgicas a víctimas de eventos catastróficos, terroristas y de accidentes de tránsito” a través de la revisión y mejoramiento del formato FURPEN.</t>
  </si>
  <si>
    <t>Formulario FURPEN mejorado</t>
  </si>
  <si>
    <t xml:space="preserve">Estadísticas de registros de las auditorias preventivas por entidad con errores </t>
  </si>
  <si>
    <t>Informes de auditorias correctivas según resolución 2199 de 2013 y 4894 de 2015</t>
  </si>
  <si>
    <t>Depuración de registros de BDUA de acuerdo con solicitudes del MSPS, según resolución 2199 de 2013 y 4894 de 2015</t>
  </si>
  <si>
    <t xml:space="preserve"># Registros corregidos en la BDUA / # Registros notificados en auditorias preventivas </t>
  </si>
  <si>
    <t># PQRSD BDUA atendidas en términos de ley en el trimestre  / #PQRSD BDUA recibidas con fecha máxima de respuesta en el trimestre</t>
  </si>
  <si>
    <t># de registro depurados por ADRES + # Registros correctos / # Número total de registros notificados en auditorias correctivas</t>
  </si>
  <si>
    <t>Paquetes de recobros y reclamaciones del rezago entregados para pago, con interventoría certificada</t>
  </si>
  <si>
    <t xml:space="preserve">Porcentaje </t>
  </si>
  <si>
    <t>Entregar resultados del rezago de 2018 de la Auditoría Integral de Salud, jurídica y financiera a los recobros y las reclamaciones; y normalización de entrega de resultados a partir de enero de 2019</t>
  </si>
  <si>
    <t>#Paquetes de recobros y reclamaciones de rezago entregados para pago con interventoría certificada / # Paquetes de recobros y reclamaciones rezagados</t>
  </si>
  <si>
    <t>Por definir</t>
  </si>
  <si>
    <t>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t>
  </si>
  <si>
    <t>11600-1-1-1-2</t>
  </si>
  <si>
    <t>11600-1-1-1-3</t>
  </si>
  <si>
    <t>11600-1-1-1-4</t>
  </si>
  <si>
    <t>Hacer seguimiento a la implementación de MIPG</t>
  </si>
  <si>
    <t>Matriz de avance en la implementación del MIPG</t>
  </si>
  <si>
    <t>11400-1-1-1-1</t>
  </si>
  <si>
    <t># Matrices de avance en la implementación del MIPG elaboradas</t>
  </si>
  <si>
    <t>11700-1-36-2</t>
  </si>
  <si>
    <t>11700-1-36-3</t>
  </si>
  <si>
    <t>11700-1-36-4</t>
  </si>
  <si>
    <t>11700-1-36-5</t>
  </si>
  <si>
    <t>11700-1-36-6</t>
  </si>
  <si>
    <t>11700-1-36-7</t>
  </si>
  <si>
    <t>11700-1-37-2</t>
  </si>
  <si>
    <t>11700-1-38-2</t>
  </si>
  <si>
    <t>11700-1-38-3</t>
  </si>
  <si>
    <t>11700-1-38-4</t>
  </si>
  <si>
    <t>11700-1-38-5</t>
  </si>
  <si>
    <t>11700-1-38-6</t>
  </si>
  <si>
    <t>11700-1-40-2</t>
  </si>
  <si>
    <t>11700-1-40-3</t>
  </si>
  <si>
    <t>11700-1-40-4</t>
  </si>
  <si>
    <t>11700-1-40-5</t>
  </si>
  <si>
    <t>11700-1-40-6</t>
  </si>
  <si>
    <t>11700-1-43-2</t>
  </si>
  <si>
    <t>11700-1-43-3</t>
  </si>
  <si>
    <t>11700-1-43-4</t>
  </si>
  <si>
    <t>11700-1-43-5</t>
  </si>
  <si>
    <t>11600-2-3</t>
  </si>
  <si>
    <t>11600-2-4</t>
  </si>
  <si>
    <t>11600-2-5</t>
  </si>
  <si>
    <t>Plan Estratégico de TI  estructurado, elaborado y aprobado</t>
  </si>
  <si>
    <t>11600-2-7</t>
  </si>
  <si>
    <t>11600-2-8</t>
  </si>
  <si>
    <t>11600-2-9</t>
  </si>
  <si>
    <t>11600-2-10</t>
  </si>
  <si>
    <t>11600-2-12</t>
  </si>
  <si>
    <t>11600-2-14</t>
  </si>
  <si>
    <t>11600-2-17</t>
  </si>
  <si>
    <t>11600-2-3-1</t>
  </si>
  <si>
    <t>11600-2-4-1</t>
  </si>
  <si>
    <t>11600-2-5-1</t>
  </si>
  <si>
    <t>11600-2-7-1</t>
  </si>
  <si>
    <t>11600-2-8-1</t>
  </si>
  <si>
    <t>11600-2-9-1</t>
  </si>
  <si>
    <t>11600-2-10-1</t>
  </si>
  <si>
    <t>11600-2-12-1</t>
  </si>
  <si>
    <t>11600-2-14-1</t>
  </si>
  <si>
    <t>11600-2-17-1</t>
  </si>
  <si>
    <t>12000-1-12</t>
  </si>
  <si>
    <t>12000-1-12-1</t>
  </si>
  <si>
    <t>11800-1-8</t>
  </si>
  <si>
    <t>11800-1-8-1</t>
  </si>
  <si>
    <r>
      <t xml:space="preserve"># de seguimientos y evaluaciones de control interno realizadas en el trimestre 
</t>
    </r>
    <r>
      <rPr>
        <b/>
        <sz val="10"/>
        <color theme="1"/>
        <rFont val="Verdana"/>
        <family val="2"/>
      </rPr>
      <t>Indicador Variable acumulado y de eficacia</t>
    </r>
  </si>
  <si>
    <r>
      <t xml:space="preserve"># de Informes Legales Internos presentados en cada trimestre </t>
    </r>
    <r>
      <rPr>
        <b/>
        <sz val="10"/>
        <color theme="1"/>
        <rFont val="Verdana"/>
        <family val="2"/>
      </rPr>
      <t>Indicador Variable acumulado y de eficacia</t>
    </r>
  </si>
  <si>
    <r>
      <t xml:space="preserve"># de Informes Legales Externos presentados en cada trimestre </t>
    </r>
    <r>
      <rPr>
        <b/>
        <sz val="10"/>
        <color theme="1"/>
        <rFont val="Verdana"/>
        <family val="2"/>
      </rPr>
      <t>Indicador Variable acumulado y de eficacia</t>
    </r>
  </si>
  <si>
    <r>
      <t xml:space="preserve"># de seguimientos realizados según normatividad vigente
</t>
    </r>
    <r>
      <rPr>
        <b/>
        <sz val="10"/>
        <color theme="1"/>
        <rFont val="Verdana"/>
        <family val="2"/>
      </rPr>
      <t>Indicador acumulado y de eficacia</t>
    </r>
  </si>
  <si>
    <r>
      <t xml:space="preserve"># Boletines de Autocontrol socializados con los funcionarios de la ADRES 
</t>
    </r>
    <r>
      <rPr>
        <b/>
        <sz val="10"/>
        <color theme="1"/>
        <rFont val="Verdana"/>
        <family val="2"/>
      </rPr>
      <t>Indicador acumulado</t>
    </r>
  </si>
  <si>
    <t>COMPONENTE PAAC</t>
  </si>
  <si>
    <t>SUBCOMPONENTE PAAC</t>
  </si>
  <si>
    <t>Gestión de riesgo de corrupción- mapa de riesgos de corrupción</t>
  </si>
  <si>
    <t>Racionalización de Tramites</t>
  </si>
  <si>
    <t xml:space="preserve">Rendición de Cuentas </t>
  </si>
  <si>
    <t>Mecanismos para mejorar la atención al ciudadano</t>
  </si>
  <si>
    <t>Mecanismos para la transparecia y acceso a información pública</t>
  </si>
  <si>
    <t>Información de calidad y en formato comprensible</t>
  </si>
  <si>
    <t>Incentivos para motivar la cultura de la rendición y petición de cuentas</t>
  </si>
  <si>
    <t xml:space="preserve">Monitoreo y revisión </t>
  </si>
  <si>
    <t>Normativo y procedimental</t>
  </si>
  <si>
    <t>Fortalecimiento de canales de atención</t>
  </si>
  <si>
    <t>Relacionamiento con el ciudadano</t>
  </si>
  <si>
    <t>Lineamientos de transparencia activa</t>
  </si>
  <si>
    <t>Seguimiento</t>
  </si>
  <si>
    <t>Politica de Administración de Riesgos</t>
  </si>
  <si>
    <t>Construcción Mapa de Riesgos</t>
  </si>
  <si>
    <t>Consulta y Divulgación</t>
  </si>
  <si>
    <t>Diálogo de doble vía con la Ciudadanía y las Organizaciones</t>
  </si>
  <si>
    <t>Racionalizacion de Tramites</t>
  </si>
  <si>
    <t>Racionalización de Trámites</t>
  </si>
  <si>
    <t>11600-2-3-2</t>
  </si>
  <si>
    <t># Vulnerabilidades resueltas / # vulnerabilidades identificadas</t>
  </si>
  <si>
    <t>Vulnerabilidades resueltas del ejercicio de ethical hacking del año anterior</t>
  </si>
  <si>
    <t># Planes Estratégicos de TI elaborados.</t>
  </si>
  <si>
    <t>Mapa de Riesgos Institucional actualizado con los riesgos de seguridad digital</t>
  </si>
  <si>
    <t>Identificar los riesgos de seguridad digital según instrumento MSPS y la guía de la DAFP</t>
  </si>
  <si>
    <t># Mapas de riesgos actualizados con los riesgos de seguridad digital</t>
  </si>
  <si>
    <t>Dirección de Gestión de Tecnología de la Información y la Comunicación
Dirección General</t>
  </si>
  <si>
    <t xml:space="preserve"># Autodiagnósticos realizados </t>
  </si>
  <si>
    <t>Inventario y registro de activos de información actualizados</t>
  </si>
  <si>
    <t>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t>
  </si>
  <si>
    <t xml:space="preserve"> # Matrices de inventario y registro de activos de información actualizados </t>
  </si>
  <si>
    <t>Plan de Seguridad y Privacidad de la Información
Plan Institucional de Capacitación</t>
  </si>
  <si>
    <t>AVANCE ACUMULADO</t>
  </si>
  <si>
    <t>#Paquetes de recobros y reclamaciones 2019 entregados para pago con interventoría certificada / # Paquetes de recobros y reclamaciones 2019  con trámite de auditoría por realizar</t>
  </si>
  <si>
    <t>FINANCIERA</t>
  </si>
  <si>
    <t xml:space="preserve">Optimización de la ejecución del proceso de liquidación, reconocimiento, giro y reintegro de los recobros y reclamaciones </t>
  </si>
  <si>
    <r>
      <rPr>
        <b/>
        <sz val="14"/>
        <color indexed="8"/>
        <rFont val="Verdana"/>
        <family val="2"/>
      </rPr>
      <t>Nota:</t>
    </r>
    <r>
      <rPr>
        <sz val="14"/>
        <color indexed="8"/>
        <rFont val="Verdana"/>
        <family val="2"/>
      </rPr>
      <t xml:space="preserve"> El cumplimiento general de perspectivas corresponde al promedio de los resultados de cada perspectiva, tanto en el periodo como acumulado. El cumplimiento total corresponde al promedio de los resultados de todas y cada una de las actividades del Plan de Acción, tanto en el periodo como de forma acumulada. El cumplimiento físico excluye la perspectiva financiera.</t>
    </r>
  </si>
  <si>
    <t>CUMPLIMIENTO FÍSICO (Promedio porcentual)</t>
  </si>
  <si>
    <t>CUMPLIMIENTO TOTAL (Promedio porcentual)</t>
  </si>
  <si>
    <t>CUMPLIMIENTO GENERAL PERSPECTIVAS (Promedio porcentual)</t>
  </si>
  <si>
    <t>APRENDIZAJE Y DESARROLLO</t>
  </si>
  <si>
    <t>PROCESOS INTERNOS</t>
  </si>
  <si>
    <t>ENFOQUE DEL CLIENTE Y OTRAS PARTES INTERESADAS</t>
  </si>
  <si>
    <t>|</t>
  </si>
  <si>
    <r>
      <t xml:space="preserve">% 
</t>
    </r>
    <r>
      <rPr>
        <b/>
        <sz val="10"/>
        <color indexed="9"/>
        <rFont val="Verdana"/>
        <family val="2"/>
      </rPr>
      <t>Cumplimiento periodo</t>
    </r>
  </si>
  <si>
    <t>&gt; 100% de la meta del periodo</t>
  </si>
  <si>
    <t>95 &lt;=100% de la meta del periodo</t>
  </si>
  <si>
    <t>75% &lt;=95% de la meta del periodo</t>
  </si>
  <si>
    <t xml:space="preserve">75% &lt;=95% </t>
  </si>
  <si>
    <t>50% &lt;=75% de la meta del periodo</t>
  </si>
  <si>
    <t>50% &lt;=75%</t>
  </si>
  <si>
    <t>0% &lt;= 50% de la meta del periodo</t>
  </si>
  <si>
    <t>SEMÁFORO EFICACIA EN LA EJECUCIÓN ACUMULADA</t>
  </si>
  <si>
    <t>SEMÁFORO EFICACIA EN LA EJECUCIÓN DEL PERIODO</t>
  </si>
  <si>
    <t>Lograr calidad y oportunidad en los procesos de reconocimiento de prestaciones excepcionales</t>
  </si>
  <si>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</si>
  <si>
    <t>Direccion de Tecnologías de la Información y las Comunicaciones</t>
  </si>
  <si>
    <t>Mejoramiento de la infraestructura tecnológica para garantizar la operación de los procesos misionales</t>
  </si>
  <si>
    <t>Gestión, análisis de información y consolidación de la transparencia.</t>
  </si>
  <si>
    <t>Gestión del riesgo legal</t>
  </si>
  <si>
    <t>N</t>
  </si>
  <si>
    <t>Dirección de Gestión de Recursos Financieros para la Salud</t>
  </si>
  <si>
    <t>Dirección de Gestión de Recursos Financieros para la Salud
Oficina Asesora de Planeación y Control de Riesgos</t>
  </si>
  <si>
    <t xml:space="preserve">
Oficina Asesora de Planeación y Control de Riesgos</t>
  </si>
  <si>
    <t>Plan de Trabajo Anual de  Seguridad y Salud  en el Trabajo</t>
  </si>
  <si>
    <t>Plan de Bienestar e Incentivos Institucionales</t>
  </si>
  <si>
    <t>Plan Anual de Trabajo de Seguridad y Salud en el Trabajo</t>
  </si>
  <si>
    <t>Plan de Seguridad y Privacidad de la información</t>
  </si>
  <si>
    <t>Plan Estratégico de Tecnologías de la Información y las Comunicaciones - PETI</t>
  </si>
  <si>
    <t xml:space="preserve">Plan Anticorrupción y de Atención al Ciudadano
Plan de Seguridad y Privacidad de la Información
Plan de Tratamiento de Riesgos de Seguridad y Privacidad de la Información </t>
  </si>
  <si>
    <t>Plan Institucional de Capacitación
Plan Anticorrupción y de Atención al Ciudadano</t>
  </si>
  <si>
    <t>Plan Institucional de Capacitación
Plan de Seguridad y Privacidad de la Información</t>
  </si>
  <si>
    <t xml:space="preserve">Oficina Asesora de Planeación y Control de Riesgos  </t>
  </si>
  <si>
    <t>Plan Institicional de Capacitación
Plan Anticorrupción y de Atención al Ciudadano</t>
  </si>
  <si>
    <t>Dirección de  Liquidaciones y Garantías</t>
  </si>
  <si>
    <t>% Cumplimiento Marzo</t>
  </si>
  <si>
    <t>% Cumplimiento Acumulado Marzo</t>
  </si>
  <si>
    <t>% Actividades sobre ejecutadas</t>
  </si>
  <si>
    <t>% Cumplimiento Junio</t>
  </si>
  <si>
    <t>% Cumplimiento Acumulado Junio</t>
  </si>
  <si>
    <t>% Cumplimiento Septiembre</t>
  </si>
  <si>
    <t>% Cumplimiento Acumulado Septiembre</t>
  </si>
  <si>
    <t>% Cumplimiento Diciembre</t>
  </si>
  <si>
    <t>% Cumplimiento Acumulado Diciembre</t>
  </si>
  <si>
    <t>PROMEDIO PERSPECTIVAS</t>
  </si>
  <si>
    <t>CUMPIMIENTO TOTAL (Promedio)</t>
  </si>
  <si>
    <t xml:space="preserve">Adecuación institucional </t>
  </si>
  <si>
    <t xml:space="preserve">Optimización de procesos de recaudo, administración y pago de recursos </t>
  </si>
  <si>
    <t>51% &lt;=75% de la meta del periodo</t>
  </si>
  <si>
    <t>76% &lt;=95% de la meta del periodo</t>
  </si>
  <si>
    <t>I TRIMESTRE</t>
  </si>
  <si>
    <t>II TRIMESTRE</t>
  </si>
  <si>
    <t>IIITRIMESTRE</t>
  </si>
  <si>
    <t>IV TRIMESTRE</t>
  </si>
  <si>
    <t>EJECUCIÓN PRESUPUESTAL ACUMULADA UGG</t>
  </si>
  <si>
    <t>Valor ejecutado</t>
  </si>
  <si>
    <t>Valor programado</t>
  </si>
  <si>
    <t>EJECUCION PRESUPUESTAL ACUMULADA URA</t>
  </si>
  <si>
    <t>EJECUCION PRESUPUESTAL ACUMULADA TOTAL</t>
  </si>
  <si>
    <t>Calidad y oportunidad en los procesos de reconocimiento del aseguramiento</t>
  </si>
  <si>
    <t xml:space="preserve">Calidad y oportunidad en los procesos de reconocimiento de prestaciones excepcionales </t>
  </si>
  <si>
    <t>Infraestructura tecnológica para soportar los procesos misionales, y garantizar la calidad de la BDUA</t>
  </si>
  <si>
    <t>Gestión y el análisis de la información de la prescripción, suministro, de recobros, reclamaciones y del aseguramiento en salud</t>
  </si>
  <si>
    <t>Proteger, gestionar y defender los recursos del SGSSS (proyecto estratégico)</t>
  </si>
  <si>
    <t>Proteger, gestionar y defender los recursos del SGSSS (apoyo)</t>
  </si>
  <si>
    <t>Proteger, gestionar y defender los recursos del SGSSS (misional)</t>
  </si>
  <si>
    <t>Proteger, gestionar y defender los recursos del SGSSS (consolidado)</t>
  </si>
  <si>
    <t xml:space="preserve">Dirección de Gestión de Recursos Financieros para la Salud </t>
  </si>
  <si>
    <t xml:space="preserve">Por definir </t>
  </si>
  <si>
    <t>Plan Estratégico de Tecnologías de la Información y las Comunicaciones</t>
  </si>
  <si>
    <t>Plan Estratégico de Gestión del Talento Humano</t>
  </si>
  <si>
    <t>Dirección de Gestión de Tecnología de la Información y la Comunicación
Dirección Administrativa y Financiera</t>
  </si>
  <si>
    <t>11600/11700</t>
  </si>
  <si>
    <t>11600/11700-1</t>
  </si>
  <si>
    <t>Registro de las bases de datos con datos personales ante la Superintendencia de Industria y Comercio - SIC</t>
  </si>
  <si>
    <t>Solicitudes de autorización para el tratamiento de datos personales</t>
  </si>
  <si>
    <t>11600/11700-1-1-1</t>
  </si>
  <si>
    <t>11600/11700-1-1</t>
  </si>
  <si>
    <t>11600/11700-1-2</t>
  </si>
  <si>
    <t>11600/11700-1-3</t>
  </si>
  <si>
    <t>11600/11700-1-2-1</t>
  </si>
  <si>
    <t>11600/11700-1-3-1</t>
  </si>
  <si>
    <t>Realizar autodiagnóstico frente al cumplimiento del Régimen de protección de datos personales</t>
  </si>
  <si>
    <t>Realizar registro de las bases de datos con datos personales ante la Superintendencia de Industria y Comercio - SIC</t>
  </si>
  <si>
    <t>Desarrollar e implementar solicitudes de autorización para el tratamiento de datos personales</t>
  </si>
  <si>
    <t>Autodiagnóstico frente al cumplimiento del Régimen de protección de datos personales</t>
  </si>
  <si>
    <t># Autodiagnósticos de Ley de Protección de Datos - LPD realizados</t>
  </si>
  <si>
    <t># Registros realizados ante la SIC</t>
  </si>
  <si>
    <t>CONTROL DE CAMBIOS</t>
  </si>
  <si>
    <t>Versión</t>
  </si>
  <si>
    <t>Fecha</t>
  </si>
  <si>
    <t>Descripción del cambio</t>
  </si>
  <si>
    <t>Solicitado por</t>
  </si>
  <si>
    <t>Elaborado por</t>
  </si>
  <si>
    <t xml:space="preserve">Revisado Por </t>
  </si>
  <si>
    <t>Aprobado por</t>
  </si>
  <si>
    <t>Emisión y publicación inicial</t>
  </si>
  <si>
    <t>Mandamiento de ley</t>
  </si>
  <si>
    <t>Director de Gestión de Tecnologías de la Información y las Comunicaciones</t>
  </si>
  <si>
    <t>Junta Directiva
Comité Institucional de Gestión y Desempeño</t>
  </si>
  <si>
    <t>Norela Briceño Bohórquez</t>
  </si>
  <si>
    <t>Director de Gestión de Tecnologías de la Información y las Comunicaciones
Juan Carlos Escobar
Gestor de Operaciones Dirección de Tecnologías de la Información y las Comunicaciones</t>
  </si>
  <si>
    <t>Modificación injustificada</t>
  </si>
  <si>
    <t>SI</t>
  </si>
  <si>
    <t xml:space="preserve">En Comité de Gestión y Desempeño identificaron que faltó la definición de las actividades a desarrollar frente a  la Ley de Protección de Datos Personales. </t>
  </si>
  <si>
    <t>RIESGO(S) ASOCIADO(S)</t>
  </si>
  <si>
    <t>*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</si>
  <si>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xml:space="preserve">Incumplimiento de compromisos  por Liquidación errada de UPC del Régimen subsidiado
* Reconocimiento Indebido de Unidad de Pago por Capitaciones (UPC), PyP e Incapacidades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
</t>
  </si>
  <si>
    <t>* Reconocimiento Indebido de Unidad de Pago por Capitaciones (UPC), PyP e Incapacidades</t>
  </si>
  <si>
    <t>* Incumplimiento en los términos otorgados por la autoridad judicial para la presentación de informes en acciones de tutela.</t>
  </si>
  <si>
    <t>* Inexactitud durante el cálculo de la información a generar para orden de gasto por concepto de recobros  
* Generar de manera extemporánea el cálculo de la información para orden de gasto por concepto de recobros</t>
  </si>
  <si>
    <t xml:space="preserve">* Inexactitud durante el cálculo de la información a generar para orden de gasto por concepto de recobros  
* Generar de manera extemporánea el cálculo de la información para orden de gasto por concepto de recobros
</t>
  </si>
  <si>
    <t>*  Riesgos identificados y asignados en el contrato de auditoria a los recobros y las reclamaciones, en el contrato de  interventoría</t>
  </si>
  <si>
    <t>* Inexactitud durante la consolidación y cálculo de la información a generar para orden de pago por concepto de reclamaciones
* Generar de manera extemporánea el cálculo de la información para orden de gasto por concepto de reclamaciones</t>
  </si>
  <si>
    <t>* Inoportunidad en la disposición de canales y medios para la entrega de la información por parte de las entidades del Régimen Contributivo, Subsidiado, Especial o de Excepción, planes voluntarios de salud, MSPS y DNP.</t>
  </si>
  <si>
    <t>* Inexactitud en la definición del alcance del proyecto de tecnología de información
* Incumplimiento en el tiempo de ejecución del proyecto de acuerdo al cronograma definido en la fase de planeación.</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</si>
  <si>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t>
    </r>
  </si>
  <si>
    <t>RIESGO(S) ASOCIADOS</t>
  </si>
  <si>
    <t>N.I</t>
  </si>
  <si>
    <t>* Pérdida de recursos apropiados o reconocidos sin justa causa, al no lograr la totalidad del reintegro.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</si>
  <si>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Incumplimiento de compromisos  por Liquidación errada de UPC del Régimen subsidiado
* Incumplimiento de compromisos por cálculo errado o inoportuno de descuentos y giros a IPS y/o Proveedores</t>
  </si>
  <si>
    <t>* Reconocimiento Indebido de Unidad de Pago por Capitaciones (UPC), PyP e Incapacidades
* Reconocimiento  extemporáneo de las obligaciones con las EPS</t>
  </si>
  <si>
    <t>* Apropiación y ejecución de recursos recaudados en las cuentas de ADRES, los cuales no hacen parte de los recursos administrados conforme lo establece el artículo 66 y 67 de la Ley 1753 de 2015</t>
  </si>
  <si>
    <t>* Inexactitud en la generación de pagos
* Generación de pagos inoportunamente o no pagar</t>
  </si>
  <si>
    <t>Inexactitud y/o Inoportunidad en la generación de Estados Financieros</t>
  </si>
  <si>
    <t xml:space="preserve">* Incumplimiento en la atención a los requerimientos recibidos frente a los tiempos definidos en el Catalogo de Servicios </t>
  </si>
  <si>
    <t>* Inexactitud en la realidad de los procesos reflejada en los Manuales Operativos de la Entidad
* Inoportunidad y/o inconsistencia en la entrega de reportes de monitoreo a la gestión de riesgos</t>
  </si>
  <si>
    <t>* Incumplimiento por el  vencimiento de tiempos establecidos para suministrar respuesta a las PQRSD.</t>
  </si>
  <si>
    <t>* Pérdida de conocimiento Organizacional.</t>
  </si>
  <si>
    <t>* Inexactitud en la realidad de los procesos reflejada en los Manuales Operativos de la Entidad</t>
  </si>
  <si>
    <t>* Incumplimiento en el tiempo de ejecución del proyecto de acuerdo al cronograma definido en la fase de planeación.
* Inexactitud en la definición del alcance del proyecto de tecnología de información
* Incumplimiento en la atención a los requerimientos recibidos frente a los tiempos definidos en el Catalogo de Servicio</t>
  </si>
  <si>
    <t>* Incumplimiento de compromisos para la ejecución de las actividades relacionadas con la implementación y mantenimiento de la gestión institucional de la Entidad</t>
  </si>
  <si>
    <t xml:space="preserve">* Inadecuada formulación del Plan Estratégico e Institucional y/o el Plan de Acción </t>
  </si>
  <si>
    <t>* Inoportunidad en las distintas actuaciones que deben surtirse en los procesos judiciales, tramites extrajudiciales y administrativos a cargo
* Incumplimiento de las decisiones judiciales en las que se impongan obligaciones económicas o de hacer</t>
  </si>
  <si>
    <t>* Incumplimiento en los términos otorgados por la autoridad judicial para la presentación de informes en acciones de tutela.
* Inexactitud normativa o conceptual en la respuesta de la acción de una tutela.</t>
  </si>
  <si>
    <t>* Inoportunidad y/o inconsistencia en la entrega de reportes de monitoreo a la gestión de riesgos</t>
  </si>
  <si>
    <t>Inoportunidad en la entrega de información interna y externa</t>
  </si>
  <si>
    <t>Inoportunidad en el seguimiento a Planes de Mejoramiento Interno</t>
  </si>
  <si>
    <t xml:space="preserve">* Incumplimiento en Plan  Estratégico de Gestión Humana. </t>
  </si>
  <si>
    <t>* Incumplimiento en Plan  Estratégico de Gestión Humana. 
* Pérdida de conocimiento Organizacional.</t>
  </si>
  <si>
    <t>* Incumplimiento, inoportunidad y/o inexactitud en la información estratégica objeto de publicación en la página Web de la ADRES y/o de reporte a otras entidades, con respecto a la normatividad aplicable y/o los requisitos internos.</t>
  </si>
  <si>
    <t>* Pérdida de conocimiento Organizacional.
* Incumplimiento, inoportunidad y/o inexactitud en la información estratégica objeto de publicación en la página Web de la ADRES y/o de reporte a otras entidades, con respecto a la normatividad aplicable y/o los requisitos internos.</t>
  </si>
  <si>
    <t>* Vincular en la entidad candidatos que no cumplan con el perfil requerido en el Manual de Funciones de la ADRES</t>
  </si>
  <si>
    <t>* No contratar uno o varios de los bienes, servicios y/u obras proyectados en el Plan Anual de Adquisiciones de la entidad, o contratarlos extemporáneamente.
* Aprobar la adquisición de bienes, obras y servicios que no se ajustan a las necesidades, al servicio prestado o al cumplimiento de los objetivos de la entidad.
* Selección de contratistas que no cuenten con la capacidad financiera y/o técnica y/o jurídica necesarias para la ejecución del contrato.
* Posibilidad de adjudicación de contratos por vicio de consentimiento</t>
  </si>
  <si>
    <t>* Incumplimiento legal al perder documentación desde la radicación hasta su disposición final</t>
  </si>
  <si>
    <t># Solicitudes desarrolladas e implementadas/ #solicitudes definidas</t>
  </si>
  <si>
    <t>11900-1-16-1</t>
  </si>
  <si>
    <t>11900-1-19-1</t>
  </si>
  <si>
    <t>11900-1-19</t>
  </si>
  <si>
    <t>11700-1-39-2</t>
  </si>
  <si>
    <t xml:space="preserve">Inclusión de las actividades: 11600/11700-1-1-1 a la 11600/11700-1-1-3, relacionadas con la Ley de Protección de Datos Personales, en el Plan de Acción de Apoyo Transversal, de acuerdo con la solicitud del Director de Tecnologías de la Información y las Comunicaciones, mediante correo electrónico del 20/02/2019. </t>
  </si>
  <si>
    <t># Casos de primer nivel atendidos en términos de ANS para el trimestre/ # Casos de primer nivel recibidos con vencimiento de ANS durante el trimestre.</t>
  </si>
  <si>
    <t xml:space="preserve"># Requerimientos de aplicaciones misionales atendidos en términos de ANS para el trimestre/ # Requerimientos de aplicaciones misionales programados para el trimestre conforme al ANS 
</t>
  </si>
  <si>
    <t>Listas de asistencia a reuniones de autocontrol y/o a jornadas de socialización de Mapa de Riesgos actualizado a funcionarios y contratistas</t>
  </si>
  <si>
    <t xml:space="preserve">
* Inoportunidad y/o inconsistencia en la entrega de reportes de monitoreo a la gestión de riesgos</t>
  </si>
  <si>
    <t>Comité Institucional de Gestión y Desempeño</t>
  </si>
  <si>
    <t xml:space="preserve">Se modifican los indicadores de las actividades 11600-1-1-2, 11600-2-1 toda vez que la mesa de servicios funciona bajo la definición de Acuerdos de Nivel de Servicios ANS, lo cual  considerara tiempos para cada una de las actividades a desarrollar dentro de la DGTIC conforme al catálogo de Servicios que se ha venido construyendo. Por tal razón, pueden ser solicitadas actividades con ANS que superen la fecha de corte de medición del indicador y por tal razón no deben ser considerados dentro del reporte del corte, siendo objeto de medición en el próximo reporte donde su ANS sea inferior al corte del reporte o informe. 
Lo anterior, según solicitud del Director de Tecnologías de la Información y las Comunicaciones, mediante correo electrónico del 14/03/2019. </t>
  </si>
  <si>
    <t>11300-1-1</t>
  </si>
  <si>
    <t>11300-1-2</t>
  </si>
  <si>
    <t>11300-1-3</t>
  </si>
  <si>
    <t>11300-1-4</t>
  </si>
  <si>
    <t>11300-1-5</t>
  </si>
  <si>
    <t>Valor Plan de Adquisiciones excluido</t>
  </si>
  <si>
    <t>20190331.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18.595
# Registros notificados en auditorias preventivas igual a 743.779
Teniendo en cuenta que la meta anual se definió como 10% y por lo tanto la meta trimestral quedo en 2.5%, el comportamiento del indicador para este periodo de medición fue 100% frente a la meta. Sin embargo, teniendo en cuenta la dinámica del reporte de correcciones realizadas por las EPS se encuentra que adicionalmente al cumplimiento de la META se llevó a cabo la corrección de 104.021 registros más. Por lo cual, se realizará al interior del proceso la revisión para validar la pertinencia de la Meta propuesta buscando validar si es necesario realizar algún ajuste al respecto, el cual, de ser así, será solicitado a las instancias pertinentes.
El soporte de medición de la evidencia para la actual actividad se encuentra en Evidencia\I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 y valor mensual de $4.080.000.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AndrésGuillermoBruce.
•	Sergio Luis Antonio García. Quien tiene el contrato 046 de 2019 y cuyo valor total es por $48.960.000 y valor mensual de $4.080.00.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SergioLuisAntonioGarcía.
•	William Andrés Páez. Quien tiene el contrato 061 de 2019 y cuyo valor total es por $48.960.000 y valor mensual de $4.080.000. Cuya fecha de ingreso fue el 13/02/2019. Para el seguimiento actual se ha pagado un total de $2.448.000 y se tiene por pagar un valor de $4.080.000. La evidencia de los pagos realizados y de las cuentas de cobro se encuentran dentro de la ruta Evidencia\I trimestre\Estratégico\11600-1-1-1-1\ WilliamAndrésPáez.
Por lo tanto, para el presente seguimiento, se tenía definido un total de $36.720.000, de los cuales hasta el momento se han causado obligaciones por un valor de $23.392.000 dando un cumplimiento de 63.70%.</t>
  </si>
  <si>
    <t xml:space="preserve">20190331.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44.760 
# Registros correctos igual a 36.947 
# Número total de registros notificados en auditorias correctivas igual a 81.707
Auditoria de 2199 producto dentro del plan de acción: 11600-1-1-1-3
# de registro depurados por ADRES igual a 1.745 
# Registros correctos igual a 4.284 
# Número total de registros notificados en auditorias correctivas igual a 6.029
Teniendo en cuenta que la meta anual se definió como 100% y por lo tanto la meta trimestral quedo en 25%, el comportamiento del indicador para este periodo de medición fue 25%.
El soporte de medición de la evidencia para la actual actividad se encuentra en Evidencia\I trimestre\Estratégico\11600-1-1-1-2. </t>
  </si>
  <si>
    <t xml:space="preserve">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99.22%, el cual corresponde a: 
SGD
# PQRSD BDUA atendidas en términos de ley en el trimestre igual a 632 
#PQRSD BDUA recibidas con fecha máxima de respuesta en el trimestre igual a 642 
CRM
# PQRSD BDUA atendidas en términos de ley en el trimestre igual a 55 
#PQRSD BDUA recibidas con fecha máxima de respuesta en el trimestre igual a 55 
Teniendo en cuenta que la meta anual se definió como 100% y por lo tanto la meta trimestral quedo en 25%, el comportamiento del indicador para este periodo de medición fue 24.81%.
Como se ve el indicador no alcanzó el valor definido para la meta, faltando así 0.19%; por tal razón, se relaciona que al momento de la generación del presente reporte 5 de ellos (0000220726, 0000215242, 0000215932, 0000216243 y 0000213509) ya se habían cerrado y 5 aún permanecían abiertos; para lo cual, como alternativas de mejora se ha propuesto al interior del grupo interno llevar a cabo una verificación oportuna para evitar contestar fuera de los términos teniendo en cuenta que los que se vencieron tenían una complejidad alta de respuesta.
El soporte de medición de la evidencia para la actual actividad se encuentra en Evidencia\I trimestre\Estratégico\11600-1-1-1-4 y corresponde al archivo 11600-1-1-1-4.xlsx. </t>
  </si>
  <si>
    <t>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99.35%, el cual corresponde a: 
# Requerimientos de aplicaciones misionales atendidos en términos de ANS para el trimestre igual a 763 
# Requerimientos de aplicaciones misionales recibidos en términos de ANS igual a 765 
Como se ve el indicador no alcanzó el valor definido para la meta, faltando así 0.16%; por tal razón, como alternativas de mejora se ha propuesto es revisar los ANS conforme a la complejidad los requerimientos.
Teniendo en cuenta que la meta anual se definió como 100% y por lo tanto la meta trimestral quedo en 25%, el comportamiento del indicador para este periodo de medición fue 24.84%.
El soporte de medición de la evidencia para la actual actividad se encuentra en Evidencia\I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$5.479.295 y se tiene por pagar un valor de $5.136.839. La evidencia de los pagos realizados y de las cuentas de cobro se encuentran dentro de la ruta Evidencia\I trimestre\Estratégico\11600-1-1-2-1\ ClaudiaMilenaSoler.
•	Cristian Russi. Quien tiene el contrato 065 de 2019 y cuyo valor total es por $61.642.068 y valor mensual de $5.136.839. Cuya fecha de ingreso fue el 06/02/2019. Para el seguimiento actual se ha pagado un total de $4.623.155 y se tiene por pagar un valor de $5.136.839. La evidencia de los pagos realizados y de las cuentas de cobro se encuentran dentro de la ruta Evidencia\I trimestre\Estratégico\11600-1-1-2-1\ CristianRussi.
•	Jorge Suarez. Quien tiene el contrato 062 de 2019 y cuyo valor total es por $48.960.000 y valor mensual de $4.080.000. Cuya fecha de ingreso fue el 04/02/2019. Para el seguimiento actual se ha pagado un total de $3.672.000 y se tiene por pagar un valor de $4.080.000. La evidencia de los pagos realizados y de las cuentas de cobro se encuentran dentro de la ruta Evidencia\I trimestre\Estratégico\11600-1-1-2-1\ JorgeSuarez.
•	Manuel Peña. Quien tiene el contrato 0051 de 2019 y cuyo valor total es por $53.164.884 y valor mensual de $4.403.407. Cuya fecha de ingreso fue el 30/01/2019. Para el seguimiento actual se ha pagado un total de $4.578.087 y se tiene por pagar un valor de $4.430.407. La evidencia de los pagos realizados y de las cuentas de cobro se encuentran dentro de la ruta Evidencia\I trimestre\Estratégico\11600-1-1-2-1\ ManuelPeña.
•	Yuly Margoth Otalora. Quien tiene el contrato 035 de 2019 y cuyo valor total es por $48.960.000 y valor mensual de $4.080.000. Cuya fecha de ingreso fue el 24/01/2019. Para el seguimiento actual se ha pagado un total de $4.488.000 y se tiene por pagar un valor de $4.080.000. La evidencia de los pagos realizados y de las cuentas de cobro se encuentran dentro de la ruta Evidencia\I trimestre\Estratégico\11600-1-1-2-1\ YulyMargothOtalora.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$ 91.878.120
•	Contratar la implementación e integraciones de los sistemas misionales de la ADRES con el ERP. Por valor de $364.000.000.
•	Contratar la implementación del sistema de Cobro Coactivo, que incluya la integración con las aplicaciones del proceso de reclamaciones en la ADRES. Por valor de $ 277.671.089,10.
Las cuales hasta el momento no se han contratado y por consiguiente no se ha pagado valor alguno de las mismas.
Por lo tanto, para el presente seguimiento, se tenía definido un total de $251.979.557, de los cuales hasta el momento se han causado obligaciones por un valor de $45.704.622 dando un cumplimiento de 18.14%.</t>
  </si>
  <si>
    <t>20190331. Para este trimestre, esta actividad no tenía alcance definido.</t>
  </si>
  <si>
    <t>20190331. El pasado 25 de febrero de 2019, el Módulo tecnológico en el CRM como herramienta de medición de oportunidad de respuestas a PQRSD sentró en producción. Este puede ser accedido directamente desde el enlace https://sac.adres.gov.co/ o a través del Enlace Formule su PQRSD en línea, el cual se encuentra en la página https://www.adres.gov.co/.</t>
  </si>
  <si>
    <t>20190331. El 28 de marzo de 2019 mediante reunión extraordinaria del comité de Gestión y Desempeño, se llevó a cabo la presentación de las políticas de Seguridad de la Información, las cuales fueron aprobadas en común acuerdo por los integrantes de este, cabe resaltar que las Política General de Seguridad y Privacidad de la información ya se encontraba aprobada desde el año pasado bajo resolución 498 de 2018. 
Adjunto se relaciona como evidencia: 
•	Solicitud por parte de la DGTIC para el desarrollo del del comité a manera extraordinaria (Ver: Citación a sesión extraordinaria comité de desempeño.msg).
•	Memorias de la reunión (Ver: Comité Institucional de Gestión y Desempeño 28-03-19.pptx)
•	Listado de asistencia y acta de reunión borrador de la reunión (Ver: Acta de MIPG Ultimo Comité mes de Marzo 2019.msg).</t>
  </si>
  <si>
    <t>20190331. Dentro del procedimientos definidos para la DGTIC, relacionados con temas de Seguridad de la información se definió un total de 19 procedimientos que debían ser actualizados o elaborados, los cuales son los siguientes: 
1.	MANUAL OPERATIVO DE OPERACIONES
•	PROCEDIMIENTO ADQUISICIÓN, DESARROLLO Y MANTENIMIENTO DE SOFTWARE
•	PROCEDIMIENTO DE SEPARACIÓN DE AMBIENTES
•	PROCEDIMIENTO DE TRANSFERENCIA DE INFORMACIÓN
•	PROCEDIMIENTO DE CONTROLES CRIPTOGRÁFICOS
2.	MANUAL OPERATIVO DE SOPORTE A LAS TECNOLOGÍAS
•	PROCEDIMIENTO DE GESTIÓN DE USUARIOS Y CONTRASEÑAS (INGRESO SEGURO A LOS SISTEMAS DE INFORMACIÓN)
•	PROCEDIMIENTO GESTIÓN DE INCIDENTES DE SEGURIDAD
•	PROCEDIMIENTO DE MANTENIMIENTO DE EQUIPOS
•	PROCEDIMIENTO DE GESTION DE CAPACIDAD
•	PROCEDIMIENTO DE GESTIÓN DE LA CONTINUIDAD DE NEGOCIO
•	PROCEDIMIENTO GESTIÓN DE MEDIOS REMOVIBLES
•	PROCEDIMIENTO BORRADO SEGURO DE INFORMACIÓN
•	PROCEDIMIENTO DE CONTROL SOFTWARE
•	PROCEDIMIENTO DE ASEGURAMIENTO DE SERVICIOS EN LA RED
•	PROCEDIMIENTO DE PROTECCIÓN CONTRA CÓDIGOS MALICIOSOS
•	PROCEDIMIENTO DE GESTIÓN DE LLAVES CRIPTOGRÁFICAS
3.	MANUAL OPERATIVO PROYECTOS DE TECNOLOGÍA DE LA INFORMACIÓN
•	Actualización del Procedimiento Iniciación de Proyectos frente al cumplimiento de Seguridad de la Información
•	Actualización del Procedimiento Planificación de Proyectos frente al cumplimiento de Seguridad de la Información
•	Actualización del Procedimiento Implementación de Productos y Servicios frente al cumplimiento de Seguridad de la Información
•	Actualización del Procedimiento Revisión entregables frente al cumplimiento de Seguridad de la Información
Ahora bien, para el actual seguimiento la DGTIC, trabajó en la elaboración de los procedimientos del manual operativo de proyectos de tecnología de la información, los cuales fueron revisados y aprobados por el director de la dirección, tal como se puede evidenciar en Evidencia\I trimestre\Transversal\11600-2-15\Manual Operativo Gestión de Proyectos de TI.msg 
Para este trimestre se tenía definido el desarrollo de 4 de ellos, y se actualizaron los 4 relacionados al Manual Operativo de Gestión de proyectos de Tecnología de Información, el cual incluye un 5 procedimiento adicional que no era objeto de este indicador; sin embargo, con el propósito de contar con una versión unificada del manual se actualizó en su totalidad. Por lo tanto, el indicador de este trimestre ha sido sobre ejecutado en 100%</t>
  </si>
  <si>
    <t>20190331. Dentro del plan de capacitación y sensibilización se definió el modelo de sensibilización frente a Seguridad de la información que se llevará a cabo para 2019 ver Evidencia\I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 trimestre\Transversal\11600-2-16\ _MSPI_ - Material para sensibilización.msg).
La campaña se realizó entre 18 de marzo de 2019 y 29 de marzo de 2019; en la ubicación Evidencia\I trimestre\Transversal\11600-2-16\, se encuentran algunas evidencias de la sensibilización realizada.
Esta actividad no tiene relacionado recurso financiero.</t>
  </si>
  <si>
    <t>20190331.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 trimestre\Transversal\11600-2-17 se copia del acta del comité (Acta_Comite_Institucional_Gestión_Desempeño.PDF), así como documento guía para el plan de capacitación y sensibilización ([PROYECTO] PL01 Plan Capacitación SPI.docx). Esta actividad no tiene relacionado recurso financiero.
Es importante aclarar que está actividad, dentro de la planeación del “Plan de acción” tiene como meta de ejecución inicial el segundo trimestre; por tal razón, hasta el momento el valor ejecutado del indicador es 0.</t>
  </si>
  <si>
    <t>Para el primer trimestre no fueron certificados por parte de la Firma Auditora y Firma Interventora paquetes de recobros del rezago del año 2018.
En cuanto a los paquetes de reclamaciones, se cerraron y certificaron 9 paquetes de reclamaciones radicadas por Personas Naturales en cumplimiento a Sentencias Judiciales.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Se informa que la Firma Auditora con corte al 31 de marzo de 2019, no ha cobrado el valor de la comisión de los paquetes certificados, motivo por el cual no se relaciona el "VALOR ASIGNADO PARA EL DESARROLLO DE LA ACTIVIDAD".</t>
  </si>
  <si>
    <t>Para el primer trimestre no fueron certificados por parte de la Firma Auditora y Firma Interventora paquetes de recobros del rezago del año 2019.
En cuanto a los paquetes de reclamaciones, se cerró y certificó un paquete de reclamaciones radicadas por Personas Naturales en cumplimiento a Sentencias Judiciales.
Se informa que la Firma Auditora con corte al 31 de marzo de 2019, no ha cobrado el valor de la comisión de los paquetes certificados, motivo por el cual no se relaciona el "VALOR ASIGNADO PARA EL DESARROLLO DE LA ACTIVIDAD".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A 31 de marzo de 2019 no se definió la meta para el avance del primer trimestre de 2019, motivo por el cual no se cuenta con un porcentaje para calcular el avance en este indicador.</t>
  </si>
  <si>
    <t>Se solicitaron y se resolvieron 236 apoyos técnicos en enero, febrero y marzo de 2019.
Se informa que el valor asignado para el desarrollo de la actividad en el primer trimestre corresponde al valor pagado a los contratistas (del 29 de enero de 2019 al 31 de marzo de 2019)</t>
  </si>
  <si>
    <t>Los avances realizados en el marco de la optimación y sistematización del proceso de auditoría integral de recobros y reclamaciones, se adelantaron las siguientes actividades: se constituyeron los grupos de trabajo que se encuentras descritos en el archivo PPT que fueron conformados con el propósito de trabajar aspectos puntales sobre la optimización y sistematización.
Adicionalmente se adelantó la elaboración de un cronograma piloto con diferentes fases y actividades.
Se informa que el valor asignado para el desarrollo de la actividad en el primer trimestre corresponde al valor pagado al contratista en el mes de marzo de 2019 (del 13 al 31 de marzo)</t>
  </si>
  <si>
    <t>Mediante los memorandos identificados en el SGD con los números 22745, 23748 y 25016 se efectuaron las Ordenaciones del Gasto para el Giro Previo de Recobros de los meses de enero, febrero y marzo de 2019 respectivamente.</t>
  </si>
  <si>
    <t>Para efectuar ordenaciones de gasto de paquetes de recobros por MYT 01-02, es necesario contar con los resultados de auditoría de la Firma Auditora y las certificaciones de la Firma Interventora.
Para el primer trimestre de 2019, tanto la Firma Auditoria como la Firma Interventora no certificaron paquetes con resultado de auditoría de recobros por radicación MYT01 y MYT02</t>
  </si>
  <si>
    <t>Para efectuar ordenaciones de gasto de paquetes de recobros por MYT04, es necesario contar con los resultados de auditoría de la Firma Auditora y las certificaciones de la Firma Interventora.
Para el primer trimestre de 2019, tanto la Firma Auditoria como la Firma Interventora no certificaron paquetes con resultado de auditoría de recobros por radicación MYT04</t>
  </si>
  <si>
    <t>Se efectuaron las publicaciones de los giros previos de recobros de los meses de enero, febrero y marzo de 2019</t>
  </si>
  <si>
    <t>Se ordenaron diez (10) paquetes de reclamaciones en el primer trimestre del año 2019 correspondientes a los números 23035, 23036, 24002, 24003, 24004, 24005, 24006, 24007, 24009 y 24012.</t>
  </si>
  <si>
    <t>Se efectuaron las publicaciones de los paquetes de reclamaciones 23035, 23036, 24002, 24003, 24004, 24005, 24006, 24007, 24009 y 24012.</t>
  </si>
  <si>
    <t>En el primer trimestre del año 2019 no se han realizado avances a la modificación del formulario FURPEN. 
El formulario se modificará en los siguientes trimestres del año.</t>
  </si>
  <si>
    <t>La DOP no adelantó reuniones internas durante el primer trimestre del año 2019, toda vez que el funcionario que lideraba el proceso se desvinculó de la ADRES.
Adicionalmente y debido a la coyuntura de la supervisión del contrato 080, los líderes de los grupos de Análisis de la Información y de Supervisión estuvieron en reuniones de seguimiento y acompañamiento en las instalaciones de la Firma Auditora y por tanto no se dispuso del tiempo necesario para efectuar las reuniones de autocontrol.</t>
  </si>
  <si>
    <t xml:space="preserve">Durante el periodo, se realizaron los respectivos Informes de Ejecución Presupuestal de la URA, los cuales fueron enviados al Ministerio de Hacienda y Crédito Público, Ministerio de Salud y Protección Social y a la Oficina Asesora de Planeación y Contro de Riesgos, adicionalmente a Comunicaciones ADRES, para su publicación mensual en el link https://www.adres.gov.co/La-Entidad/Información-financiera/URA/Ejecución-presupuestal-URA, se anexa a la carpeta compartida por la OAPCR las ejecuciones presupuestales del I Trimestre de 2019.
</t>
  </si>
  <si>
    <t>Entre el trimestre de enero a marzo de 2019, se registraron 110.415 partidas recaudadas, de las cuales se identificaron 110.346 durante el trimestre. La gestión en la identificación de las partidas recaudadas se efectúa aplicando las actividades contenidas en el Manual de Gestión de Recaudo y Fuentes de Financiación; lo cual ha permitido tener la identificación en el 99,94% en el trimestre. En este Contexto, se anexa a la carpeta compartida por la OAPCR, la relación de registros de recaudos identificados Vs. Total de Registros recaudos en el I Trimestre.
El mes de enero se pagó a los contratistas asignados a esta línea el 47%, toda vez que la fecha de inicio de los contratos fue el 17 de enero. Se anexa a la carpeta compartida por la OAPCR, las cuentas de cobros radicados del trimestre, las cuales evidencian la ejecución de los recursos asignados y programados entre Enero a Marzo de 2019.</t>
  </si>
  <si>
    <t>En el periodo se recibieron 1.873 Ordenes de Pago por parte del Grupo de Gestión de Contable, por un valor de $10.115.290.000.648, de las cuales de efectúa un total de Giros de 57.892 (cantidad evidenciada en el aplicativo ERP) por valor de $9.903.276.570.660, se anexa a la carpeta compartida por la OAPCR, la relación de de pagos efectuados en el I Trimestre de 2019.
En el mes de enero se pagó a los contratistas asignados a esta línea el 43% del valor mensual del contrato, porque la fecha de inicio fue el 18 de enero. En el mes de febrero se paga al contratista Abel  Castillo Arango del 18 al 28 de febrero por incapacidad médica equivalente al 43% del valor mensual del contrato, Se anexa a la carpeta compartida por la OAPCR, las cuentas de cobros radicados del trimestre, las cuales evidencian la ejecución de los recursos asignados y programados entre Enero a Marzo de 2019.</t>
  </si>
  <si>
    <t xml:space="preserve">En el periodo se da cumplimiento al avance del 25%, se generaron 61 Boletines Diarios; 21 en enero, 20 en febrero y 20 en marzo, donde se registran los recursos por transacciones bancarias, se anexa a la carpeta compartida por la OAPCR, la relación de boletines diarios realizados en el I Trimestre de 2019.
El mes de enero se pagó a la contratista asignada a esta línea el 47% del valor mensual del contrato porque la fecha de inicio fue  el  17 de enero, se anexa a la carpeta compartida por la OAPCR, las cuentas de cobros radicados del trimestre, las cuales evidencian la ejecución de los recursos asignados y programados entre Enero a Marzo de 2019. </t>
  </si>
  <si>
    <t>Durante el periodo, se realizaron los respectivos Estados Financieros de la URA, los cuales se encuentran publicados en la pagina de la ADRES en el link https://www.adres.gov.co/La-Entidad/Información-financiera/URA/Estados-financieros, se anexa a la carpeta compartida por la OAPCR los Estados Financieros del I Trimestre de 2019._x000D_
_x000D_
El mes de enero se pagó a los contratistas asignados a esta línea entre el 30% y el 33% del valor mensual porque las fechas de inicio fueron entre el  el 21 y 22 de enero, se anexa a la carpeta compartida por la OAPCR, las cuentas de cobros radicados del trimestre, las cuales evidencian la ejecución de los recursos asignados y programados entre Enero a Marzo de 2019.</t>
  </si>
  <si>
    <t>Para este trimestre no se realizan reuniones de Autocontrol, se ejecutan a partir del segundo trimestre de 2019. </t>
  </si>
  <si>
    <t>No existe compromiso en el trimestre</t>
  </si>
  <si>
    <t xml:space="preserve">Se revisaron y convalidaron los formatos de:_x000D_
Inventarios Individuales (Archivo compartido en la nube)._x000D_
Control de Parqueaderos (Archivo compartido en la nube)._x000D_
Orden de Salida_x000D_
Solicitud de Transporte._x000D_
Se elimino el formato  de solicitud prestamo de salas._x000D_
Solicitud de transporte. </t>
  </si>
  <si>
    <r>
      <t xml:space="preserve">Se realizó Jornada de socialización </t>
    </r>
    <r>
      <rPr>
        <b/>
        <i/>
        <sz val="10"/>
        <rFont val="Verdana"/>
        <family val="2"/>
      </rPr>
      <t>(Ver "11700-1-7-1 Citaciones Inducciòn SST Politicas y reglamento de higiene", "11700-1-7-1 Presentacion", "11700-1-7-1 Asistencia a la Socializacion")</t>
    </r>
    <r>
      <rPr>
        <sz val="10"/>
        <rFont val="Verdana"/>
        <family val="2"/>
      </rPr>
      <t xml:space="preserve"> y divulgación de las Políticas de SST y Prevención de alcohol y drogas a todos los servidores públicos y partes interesadas </t>
    </r>
    <r>
      <rPr>
        <b/>
        <i/>
        <sz val="10"/>
        <rFont val="Verdana"/>
        <family val="2"/>
      </rPr>
      <t xml:space="preserve">(Ver correo electrónico "11700-1-7-1 Divulgaciòn reglamento de higiene y políticas en seguridad y salud en el trabajo"). </t>
    </r>
    <r>
      <rPr>
        <sz val="10"/>
        <rFont val="Verdana"/>
        <family val="2"/>
      </rPr>
      <t>Producto evidenciado e informado mediante los documentos: "Informe febrero Contrato 69 de 2019 Radicado E000022201600" y el "Informe febrero Contrato 70 de 2019 Radicado E000022226400". De lo anterior cumpliendo al 100% con este indicador.
Esta jornada permitió dar a conocer los lineamientos definidos en la ADRES, resolver dudas frente a su implementación y fortalecer los conocimientos de los temas asociados por parte de los asistentes y demás participantes.</t>
    </r>
  </si>
  <si>
    <t>No hay meta establecida para este trimestre</t>
  </si>
  <si>
    <r>
      <rPr>
        <sz val="10"/>
        <rFont val="Verdana"/>
        <family val="2"/>
      </rPr>
      <t xml:space="preserve">Esta actividad fue reprogramada desde el 30 de enero de 2019 para el segundo trimestre de la presente vigencia </t>
    </r>
    <r>
      <rPr>
        <b/>
        <i/>
        <sz val="10"/>
        <rFont val="Verdana"/>
        <family val="2"/>
      </rPr>
      <t xml:space="preserve">(Ver correo electrónico "11700-1-9-1 Programacion final PLAN ANUAL DE TRABAJO SG-SST 2019-29 de enero-W.xlsx"). </t>
    </r>
    <r>
      <rPr>
        <sz val="10"/>
        <rFont val="Verdana"/>
        <family val="2"/>
      </rPr>
      <t xml:space="preserve">De lo anterior, soportado por los contratistas de prestación de servicios mediante correos electrónicos </t>
    </r>
    <r>
      <rPr>
        <i/>
        <sz val="10"/>
        <rFont val="Verdana"/>
        <family val="2"/>
      </rPr>
      <t xml:space="preserve">"11700-1-9-1 Avances del cronograma de gestiòn  y capacitaciòn SST"; "11700-1-9-1 listado Documentos del SG-SST" </t>
    </r>
    <r>
      <rPr>
        <sz val="10"/>
        <rFont val="Verdana"/>
        <family val="2"/>
      </rPr>
      <t>y evidenciado mediante los documentos:</t>
    </r>
    <r>
      <rPr>
        <i/>
        <sz val="10"/>
        <rFont val="Verdana"/>
        <family val="2"/>
      </rPr>
      <t xml:space="preserve"> "Informe marzo Contrato 69 de 2019 Radicado E000023713200"</t>
    </r>
    <r>
      <rPr>
        <sz val="10"/>
        <rFont val="Verdana"/>
        <family val="2"/>
      </rPr>
      <t xml:space="preserve"> y el </t>
    </r>
    <r>
      <rPr>
        <i/>
        <sz val="10"/>
        <rFont val="Verdana"/>
        <family val="2"/>
      </rPr>
      <t>"Informe marzo Contrato 70 de 2019 Radicado E000022226400"</t>
    </r>
    <r>
      <rPr>
        <sz val="10"/>
        <rFont val="Verdana"/>
        <family val="2"/>
      </rPr>
      <t>.</t>
    </r>
  </si>
  <si>
    <r>
      <t xml:space="preserve">Esta actividad fue reprogramada desde el 30 de enero de 2019 conforme el </t>
    </r>
    <r>
      <rPr>
        <b/>
        <i/>
        <sz val="10"/>
        <rFont val="Verdana"/>
        <family val="2"/>
      </rPr>
      <t>correo electrónico "Programacion final PLAN ANUAL DE TRABAJO SG-SST 2019-29 de enero-W.xlsx".</t>
    </r>
    <r>
      <rPr>
        <sz val="10"/>
        <rFont val="Verdana"/>
        <family val="2"/>
      </rPr>
      <t xml:space="preserve"> De lo anterior, soportado por el contratista de prestación de servicios mediante correo electrónico "Avances del cronograma de gestiòn  y capacitaciòn SST".</t>
    </r>
  </si>
  <si>
    <r>
      <rPr>
        <sz val="10"/>
        <rFont val="Verdana"/>
        <family val="2"/>
      </rPr>
      <t xml:space="preserve">Esta actividad fue reprogramada desde el 30 de enero de 2019 conforme el </t>
    </r>
    <r>
      <rPr>
        <b/>
        <i/>
        <sz val="10"/>
        <rFont val="Verdana"/>
        <family val="2"/>
      </rPr>
      <t>correo electrónico "Programacion final PLAN ANUAL DE TRABAJO SG-SST 2019-29 de enero-W.xlsx".</t>
    </r>
    <r>
      <rPr>
        <sz val="10"/>
        <rFont val="Verdana"/>
        <family val="2"/>
      </rPr>
      <t xml:space="preserve"> De lo anterior, soportado por el operador externo mediante correo electrónico "Avances del cronograma de gestiòn  y capacitaciòn SST".</t>
    </r>
  </si>
  <si>
    <r>
      <rPr>
        <sz val="10"/>
        <rFont val="Verdana"/>
        <family val="2"/>
      </rPr>
      <t xml:space="preserve">Se realizó Jornada de socialización </t>
    </r>
    <r>
      <rPr>
        <b/>
        <i/>
        <sz val="10"/>
        <rFont val="Verdana"/>
        <family val="2"/>
      </rPr>
      <t>(Ver "11700-1-14 1 Listado asistencia socializaciòn roles y responsabilidades SST"; "11700-1-14 1Presentaciòn roles y responsabilidades SST. Diapositiva 8 y 9")</t>
    </r>
    <r>
      <rPr>
        <sz val="10"/>
        <rFont val="Verdana"/>
        <family val="2"/>
      </rPr>
      <t xml:space="preserve"> y divulgación de los roles y responsabilidades a todos los servidores públicos y partes interesadas realizada </t>
    </r>
    <r>
      <rPr>
        <b/>
        <i/>
        <sz val="10"/>
        <rFont val="Verdana"/>
        <family val="2"/>
      </rPr>
      <t>(Ver correo electrónico "Divulgaciòn")</t>
    </r>
    <r>
      <rPr>
        <sz val="10"/>
        <rFont val="Verdana"/>
        <family val="2"/>
      </rPr>
      <t>. Producto evidenciado e informado mediante los documentos: "Informe febrero Contrato 69 de 2019 Radicado E000022201600" y el "Informe febrero Contrato 70 de 2019 Radicado E000022226400". De lo anterior cumpliendo al 100% con este indicador.</t>
    </r>
    <r>
      <rPr>
        <sz val="10"/>
        <color rgb="FFFF0000"/>
        <rFont val="Verdana"/>
        <family val="2"/>
      </rPr>
      <t xml:space="preserve">
</t>
    </r>
    <r>
      <rPr>
        <sz val="10"/>
        <rFont val="Verdana"/>
        <family val="2"/>
      </rPr>
      <t>Esta jornada generó conciencia sobre los deberes y reposabilidades que tienen las partes interesadas en la ADRES sobre la implementación de unas políticas del Sistema de Gestión de Seguridad y Salud en el Trabajo.</t>
    </r>
  </si>
  <si>
    <r>
      <t xml:space="preserve">En el primer trimestre de 2019, se presentó un incente de trabajo laboral, el cual fue investigado en compañía de los integrantes del COPASST, jefe inmediato y grupo de SST. </t>
    </r>
    <r>
      <rPr>
        <b/>
        <i/>
        <sz val="10"/>
        <rFont val="Verdana"/>
        <family val="2"/>
      </rPr>
      <t xml:space="preserve">(Ver producto "11700-1-19-1 Investigaciòn de AT"). </t>
    </r>
    <r>
      <rPr>
        <sz val="10"/>
        <rFont val="Verdana"/>
        <family val="2"/>
      </rPr>
      <t>De lo anterior, soportado por los contratista de prestación de servicios mediante los documentos: "Informe marzo Contrato 69 de 2019 Radicado E000023713200" y el "Informe marzo Contrato 70 de 2019 Radicado E000022226400".</t>
    </r>
    <r>
      <rPr>
        <b/>
        <i/>
        <sz val="10"/>
        <rFont val="Verdana"/>
        <family val="2"/>
      </rPr>
      <t xml:space="preserve">
</t>
    </r>
    <r>
      <rPr>
        <sz val="10"/>
        <color rgb="FFFF0000"/>
        <rFont val="Verdana"/>
        <family val="2"/>
      </rPr>
      <t xml:space="preserve">
</t>
    </r>
    <r>
      <rPr>
        <sz val="10"/>
        <rFont val="Verdana"/>
        <family val="2"/>
      </rPr>
      <t xml:space="preserve">Este producto permitió evidenciar la forma adecuada de atender, gestionar y registrar un incidente laboral. </t>
    </r>
  </si>
  <si>
    <r>
      <rPr>
        <sz val="10"/>
        <rFont val="Verdana"/>
        <family val="2"/>
      </rPr>
      <t xml:space="preserve">Se ejecutó acompañamiento a la inspección realizadas a las instalaciones de la ADRES en compañía de un asesor de la ARL. </t>
    </r>
    <r>
      <rPr>
        <b/>
        <i/>
        <sz val="10"/>
        <rFont val="Verdana"/>
        <family val="2"/>
      </rPr>
      <t xml:space="preserve">(Ver acta de visita e informe de inspección "11700-1-20-1 Inspecciòn SSG"). </t>
    </r>
    <r>
      <rPr>
        <sz val="10"/>
        <rFont val="Verdana"/>
        <family val="2"/>
      </rPr>
      <t>De lo anterior, soportado por el contratista por prestación de servicios mediante el documento: "Informe marzo Contrato 70 de 2019 Radicado E000022226400".
Este producto permitie identificar y corregir algunas situaciones que se requieran frente a los riesgos.</t>
    </r>
  </si>
  <si>
    <r>
      <t xml:space="preserve">Inducción institucional realizada, evidencia a traves de correo electronico </t>
    </r>
    <r>
      <rPr>
        <b/>
        <i/>
        <sz val="10"/>
        <rFont val="Verdana"/>
        <family val="2"/>
      </rPr>
      <t xml:space="preserve">"11700-1-37-1 Inducción Institucional Adres". </t>
    </r>
    <r>
      <rPr>
        <sz val="10"/>
        <rFont val="Verdana"/>
        <family val="2"/>
      </rPr>
      <t>La cual permitió</t>
    </r>
    <r>
      <rPr>
        <b/>
        <i/>
        <sz val="10"/>
        <rFont val="Verdana"/>
        <family val="2"/>
      </rPr>
      <t xml:space="preserve"> </t>
    </r>
    <r>
      <rPr>
        <sz val="10"/>
        <rFont val="Verdana"/>
        <family val="2"/>
      </rPr>
      <t>dar a concocer a los Servidores Públicos posesionados en el primer trimestre de la presente vigencia, las generalidades, aspectos informativos referente al funcionamiento de la ADRES, asi como los lineamientos de tramites administrativos en el Grupo Interno de Gestión del Talento Humano y el link para consultar la estructura organizacional de la ADRES.</t>
    </r>
  </si>
  <si>
    <r>
      <rPr>
        <sz val="10"/>
        <rFont val="Verdana"/>
        <family val="2"/>
      </rPr>
      <t xml:space="preserve">Se realizó actividad de celebración por el día internacional de la mujer en las instalaciones de la ADRES </t>
    </r>
    <r>
      <rPr>
        <b/>
        <i/>
        <sz val="10"/>
        <rFont val="Verdana"/>
        <family val="2"/>
      </rPr>
      <t>(Ver "11700-1-40-4 Invitación 1 día la mujer", "11700-1-40-4 Invitación 2 día la mujer", "Fotografias Dia de la Mujer")</t>
    </r>
    <r>
      <rPr>
        <sz val="10"/>
        <rFont val="Verdana"/>
        <family val="2"/>
      </rPr>
      <t>, cumpliendo al 100% con este indicador.</t>
    </r>
    <r>
      <rPr>
        <sz val="10"/>
        <color rgb="FFFF0000"/>
        <rFont val="Verdana"/>
        <family val="2"/>
      </rPr>
      <t xml:space="preserve">
</t>
    </r>
    <r>
      <rPr>
        <sz val="10"/>
        <rFont val="Verdana"/>
        <family val="2"/>
      </rPr>
      <t>Esta actividad se realizó a costo "cero", a razón de que al corte del 29 de marzo de 2019, aún estaba en proceso de contratación.</t>
    </r>
  </si>
  <si>
    <r>
      <rPr>
        <sz val="10"/>
        <rFont val="Verdana"/>
        <family val="2"/>
      </rPr>
      <t xml:space="preserve">Para el primer trimestre de la presente vigencia, se habían programado 12 actividades de Pausas Activas, de la cuales se ejecutaron 3 </t>
    </r>
    <r>
      <rPr>
        <b/>
        <i/>
        <sz val="10"/>
        <rFont val="Verdana"/>
        <family val="2"/>
      </rPr>
      <t>(Ver  "11700-1-43-5 INVITACION PAUSAS ACTIVAS", "11700-1-43-5 Listados de asistencia pausas activas primer trimestre 2019", "11700-1-43-5 Evidencia fotografica pausas activas")</t>
    </r>
    <r>
      <rPr>
        <b/>
        <sz val="10"/>
        <rFont val="Verdana"/>
        <family val="2"/>
      </rPr>
      <t>.</t>
    </r>
    <r>
      <rPr>
        <sz val="10"/>
        <rFont val="Verdana"/>
        <family val="2"/>
      </rPr>
      <t xml:space="preserve"> Este resultado se presenta, a razón de que al corte del 29 de marzo de 2019, aún estaba en proceso de contratación, por lo cual se lograron solo tres actividades a costo "cero".</t>
    </r>
  </si>
  <si>
    <t> Solo se incluyen los informes de supervisión de enero y febrero, toda vez que el del mes de marzo se encuentra en tramite.
En los informes adjuntos en las evidencias, se encuentran los informes de los meses enero y febrero de 2019, y en las paginas 22 y se encuentra el consolidado de llamadas atendidas y llamadas entrantes </t>
  </si>
  <si>
    <t>El Manual de Servicio al Ciudadano se encuentra actualizado y publicado en la página web de la entidad https://www.adres.gov.co/Portals/0/ADRES/Institucional/Atencion%20al%20ciudadano/MANUAL%20DE%20SERVICIO%20AL%20CIUDADANO%20Y%20PROTOCOLOS%20DE%20ATENCIÓN.pdf</t>
  </si>
  <si>
    <t>Se socializa con todos los servidores públcios mediante correo electrónico los siguietes temas: Trámites y OPA; deberes que tenemos como entidad y  como servidores frente al tramite de las PQRSD; Cartilla del DNP Guía de lenguaje claro para servidores públicos en Colombia e invitavión a inscripción curso virtual en la ESAP; Diapositiva realizada en conjunto con talento humano sobre "Uso de lenguaje claro en las comunicaciones del estado" Se adjunta la evidencia en la carpeta del Plan de Acción</t>
  </si>
  <si>
    <t>Se realizaron dos reuniones de avances para la consolidación de información de la ADRES que estará en el portal del Centro Especializado</t>
  </si>
  <si>
    <t>Se evaluaron para este trimestre las respuestas directas y traslados por competencia, las cuales fueron aprobadas en su totalidad.</t>
  </si>
  <si>
    <t>Se elaboró el informe de satisfacción y encuesta de percepción de la página web y se remitió al director para su aprobación y socialización</t>
  </si>
  <si>
    <t>Se consolidó el informe semestral de seguimiento del II Semestre de 2018 y se publicó en la página web de la entidad</t>
  </si>
  <si>
    <t>Se elaboró el informe de PQRSD y se remitió al director para revisión y aprobación para remitir a la OCI</t>
  </si>
  <si>
    <t>En el periodo no se llevaron a cabo procesos de contratación a través de Licitación Pública</t>
  </si>
  <si>
    <t>En el periodo a reportar no se llevaron a cabo reuniones de autocontrol sobre los temas dispuestos en el indicador.</t>
  </si>
  <si>
    <r>
      <t xml:space="preserve">No se enviaron correos electrónicos desde Talento Humano, puesto que las dependencias ya habían realizado solicitudes con respecto a la provisión de dichos empleos. </t>
    </r>
    <r>
      <rPr>
        <b/>
        <i/>
        <sz val="10"/>
        <rFont val="Verdana"/>
        <family val="2"/>
      </rPr>
      <t>(Ver (8) ocho solicitudes)</t>
    </r>
    <r>
      <rPr>
        <sz val="10"/>
        <rFont val="Verdana"/>
        <family val="2"/>
      </rPr>
      <t>.
De lo anterior se evidencia que las dependencias de la ADRES están constantemente revisando su provisión de empleos.</t>
    </r>
  </si>
  <si>
    <r>
      <t xml:space="preserve">De 8 solicitudes escritas, se realizaron 8 nombramientos </t>
    </r>
    <r>
      <rPr>
        <b/>
        <i/>
        <sz val="10"/>
        <rFont val="Verdana"/>
        <family val="2"/>
      </rPr>
      <t>(Ver Resoluciones)</t>
    </r>
    <r>
      <rPr>
        <sz val="10"/>
        <rFont val="Verdana"/>
        <family val="2"/>
      </rPr>
      <t>.
De lo anterior se evidencia una adecucada ejecución del Manual Operativo de Gestión del Talento Humano.</t>
    </r>
  </si>
  <si>
    <r>
      <t xml:space="preserve">De 7 nombramientos comunicados y aceptados, se realizaron 7 posesiones </t>
    </r>
    <r>
      <rPr>
        <b/>
        <i/>
        <sz val="10"/>
        <rFont val="Verdana"/>
        <family val="2"/>
      </rPr>
      <t>(Ver Actas)</t>
    </r>
    <r>
      <rPr>
        <sz val="10"/>
        <rFont val="Verdana"/>
        <family val="2"/>
      </rPr>
      <t xml:space="preserve">.
Nota: Al corte del 15 de abril de 2019, un nombramiento está en estado "comunicado" </t>
    </r>
    <r>
      <rPr>
        <b/>
        <i/>
        <sz val="10"/>
        <rFont val="Verdana"/>
        <family val="2"/>
      </rPr>
      <t>(Ver correo electrónico "Comunicacion Raul Navarro RV Resoluciones Nombramiento")</t>
    </r>
    <r>
      <rPr>
        <sz val="10"/>
        <rFont val="Verdana"/>
        <family val="2"/>
      </rPr>
      <t xml:space="preserve">
De lo anterior se evidencia una adecucada ejecución del Manual Operativo de Gestión del Talento Humano.</t>
    </r>
  </si>
  <si>
    <t xml:space="preserve">El valor inicialmente indicado en el Plan de Acción por (1,212,835,4642.8), se modifica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
En el trimestre se han suscrito 94 contratos de los 158 previstos en el PAA inicial, en cuanto a financiero se reporta lo suscrito para las líneas no asociadas a otra actividad.
</t>
  </si>
  <si>
    <t>Durante el primer trimestre no se reportan actividades para este indicador</t>
  </si>
  <si>
    <t>En la carpeta de OneDrive se adjuntan los informes con las métricas de las redes sociales y el sitio web de la entidad para su consulta.</t>
  </si>
  <si>
    <t xml:space="preserve">El indicador no se alcanzó teniendo en cuenta que en enero no se contaba con el contratista encargado de administrar los contenidos de medios digitales de la ADRES. </t>
  </si>
  <si>
    <t>En la carpeta de OneDrive se adjunta el informe con las métricas de los boletines electrónicos enviados a los stakeholders del sector salud.</t>
  </si>
  <si>
    <t>Se da cumplimiento al reporte correspondiente al primer trimestre de 2019, el miércoles 3 de abril de 2019.</t>
  </si>
  <si>
    <r>
      <t>Teniendo en cuenta que el tiempo para emisión del informe preliminar de evaluación debía realizarse antes del 28 de febrero de 2019 y que la respuesta brindada por la DGTIC menciona demoras en la entrega por temas de atención a la Contraloría General de la República quien está realizando auditoría a la BDUA y cuyos insumos parciales fueron enviados hasta el 28/02/2019, la OCI manifiesta no poder continuar con el proceso de evaluación mencionado y reprogramarlo para el mes de abril de 2019, por tal motivo, se realiza cambio en la fecha de la evaluación del procedimiento Gestión de Requerimientos, programada para ser realizada durante el mes de febrero de 2019 establecida en el Plan Anual de Auditorías de la OCI.  En la ruta \</t>
    </r>
    <r>
      <rPr>
        <b/>
        <sz val="10"/>
        <rFont val="Verdana"/>
        <family val="2"/>
      </rPr>
      <t>ADRES\Plan de Acción 2019 - Oficina Control Interno\Evidencias Productos\I trimestre\11800-1-2-1</t>
    </r>
    <r>
      <rPr>
        <sz val="10"/>
        <rFont val="Verdana"/>
        <family val="2"/>
      </rPr>
      <t xml:space="preserve">, se encuentra el informe de la situación presentada. </t>
    </r>
  </si>
  <si>
    <r>
      <t>Se dio cumplimiento al avance del 25% correspondiente a la realización de 5 informes para dar respuesta a los Requerimientos Legales Internos. En la ruta</t>
    </r>
    <r>
      <rPr>
        <b/>
        <sz val="10"/>
        <rFont val="Verdana"/>
        <family val="2"/>
      </rPr>
      <t xml:space="preserve"> \ADRES\Plan de Acción 2019 - Oficina Control Interno\Evidencias Productos\I trimestre\11800-1-3-1</t>
    </r>
    <r>
      <rPr>
        <sz val="10"/>
        <rFont val="Verdana"/>
        <family val="2"/>
      </rPr>
      <t>, se encuentran 5 carpetas con los respectivos informes y soportes de cumplimiento.
1.	Evaluación Dependencias Plan de Acción y Plan Estratégico. (Informes General e informes por dependencias).
2.	Seguimiento a las medidas de austeridad en el gasto público en ADRES (Informe).
3.	Seguimiento Plan Anticorrupción (Informe).
4.	Seguimiento Acuerdos de Gestión Talento Humano (Oficio Radicado a Director General).
5.	Realizar un informe pormenorizado del estado del control interno (informe con corte a marzo 2019).</t>
    </r>
  </si>
  <si>
    <r>
      <t>Se dio cumplimiento al avance del 44% correspondiente a la realización de 8 informes para dar respuesta a los Requerimientos Legales Externos. En la ruta \</t>
    </r>
    <r>
      <rPr>
        <b/>
        <sz val="10"/>
        <rFont val="Verdana"/>
        <family val="2"/>
      </rPr>
      <t>ADRES\Plan de Acción 2019 - Oficina Control Interno\Evidencias Productos\I trimestre\11800-1-4-1</t>
    </r>
    <r>
      <rPr>
        <sz val="10"/>
        <rFont val="Verdana"/>
        <family val="2"/>
      </rPr>
      <t xml:space="preserve">, se encuentran 8 carpetas con los respectivos informes y soportes de cumplimiento.
1.	Seguimiento al Plan de Mejoramiento CGR SIRECI. (Certificado SIRECI y Plan de Mejoramiento CGR).
2.	Revisión y envío de la Gestión Contractual del Trimestre a la CGR SIRECI. (Certificado SIRECI).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Seguimiento y Evaluación Mapa de Riesgos Institucional y de corrupción. (Informe Final). </t>
    </r>
  </si>
  <si>
    <r>
      <t>Se da cumplimiento al avance del 50%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 trimestre\11800-1-5-1. </t>
    </r>
    <r>
      <rPr>
        <sz val="10"/>
        <rFont val="Verdana"/>
        <family val="2"/>
      </rPr>
      <t xml:space="preserve">
* Informe Plan de Mejoramiento CGR II Semestre 2018
* Certificado_SIRECI - Febrero</t>
    </r>
  </si>
  <si>
    <r>
      <t>Se da cumplimiento al avance del 25% correspondiente a la emisión de 3 Boletines de autocontrol. En la ruta</t>
    </r>
    <r>
      <rPr>
        <b/>
        <sz val="10"/>
        <rFont val="Verdana"/>
        <family val="2"/>
      </rPr>
      <t xml:space="preserve"> \ADRES\Plan de Acción 2019 - Oficina Control Interno\Evidencias Productos\I trimestre\11800-1-6-1,</t>
    </r>
    <r>
      <rPr>
        <sz val="10"/>
        <rFont val="Verdana"/>
        <family val="2"/>
      </rPr>
      <t xml:space="preserve"> se encuentran los 3 boletines emitidos por la OCI correspondientes a los meses de enero, febrero y marzo de 2019. 
* Boletín No. 1 - Guía para la Administración del Riesgo y el Diseño de Controles en Entidades Públicas emitida por el DAFP octubre 2018 - Riesgos de Gestión, Corrupción y Seguridad Digital.
* Boletín No. 2 - Plazos de Respuesta a la OCI.
* Boletín No. 3 - Sistema de Control Interno y Creación de la Red Anticorrupción – Decreto 338 de 2019.</t>
    </r>
  </si>
  <si>
    <t xml:space="preserve">Avance de Ejecución 0% de acuerdo con lo establecido en el Plan de Acción 2019. </t>
  </si>
  <si>
    <t xml:space="preserve"> $ 9.746.895 </t>
  </si>
  <si>
    <t xml:space="preserve"> $ 4.646.734 </t>
  </si>
  <si>
    <t xml:space="preserve"> $ 4.104.615 </t>
  </si>
  <si>
    <t xml:space="preserve">Se carga documento EXCEL con la relación de las Resoluciones que han sido emitidas ordenando el cobro, así como una muestra de las mismas, pero pueden ser verificadas en los expedientes de cobro. El contrato de SANDRA HOYOS tiene fecha de incio el 25 de enero de 2019. Se anexa el informe de ejecución presupuestal y los informes de la contratista. Cabe resaltar, que el Grupo de Cobro Coactivo tiene 5 abogados de planta que realizan la misma gestión del contratista por lo que se genera un incremento en la meta y se prevee un aumento significativo, debido a la contigencia y serán 10 profesionales realizando la misma actividad. </t>
  </si>
  <si>
    <t>Dicha actividad no se ha llevado a cabo, conforme al concepto del consejo de estado, al gran numero de devoluciones recibidas y el bajo impacto reflejado en el recaudo, razón por la cual la OAJ suspendió  dicha actuación y se esta proyectando la modificación del indicador para aprobación de la oficina de planeación  </t>
  </si>
  <si>
    <t xml:space="preserve">Se ha realizado la conciliación de los pagos recibidos por terceros, para lo cual se tiene como soporte documento en Excel y los correos electrónicos intercambiados por los funcionarios JAIRO GUERRERO y BRYAN LOPEZ. El contrato de JAIRO WILLIAM GUERRERO MALAGÓN inició el 31 de enero de 2019, se anexa el informe de ejecución presupuestal y los informes del contratista. Aunque no se tiene meta establecida para este trimestre, si se reporta ejecucion toda vez que la imputacion de pagos es mensual y se solicitará las modificaciones respectivas. </t>
  </si>
  <si>
    <t>No hay meta para el trimestre</t>
  </si>
  <si>
    <t xml:space="preserve">A diario se actualiza la base FENIX, con la información  reportada por los  abogados encargados de adelantar la gestión. El contrato de JUAN SEBASTIAN HERNANDEZ ESPINOSA inció el 08 de febrero de 2019, se anexa el informe de ejecución presupuestal y los informes del contratista. </t>
  </si>
  <si>
    <t xml:space="preserve">Se realizaron las gestiones pertinentes por parte del Grupo de Cobro Coactivo, tendientes a concretar la venta de 1411 actos administrativos  los cuales fueron entregados para estudio a la Central  de Inversiones S.A. - CISA  y se encuentra pendiente la respuesta de dicha entidad para continuar el proceso. </t>
  </si>
  <si>
    <t xml:space="preserve">La Central de Inversiones - CISA se encuentra analizando los 1411 actos administrativos, los cuales fueron entregados mediante Oficio No. 24702 del 14 de marzo de 2019, junto con la base solicitada previamente por ellos, fijando las 10 cuantías más altas.  </t>
  </si>
  <si>
    <t>Se anexa propuesta de articulado elaborada</t>
  </si>
  <si>
    <t>Para el saneamiento de aportes patronales de régimen especial se realizaron certificaciones de conciliación con 4 ESEs.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</si>
  <si>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t>
  </si>
  <si>
    <t>Fue ajustado el software de compensación en la  aplicación de las Glosas GB009 y GB103. También fue ajustado el software de actualización de históricos, produciendo que la HAC se actualicen los beneficiarios del proceso de inclusión de beneficiarios con los datos correctos.
Con cargo a esta actividad se ejecuta el contrato de prestación de servicios No. 043_2019.</t>
  </si>
  <si>
    <t>Fueron efectuados 12 procesos de compensación del régimen contributivo de salud, reconociendo a las EPS - EOC la UPC el PyP y la provisión de incapacidades.
Con cargo a esta actividad se ejecutan los contratos de prestación de servicios No. 040 y 042_2019.</t>
  </si>
  <si>
    <t>En el primer trimestre fueron radicadas  906 solicitudes de prestaciones económicas de regímenes exceptuados, de las cuales el término de respuesta a 30 de marzo fueron 723 solicitudes. 
Con cargo a esta actividad se ejecuta el contrato de prestación de servicios No.059_2019.</t>
  </si>
  <si>
    <t>En el primer trimestre fueron radicadas  237 solicitudes de devolución de aportes de regímenes exceptuados, de las cuales el término de respuesta a 30 de marzo fueron 183 solicitudes. 
Con cargo a esta actividad se ejecuta el contrato de prestación de servicios No. 060_2019.</t>
  </si>
  <si>
    <t>En el trimestre se efectúaron tres (3) procesos de Liquidación Mensual de Afiliados, uno por mes, en los tiempos establecidos en la normativa vigente, se  generó la certificación y la bitacora de cada proceso como se evidencia en las evidencias de esta actividad.</t>
  </si>
  <si>
    <t>Se efectuaron 3 procesos de prestaciones económicas de acuerdo con el cronograma establecido</t>
  </si>
  <si>
    <t>En el trimestre no estaba programado ejecutar auditorías a los reconocimientos de UPC del régimen contributivo y subsidiado.</t>
  </si>
  <si>
    <t>Para este trimestre se elaboró un plan de trabajo para la implementación del SARLAFT revisado y aprobado por el Jefe de la Oficina de Planeacion el 28 de febrero, este plan fue presentado en XXX así mismo se anexa propuesta de políticas, roles y responsabilides asociadas al LA/FT y estas se remitieron mediante correo electrónico el día 29 de marzo de 2019   para revisión y comentarios por parte de los líderes de proceso.  se adjunta las evidencias soporte de esta acción en Teams.</t>
  </si>
  <si>
    <t>Esta actividad no es sujeta de reporte para este trimestre.</t>
  </si>
  <si>
    <t>En el trimestre se proyecto la revisión y actualización de riesgos  iniciando con los riesgos de corrupción, donde  se revisaron un total de 14 riesgos logrando actualizar solo 9. como soporte de esta actividad se adjuntan listados de asistencia y actas a teams.</t>
  </si>
  <si>
    <t xml:space="preserve">En el trimestre se publicó en la página web de la ADRES el mapa institucional de riesgos que contiene  riesgos Operativos y Riesgos de Corrupción para un total de 2 publicaciones, actualizados en el ultimo trimestre del año pasado. así mismo se han venido realizando reuniones de revisión y actulización de riesgos pero no se han publicado cambios en la página web por que estan pendiente de continuar con la revisión de riesgos en comite de gestión y desempeño institucional. </t>
  </si>
  <si>
    <t>Esta actividad no se reporta en este trimestre</t>
  </si>
  <si>
    <t xml:space="preserve">En el mes de enero  de 2019 se dispuso el instrumento para la participación ciudadana y se publicaron en la página Web de la ADRES los documentos  del Plan Estrategico 2019, Plan  de Acción 2019, y Mapar de Riesgos 2019 para comentarios.  La ciudadanía y partes interesadas no hizo comentarios a ninguno de los documentos durante el periodo en el que éstos se dispusieron para comentarios. La evidencia de la disposicion del instrumento, la publicación de los archivos y los comentarios de la ciudadanía aparecen en la carpeta correspondiente, denominada con el código del producto de esta actividad.
La ruta de acceso directo de la información publicada para comentarios es: https://www.adres.gov.co/Transparencia/Plan-estratégico-institucional  </t>
  </si>
  <si>
    <t>Esta actividad no es objeto de reporte en este trimestre.</t>
  </si>
  <si>
    <t xml:space="preserve">El Informe de Gestión Institucional 2018 fue elaborado por todas las depenedencias de la ADRES y consolidado por la Oficina Asesora de Planeación y Control de Riesgos. Fue publicado en la págna Web de la ADRES en el mes de enero de 2019. Las evidencias de esta publicación aparecen en la carpeta correspondiente, denominada con el código del producto de esta actividad, y corresponden al pantallazo de la publicación junto con el informe de gestión elaborado.
La ruta de acceso directo para la consulta del informe de gestión institucional 2018 es:  https://www.adres.gov.co/Portals/0/ADRES/Planeacion/Informe%20de%20Gestion%20Adres%202018.pdf?ver=2019-02-25-155943-343 </t>
  </si>
  <si>
    <t>Se realizaron un total de 13 solicitudes a las dependencias, ver en carpeta de evidencias soportes respectivos</t>
  </si>
  <si>
    <t>Se subio a carpeta de evidencias Matriz de avance 1er Trimestre</t>
  </si>
  <si>
    <t>Claudia Pulido
Subdirectora de Liquidaciones</t>
  </si>
  <si>
    <t>El responsable de las lineas de acción 11400-1-1-5 y 11400-1-1-6 ajusta el valor total y trimestrales, toda vez que el valor total de los contratos del Plan Anual de Adquisiciones relacionados con prestaciones economicas y devolución de aportes se encontraba en la actividad 11400-1-1-5, y la mitad de ese valor corresponde a devolución de aportes.</t>
  </si>
  <si>
    <t>No hay meta establecida para este trimestre.</t>
  </si>
  <si>
    <t>La dependencia responsable de la actividad 11700-1-65 modifica  el valor inicialmente indicado en el Plan de Acción por (12,128,354,642.8),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t>
  </si>
  <si>
    <t>Esperanza Rodríguez
Coordinadora Grupo Interno de Gestión de Contratación</t>
  </si>
  <si>
    <t>Leidy Beltran
Gestor de Operaciones Grupo Interno de Gestión de Contratación</t>
  </si>
  <si>
    <t>Para la actividad “Servicio BPO-Mesa de ayuda”, se definió el indicador “# Casos de primer nivel atendidos en términos de ANS para el trimestre/ # Casos de primer nivel recibidos en términos de ANS para el trimestre”. Por lo tanto, para el presente seguimiento se obtuvo un cumplimiento del 100%, el cual corresponde a: 
# Casos de primer nivel atendidos en términos de ANS para el trimestre igual a 189 
# Casos de primer nivel recibidos en términos de ANS para el trimestre igual a 189 
Teniendo en cuenta que la meta anual se definió como 90% y por lo tanto la meta trimestral quedo en 22.5%, el comportamiento del indicador para este periodo de medición fue 22.5%.
Es importante aclarar que la meta es 90% y para esta medición se tuvo un 10% superior a esta; por lo cual, se validara al interior del grupo la pertinencia de validar la meta dependiendo la dinámica de la entidad y adicionalmente la contratación del servicio de BPO.
El soporte de medición de la evidencia para la actual actividad se encuentra en Evidencia\I trimestre\Transversal\11600-2-1-1 y su nombre es Casos Mesa de servicios.xlsx.
Ahora bien, teniendo en cuenta que esta actividad tiene asociados recursos financieros a continuación, se relaciona la ejecución de estos.
Se tiene definidos 1 contratista, el cual es:
•	John Rodriguez. Quien tiene el contrato 0034 de 2019 y cuyo valor total es por $48.960.000 y valor mensual de $4.080.000. Cuya fecha de ingreso fue el 24/01/2019. Para el seguimiento actual se ha pagado un total de $5.032.000 y se tiene por pagar un valor de $4.080.000 La evidencia de los pagos realizados y de las cuentas de cobro se encuentran dentro de la ruta Evidencia\I trimestre\Transversal\11600-2-1-1 \ JohnRodriguez. 
Adicionalmente, dentro de esta actividad y frente al plan de adquisiciones de la entidad se tenía 1 rubro:
•	Servicio BPO-Mesa de ayuda. Por valor de $ 178.704.377,10
El cual hasta el momento no se ha contratado ya que se encuentra en aprobación de vigencias futuras y por consiguiente no se ha pagado valor alguno. 
Por lo tanto, para el presente seguimiento, se tenía definido un total de $ 22.766.438, de los cuales hasta el momento se han causado obligaciones por un valor de $9.112.000 dando un cumplimiento de 40.02%.</t>
  </si>
  <si>
    <t>20190331.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Ahora bien, una vez realizado el apoyo del contratista Guillermo Cadena, el cual fue soportado bajo el contrato 109 de 2018, uno de sus entregables fue el Informe Detallado de Pruebas Técnicas Análisis de Vulnerabilidades y Ethical Hacking, en el cual se encontró un total de 30 vulnerabilidades, para el cual se realizó un plan de trabajo. De este insumo, para este periodo se realizaron un total de 6, dando un cumplimiento de 100% proyectado, el cual corresponde al 20% estimado para la actividad dentro del periodo de medición. Cabe indicar que esta actividad no tiene relacionado recurso financiero.</t>
  </si>
  <si>
    <t>20190331. Teniendo en cuenta que actualmente no se tiene oficialmente definido un instrumento de autodiagnóstico frente al cumplimiento de la Ley de Protección de Datos Personales – LPDP, en trabajo conjunto por parte de los integrantes del equipo “Oficial de Datos Personales”, se creo un instrumento y a su vez se ejecutó la evaluación de este, para determinar el estado actual de la entidad frente al cumplimiento de la ley y a su vez definir las tareas que se deberían desarrollar para el cumplimiento. El instrumento se encuentra en Evidencia\I trimestre\Transversal\11600_11700-1-1\autodiagnóstico.xlsx. Adicionalmente, se adjunta listado de asistencia de la reunión en la cual se llevó a cabo el autodiagnóstico de LPDP ver (Evidencia\I trimestre\Transversal\11600_11700-1-1\listadoAsistencia20190227.pdf).
Esta actividad no tiene relacionado recurso financiero.</t>
  </si>
  <si>
    <t>20190331. el 30 de enero de 2019, se llevó a cabo el reporte de las bases de datos con datos personales ante el Registro Nacional de Bases de Datos – RNBD. Dejando como evidencia la información relacionada en la ruta: Evidencia\I trimestre\Transversal\11600_11700-1-2.</t>
  </si>
  <si>
    <t>Se hace presición que el Personal de apoyo a la Gestión de Archivo inicio operación el 16 de marzo; las cajas transferidas estan discriminadas así:_x000D_
_x000D_
* Envío 349 (20) cajas Dirección GRFS_x000D_
* Envío 350 (13) cajas  Compra de cartera SubDirección de Garantías _x000D_
* Envío 446 (10) cajas   de Dirección de Liquidaciones y Garantías. _x000D_
* Envío 447 (1) caja  de Sub Dirección de Garantías_x000D_
* Envío 448 (7) cajas   Dirección de Gestión de Tecnologías de la Información_x000D_
* Envío 451 (33) cajas  de la Dirección de Recursos Financieros de Salud.</t>
  </si>
  <si>
    <t>$7.827.052</t>
  </si>
  <si>
    <t>$24.102.760</t>
  </si>
  <si>
    <t>$4.515.633</t>
  </si>
  <si>
    <t xml:space="preserve">SE HACE LA CLARIDAD DE QUE EN EL MES DE FEBRERO SE REPORTÓ UNO DE LOS PRODUCTOS CONTEMPLADOS PARA ESTE CONTRADO, Y POR TANTO FUE FACTIBLE EFECTUAR EL RECONOCIMIENTO Y PAGO DE $20.626.000 CON OCASIÓN DE LA RADICACIÒN DE LA CONTESTACION DE LA DEMANDA INTERPUESTA POR AUDIADRES 2O20. FUNCIONES EJERCIDAS POR EL CONTRATISTA FABIAN MARIN. SE AJUSTA ESTA COLUMNA CON OCASION DEL REQUERIMIENTO EFECTUADO POR FUNCIONARIA DE PLANEACIÒN. </t>
  </si>
  <si>
    <t>CONTRATO NO PERTENECE A REPRESENTACIÒN JUDICIAL-- JUAN PABLO GALVIS FIRMA JOUVE</t>
  </si>
  <si>
    <t>NO HAY META ESTABLECIDA PARA ESTE TRIMESTRE
CONTRATO. JOSE HERRERA; NO FUE MENESTER SUSTENTAR RECURSOS POR PARTE DEL CONTRATISTA</t>
  </si>
  <si>
    <t>COMOQUIERA QUE LA CONTRATACIÒN SE EFECTUÒ POR SUBASTA INVERSA, MIENTRAS SE AGOTABA EL PROCEDIMIENTO NO FUE POSIBLE SUSCRIBIR ACTA DE INICIO DURANTE EL 1ER TRIMESTRE 2019, POR LO QUE LA EJECUCIÒN INICIÒ EL 23 DE ABRIL DE 2019
SE ADJUNTA ACTA DE INICIO</t>
  </si>
  <si>
    <t>DURANTE EL PRIMER TRIMESTRE SE EFECTUÓ LA VALIDACIÓN DE PAGO DE VARIAS SENTENCIAS, SIN EMBARGO CON INTERESES SÓLO EL PROCESO 2004-1533 EL CUAL FUE OPORTUNAMENTE LIQUIDADO SATISFACIENDO LAS OBLIGACIONES. FUNCION DESARROLLADA POR DIEGO GUERRA
SE CARGA SOPORTE DE LIQUIDACIÒN Y CUENTA DE COBRO FEBRERO Y MARZO</t>
  </si>
  <si>
    <t>FALTÒ EFECTUAR LA RADICACION DE 82 PROCESOS EN EL PRIMER TRIMESTRE, SIN EMBARGO ELLO OBEDECIÒ A QUE EL EKOGUI ENTRÓ EN ACTUALIZACIONES EN EL MES DE MARZO CON OCASION DE LA IMPLEMENTACION DE EKOGUI 2.0
SE CARGA RELACION DE PROCESOS A CARGO Y CUENTAS DE COBRO DEL CONTRATISTA DIEGO GUERRA QUIEN DESEMPEÑA ESTA FUNCION</t>
  </si>
  <si>
    <t xml:space="preserve">PROVISION CONTABLE ENTREGADA EN OPORTUNIDAD. FECHA DE ENTREGA 25/02/2019 CONFORME CIERRES CONTABLES DE LA ADRES. POR LO EXPUESTO LA ACTIVIDAD FUE CUMPLIDA. 
SE CARGA PROVISION ENTREGADA Y SOPORTES DE CUENTA DE COBRO DEL ABOGADO DIEGO GUERRA QUIEN DESEMPEÑA ESTA FUNCION. </t>
  </si>
  <si>
    <t>VISTA LA BASE DE PROCESOS SUMINISTRADA, SOBRE 56 PROCESOS PENALES, SE HA EFECTUADO MOVIMIENTO Y REPRESENTACIÒN EN 16. FUNCIONES EJERCIDAS POR CARLOS ANIBAL ARIAS. SE PROCEDE AL CARGUE DE CUENTAS DE COBRO DEL CONTRATISTA</t>
  </si>
  <si>
    <t>NO SE APORTA GESTION DE SEGUIMIENTO A DENUNCIAS, DADO QUE SE ESTÀ RECIBIENDO RESPUESTAS A GESTIONES REALIZADAS EN 2018 POR EL APODERADO ANTERIOR. ASI LAS COSAS SE REQUIRIÒ AL ABOGADO PARA QUE SOBRE ESAS RESPUESTAS GESTIONE LO PERTINENTE Y MUESTRE GESTIÒN CONFORME A SU CONTRATO</t>
  </si>
  <si>
    <t xml:space="preserve">LAS DEMANDAS ASIGNADAS DURANTE EL TRIMESTRE 2019 Y CON TERMINOS VENCIDOS FUERON CONTESTADAS EN OPORTUNIDAD. SE HACE CLARIDAD QUE TODAS LAS DEMANDAS ADMINISTRATIVAS NOTIFICADAS EN ENERO, POR CONTAR CON 55 DÌAS HABILES PARA CONTESTAR, AL CORTE 30 DE MARZO REPORTAN TERMINOS POR LO CUAL NO SE TUVIERON EN CUENTA EN ESTE REPORTE. 
LA GESTION ES ADELANTADA POR LOS SIGUIENTES ABOGADOS: OSCAR DAVID PINZON, SLVANA ARANO, NATHALY ALVARADO, NESTOR SACIPA, ANA MARIA VASQUEZ, ALBA RAMOS, JAVIER VEGA, CRISTIAN DAVID PAEZ, ANA ZULUAGA, ASTRID VERA, ANDRES CABALLERO, GERMAN PARRADO, PAOLA RUIZ Y 2 APODERADOS DE PLANTA (CLAUDIA PEREZ- RODRIGO RINCÒN)
</t>
  </si>
  <si>
    <t>CONTESTACIONES A DERECHOS DE PETICION EN OPORTUNIDAD- RELACIONADOS CON LOS EXPEDIENTES QUE SE ENCUENTRAN A CARGO DE LOS APODERADOS, Y PRUEBAS TRAMITADAS A CARGO DE OSCAR PINZON. SE CARGAN CUENTAS DE ESTE ULTIMO CONTRATISTA; SIN EMBARGO LAS DEMÀS CUENTAS SE ENCUENTRAN EN EL SOPORTE DE LA ACTIVIDAD 1900-12-1</t>
  </si>
  <si>
    <t xml:space="preserve">SE INCLUYEN FICHAS DE CONCILIACION PRESENTADAS AL COMITÉ; NO OBSTANTE PARA EL MES DE ENERO NO ALCANZARON A PRESENTARSE LA TOTALIDAD DE FICHAS DADA LA AUSENCIA DE PERSONAL SUFICIENTE PARA REALIZAR TAL ESTUDIO. DE OTRO LADO, SE SOLICITARON CONCEPTOS TÉCNICOS A LA UT COMO UN INSUMO NECESARIO PARA LA RECOMENDACIÓN QUE DEBE REALIZAR LA OAJ, NO OBSTANTE LA UT NO EMITIÓ PRONUNCIAMIENTOS. 
LAS FICHAS DE CONCILIACION FUERON PRESENTADAS POR TODOS LOS APODERADOS, Y LOS ESTUDIOS LOS APOYA RUBEN JOYA (ABOGADO DE PLANTA) RODRIGO RINCON (ABOGADO DE PLANTA) YULY RAMIREZ Y NATALIA AGUIRRE COMO APODERADAS QUE APOYAN LA ACTIVIDAD PRE JUDICIAL. </t>
  </si>
  <si>
    <t xml:space="preserve">SE RELACIONA CUADRO DE AUDIENCIAS Y ASISTENCIAS POR APODERADO. LOS SOPORTES DE CUENTA DE COBRO REPOSAN EN LA ACTIVIDAD 1900-12-1 DONDE IGUALMENTE SE PUEDE VALIDAR ESTA ACTIVIDAD. SE ADJUNTAN LAS ACTAS Y AUDIOS QUE DEMUESTRAN LA EJECUCIÒN. </t>
  </si>
  <si>
    <t>PESE A QUE EL PLAN ANUAL DE ADQUISICIONES SUPRIMIÒ ESTA ACTIVIDAD COMO OBJETO, SE SIGUE DESARROLLANDO POR UNO DE LOS APODERADOS CONTRATISTAS- ANA MARIA VASQUEZ</t>
  </si>
  <si>
    <t xml:space="preserve">LA CONTRATISTA QUE APOYABA ESTAS FUNCIONES PROYECTÓ LAS ACTAS, NO OBSTANTE NO HA SIDO POSIBLE SU REVISION Y POR ENDE LA SUSCRIPCION POR PARTE DE LOS MIEMBROS, HASTA NO CONTAR CON EL VISTO BUENO DE LA SECRETARÍA TECNICA. ESTE CONTRATO FUE CEDIDO Y ACTUALMENTE SE SOLICITÓ LA TERMINACIÓN DEL MISMO LA CUAL ESTÁ EN CURSO. </t>
  </si>
  <si>
    <t>SE ADJUNTAN SOPORTES DE REPARTO, Y SE ESTABLECE QUE LA TOTALIDAD DE DOCUMENTOS PARA TRAMITE FUERON ASIGNADOS POR SGD Y EN FÍSICO LOS QUE ASÍ SE REQUERÍA. GESTIÒN DESEMPEÑADA POR NELI VIVAS</t>
  </si>
  <si>
    <t>CUMPLIMIENTO TOTAL EN LA REALIZACION Y REQUERIMIENTO DE PODERES- SE ADJUNTA BASE DE GESTION. GESTION A CARGO DE NELI VIVAS</t>
  </si>
  <si>
    <t>Los valores consignados en la columna AU corresponden a la sumatoria de valores registrados en el insumo entregado por la Dirección Administrativa y Financiera</t>
  </si>
  <si>
    <t>Se pospone la reunión para el segundo trimestre, lo que presupone la realización de 2 durante el mencionado periodo</t>
  </si>
  <si>
    <t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t>
  </si>
  <si>
    <t>Yeimy Johanna Africano
Coordinadora Grupo de Representación Judicial</t>
  </si>
  <si>
    <t>Fabio Rojas Conde
Jefe Oficina Asesora Jurídica</t>
  </si>
  <si>
    <t>El responsable de las siguientes lineas de acción realiza los siguientes ajustes, en concordancia con los cambios del Plan Anual de Adquisiciones del Primer Trimestre:
*11900-1-5 descripción de actividad, valor total programado y consecuentes valores  programados para los trimestres
*11900-1-13 y 11900-1-14 valor total programado y consecuentes valores  programados para los trimestres
*11900-1-7 y 11900-1-8 se retiran.</t>
  </si>
  <si>
    <t>Como soporte se presentan los documentos elaborados durante el primer trimestre de 2019.</t>
  </si>
  <si>
    <t>SEGUIMIENTO AL CUMPLIMIENTO POR OBJETIVOS ESTRATÉGICOS</t>
  </si>
  <si>
    <t>SEGUIMIENTO AL CUMPLIMIENTO POR TIPO DE PLAN</t>
  </si>
  <si>
    <t>ANÁLISIS DE RESULTADOS</t>
  </si>
  <si>
    <t xml:space="preserve">Trimestre </t>
  </si>
  <si>
    <t>Análisis</t>
  </si>
  <si>
    <t>II</t>
  </si>
  <si>
    <t>III</t>
  </si>
  <si>
    <t>IV</t>
  </si>
  <si>
    <t>% Productos sobre ejecutados</t>
  </si>
  <si>
    <r>
      <t>Se destaca en los resultados del Plan de Acción de la ADRES del primer trimestre de 2019, con un 80% de cumplimiento en el período un 33% de cumplimiento acumulado, la consecución de los siguientes productos:
* Ordenación del gasto del proceso de giro previo y del proceso de pago de los paquetes de reclamaciones con trámite de auditoria  culminado; apoyos técnicos en recobros y reclamaciones y alternativas para optimizar y sistematizar el proceso de auditoría integral, los cuales contribuyen al logro del objetivo estratégico:  Lograr la c</t>
    </r>
    <r>
      <rPr>
        <i/>
        <sz val="9"/>
        <color theme="1"/>
        <rFont val="Verdana"/>
        <family val="2"/>
      </rPr>
      <t xml:space="preserve">alidad y oportunidad procesos de reconocimiento de prestaciones excepcionales </t>
    </r>
    <r>
      <rPr>
        <sz val="9"/>
        <color theme="1"/>
        <rFont val="Verdana"/>
        <family val="2"/>
      </rPr>
      <t>en un 75% en el periodo y un 19% acumulado anual.
* Ejecución de los procesos previstos de saneamiento de aportes, compensación, liquidación y reconocimiento de la UPC de los Afiliados del Régimen Subsidiado y licencias de maternidad y paternidad; trámite de solicitudes de prestaciones económicas REX y devolución de aportes tramitadas, contribuyen al logro del objetivo estratégico:</t>
    </r>
    <r>
      <rPr>
        <i/>
        <sz val="9"/>
        <color theme="1"/>
        <rFont val="Verdana"/>
        <family val="2"/>
      </rPr>
      <t xml:space="preserve"> Lograr la calidad y oportunidad procesos de reconocimiento del aseguramiento</t>
    </r>
    <r>
      <rPr>
        <sz val="9"/>
        <color theme="1"/>
        <rFont val="Verdana"/>
        <family val="2"/>
      </rPr>
      <t xml:space="preserve"> en un 87% en el periodo y un 22% acumulado anual.
* Depuración de los registros de la BDUA con respecto a las auditorias preventivas y correctivas; atención de PQRSD BDUA en términos de ley y de requerimientos de aplicaciones misionales de acuerdo con los términos de ANS, permiten el cumplimiento del objetivo estratégico: </t>
    </r>
    <r>
      <rPr>
        <i/>
        <sz val="9"/>
        <color theme="1"/>
        <rFont val="Verdana"/>
        <family val="2"/>
      </rPr>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r>
    <r>
      <rPr>
        <sz val="9"/>
        <color theme="1"/>
        <rFont val="Verdana"/>
        <family val="2"/>
      </rPr>
      <t xml:space="preserve"> en el 100% en el periodo y el 25% acumulado anual.
* Informes de ejecución presupuestal publicados, partidas de recaudo identificadas, ordenes de giro tramitadas, boletines de portafolio elaborados y Estados Financieros reportados, contribuyendo así al logro del objetivo: </t>
    </r>
    <r>
      <rPr>
        <i/>
        <sz val="9"/>
        <color theme="1"/>
        <rFont val="Verdana"/>
        <family val="2"/>
      </rPr>
      <t>Optimización de procesos de recaudo, administración y pago de recursos</t>
    </r>
    <r>
      <rPr>
        <sz val="9"/>
        <color theme="1"/>
        <rFont val="Verdana"/>
        <family val="2"/>
      </rPr>
      <t xml:space="preserve"> en el 100% en el periodo y el 25% acumulado anual.
* Propuestas de articulado para inclusión en el proyecto del Plan Nacional de Desarrollo aprobada por Min Salud, en cuanto al cambio de jurisdicción de laboral a administrativa para resolver conflictos judiciales con la ADRES, y en cuanto a la no aplicación de intereses de mora en los pagos derivados de sentencias judiciales por recobros y reclamaciones; demandas contestadas oportunamente; respuestas a solicitudes de pruebas en términos; trámite de tutelas, conceptos jurídicos presentados en término, procesos radicados en Ekogui y entrega de la provisión de contingencias judiciales en la fecha pactada, aportan al cumplimiento del objetivo estratégico: </t>
    </r>
    <r>
      <rPr>
        <i/>
        <sz val="9"/>
        <color theme="1"/>
        <rFont val="Verdana"/>
        <family val="2"/>
      </rPr>
      <t xml:space="preserve">Proteger, gestionar y defender los recursos del Sistema General de Seguridad Social en Salud </t>
    </r>
    <r>
      <rPr>
        <sz val="9"/>
        <color theme="1"/>
        <rFont val="Verdana"/>
        <family val="2"/>
      </rPr>
      <t xml:space="preserve">en un 64% en el periodo y 24% acumulado anual.
* Nivel de atención, seguimiento a solicitudes de los ciudadanos, empresas y servidores públicos sobre los trámites y servicios de la ADRES, Manual de Política de Servicio al Ciudadano actualizado, Políticas del SST y prevención del alcohol y las drogas, roles y responsabilidades de los servidores públicos frente al SST socializadas socializados, cajas transferidas al custodio final, Boletines de Autocontrol socializados, puesta en producción del CRM, vulnerabilidades de Ethical Hacking resueltas con respecto a las identificadas, instrumento de participación ciudadana dispuesto en la página Web, Boletines electrónicos enviados a los stakeholders del sector salud, avances en la implementación del MIPG, autodiagnóstico de Ley de Protección de Datos y registro de las bases de datos con datos personales ante la SIC  son algunos de los productos que agregan valor al cumplimiento del objetivo estratégico: </t>
    </r>
    <r>
      <rPr>
        <i/>
        <sz val="9"/>
        <color theme="1"/>
        <rFont val="Verdana"/>
        <family val="2"/>
      </rPr>
      <t xml:space="preserve">Garantizar la adecuación institucional mediante actividades transversales que complementen y sustenten el desempeño de los procesos misionales y estratégicos, así como el seguimiento continuo al cumplimiento de los objetivos de la Entidad </t>
    </r>
    <r>
      <rPr>
        <sz val="9"/>
        <color theme="1"/>
        <rFont val="Verdana"/>
        <family val="2"/>
      </rPr>
      <t xml:space="preserve">en un 83% en el periodo y 41% acumulado anual.
Estos resultados, explican a su vez los resultados obtenidos en cada perspectiva del cuadro de mando integral, en cada uno de los planes que contiene el Plan de Acción Integrado, y la contribución de cada dependencia de la ADRES en estos logros.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</si>
</sst>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8" formatCode="&quot;$&quot;\ #,##0.00;[Red]\-&quot;$&quot;\ #,##0.0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0.0"/>
    <numFmt numFmtId="166" formatCode="0.0%"/>
    <numFmt numFmtId="167" formatCode="#,##0_ ;\-#,##0\ "/>
    <numFmt numFmtId="168" formatCode="_-&quot;$&quot;\ * #,##0.0_-;\-&quot;$&quot;\ * #,##0.0_-;_-&quot;$&quot;\ * &quot;-&quot;_-;_-@_-"/>
    <numFmt numFmtId="169" formatCode="_-&quot;$&quot;\ * #,##0.0_-;\-&quot;$&quot;\ * #,##0.0_-;_-&quot;$&quot;\ * &quot;-&quot;?_-;_-@_-"/>
    <numFmt numFmtId="170" formatCode="#,###\ &quot;COP&quot;"/>
    <numFmt numFmtId="171" formatCode="_-* #,##0.00_-;\-* #,##0.00_-;_-* &quot;-&quot;_-;_-@_-"/>
    <numFmt numFmtId="172" formatCode="0.00000%"/>
    <numFmt numFmtId="173" formatCode="0.0000%"/>
    <numFmt numFmtId="174" formatCode="_-[$$-409]* #,##0.00_ ;_-[$$-409]* \-#,##0.00\ ;_-[$$-409]* &quot;-&quot;??_ ;_-@_ "/>
  </numFmts>
  <fonts count="8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sz val="9"/>
      <color indexed="81"/>
      <name val="Tahoma"/>
      <family val="2"/>
    </font>
    <font>
      <sz val="8"/>
      <color theme="1" tint="0.499984740745262"/>
      <name val="Calibri"/>
      <family val="2"/>
      <scheme val="minor"/>
    </font>
    <font>
      <sz val="9"/>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indexed="8"/>
      <name val="Arial"/>
      <family val="2"/>
    </font>
    <font>
      <b/>
      <sz val="11"/>
      <color indexed="81"/>
      <name val="Tahoma"/>
      <family val="2"/>
    </font>
    <font>
      <b/>
      <sz val="10"/>
      <color indexed="81"/>
      <name val="Tahoma"/>
      <family val="2"/>
    </font>
    <font>
      <b/>
      <sz val="10"/>
      <name val="Arial"/>
      <family val="2"/>
    </font>
    <font>
      <u/>
      <sz val="11"/>
      <color theme="10"/>
      <name val="Calibri"/>
      <family val="2"/>
      <scheme val="minor"/>
    </font>
    <font>
      <sz val="11"/>
      <color theme="1"/>
      <name val="Arial"/>
      <family val="2"/>
    </font>
    <font>
      <b/>
      <sz val="12"/>
      <color theme="1"/>
      <name val="Arial"/>
      <family val="2"/>
    </font>
    <font>
      <b/>
      <sz val="11"/>
      <color theme="1"/>
      <name val="Arial"/>
      <family val="2"/>
    </font>
    <font>
      <sz val="10"/>
      <color theme="1"/>
      <name val="Verdana"/>
      <family val="2"/>
    </font>
    <font>
      <b/>
      <sz val="14"/>
      <color theme="1"/>
      <name val="Verdana"/>
      <family val="2"/>
    </font>
    <font>
      <b/>
      <u/>
      <sz val="10"/>
      <color rgb="FF175099"/>
      <name val="Verdana"/>
      <family val="2"/>
    </font>
    <font>
      <u/>
      <sz val="10"/>
      <color rgb="FF175099"/>
      <name val="Verdana"/>
      <family val="2"/>
    </font>
    <font>
      <b/>
      <sz val="10"/>
      <color theme="4"/>
      <name val="Verdana"/>
      <family val="2"/>
    </font>
    <font>
      <b/>
      <u/>
      <sz val="9"/>
      <color rgb="FF175099"/>
      <name val="Verdana"/>
      <family val="2"/>
    </font>
    <font>
      <b/>
      <sz val="9"/>
      <color indexed="8"/>
      <name val="Verdana"/>
      <family val="2"/>
    </font>
    <font>
      <b/>
      <sz val="10"/>
      <color indexed="8"/>
      <name val="Verdana"/>
      <family val="2"/>
    </font>
    <font>
      <sz val="10"/>
      <name val="Verdana"/>
      <family val="2"/>
    </font>
    <font>
      <sz val="11"/>
      <color rgb="FF000000"/>
      <name val="Arial"/>
      <family val="2"/>
    </font>
    <font>
      <b/>
      <sz val="11"/>
      <color rgb="FF000000"/>
      <name val="Arial"/>
      <family val="2"/>
    </font>
    <font>
      <b/>
      <sz val="14"/>
      <color theme="1"/>
      <name val="Calibri"/>
      <family val="2"/>
      <scheme val="minor"/>
    </font>
    <font>
      <sz val="11"/>
      <color theme="0"/>
      <name val="Calibri"/>
      <family val="2"/>
      <scheme val="minor"/>
    </font>
    <font>
      <sz val="11"/>
      <color theme="1"/>
      <name val="Verdana"/>
      <family val="2"/>
    </font>
    <font>
      <b/>
      <sz val="12"/>
      <color theme="1"/>
      <name val="Verdana"/>
      <family val="2"/>
    </font>
    <font>
      <b/>
      <sz val="10"/>
      <name val="Verdana"/>
      <family val="2"/>
    </font>
    <font>
      <b/>
      <u/>
      <sz val="10"/>
      <color theme="1"/>
      <name val="Verdana"/>
      <family val="2"/>
    </font>
    <font>
      <b/>
      <sz val="10"/>
      <color theme="0"/>
      <name val="Verdana"/>
      <family val="2"/>
    </font>
    <font>
      <sz val="10"/>
      <color theme="1" tint="0.499984740745262"/>
      <name val="Verdana"/>
      <family val="2"/>
    </font>
    <font>
      <b/>
      <sz val="10"/>
      <color rgb="FF000000"/>
      <name val="Verdana"/>
      <family val="2"/>
    </font>
    <font>
      <sz val="14"/>
      <color theme="1"/>
      <name val="Verdana"/>
      <family val="2"/>
    </font>
    <font>
      <sz val="10"/>
      <color theme="0"/>
      <name val="Verdana"/>
      <family val="2"/>
    </font>
    <font>
      <b/>
      <sz val="9"/>
      <color theme="0"/>
      <name val="Verdana"/>
      <family val="2"/>
    </font>
    <font>
      <b/>
      <sz val="8"/>
      <color theme="0"/>
      <name val="Verdana"/>
      <family val="2"/>
    </font>
    <font>
      <sz val="11"/>
      <color indexed="8"/>
      <name val="Verdana"/>
      <family val="2"/>
    </font>
    <font>
      <sz val="11"/>
      <color theme="0"/>
      <name val="Verdana"/>
      <family val="2"/>
    </font>
    <font>
      <sz val="14"/>
      <color indexed="8"/>
      <name val="Verdana"/>
      <family val="2"/>
    </font>
    <font>
      <sz val="10"/>
      <color indexed="8"/>
      <name val="Verdana"/>
      <family val="2"/>
    </font>
    <font>
      <b/>
      <sz val="14"/>
      <color indexed="8"/>
      <name val="Verdana"/>
      <family val="2"/>
    </font>
    <font>
      <b/>
      <sz val="20"/>
      <color indexed="8"/>
      <name val="Verdana"/>
      <family val="2"/>
    </font>
    <font>
      <b/>
      <sz val="20"/>
      <color theme="0"/>
      <name val="Verdana"/>
      <family val="2"/>
    </font>
    <font>
      <b/>
      <sz val="20"/>
      <name val="Verdana"/>
      <family val="2"/>
    </font>
    <font>
      <b/>
      <sz val="16"/>
      <color indexed="8"/>
      <name val="Verdana"/>
      <family val="2"/>
    </font>
    <font>
      <b/>
      <sz val="16"/>
      <name val="Verdana"/>
      <family val="2"/>
    </font>
    <font>
      <b/>
      <sz val="16"/>
      <color theme="0"/>
      <name val="Verdana"/>
      <family val="2"/>
    </font>
    <font>
      <b/>
      <sz val="11"/>
      <color indexed="18"/>
      <name val="Verdana"/>
      <family val="2"/>
    </font>
    <font>
      <b/>
      <sz val="12"/>
      <color indexed="8"/>
      <name val="Verdana"/>
      <family val="2"/>
    </font>
    <font>
      <b/>
      <sz val="12"/>
      <name val="Verdana"/>
      <family val="2"/>
    </font>
    <font>
      <b/>
      <sz val="11"/>
      <color indexed="8"/>
      <name val="Verdana"/>
      <family val="2"/>
    </font>
    <font>
      <sz val="12"/>
      <name val="Verdana"/>
      <family val="2"/>
    </font>
    <font>
      <sz val="12"/>
      <color indexed="8"/>
      <name val="Verdana"/>
      <family val="2"/>
    </font>
    <font>
      <sz val="11"/>
      <color rgb="FF175099"/>
      <name val="Verdana"/>
      <family val="2"/>
    </font>
    <font>
      <sz val="16"/>
      <color indexed="8"/>
      <name val="Verdana"/>
      <family val="2"/>
    </font>
    <font>
      <sz val="11"/>
      <name val="Verdana"/>
      <family val="2"/>
    </font>
    <font>
      <sz val="11"/>
      <color rgb="FF00B050"/>
      <name val="Verdana"/>
      <family val="2"/>
    </font>
    <font>
      <b/>
      <sz val="12"/>
      <color indexed="9"/>
      <name val="Verdana"/>
      <family val="2"/>
    </font>
    <font>
      <b/>
      <sz val="10"/>
      <color indexed="9"/>
      <name val="Verdana"/>
      <family val="2"/>
    </font>
    <font>
      <b/>
      <sz val="12"/>
      <color theme="0"/>
      <name val="Verdana"/>
      <family val="2"/>
    </font>
    <font>
      <b/>
      <sz val="12"/>
      <color indexed="18"/>
      <name val="Verdana"/>
      <family val="2"/>
    </font>
    <font>
      <b/>
      <sz val="16"/>
      <color indexed="9"/>
      <name val="Verdana"/>
      <family val="2"/>
    </font>
    <font>
      <b/>
      <sz val="14"/>
      <color indexed="9"/>
      <name val="Verdana"/>
      <family val="2"/>
    </font>
    <font>
      <sz val="9"/>
      <color theme="1"/>
      <name val="Verdana"/>
      <family val="2"/>
    </font>
    <font>
      <b/>
      <sz val="14"/>
      <color theme="0"/>
      <name val="Verdana"/>
      <family val="2"/>
    </font>
    <font>
      <b/>
      <sz val="11"/>
      <color theme="0"/>
      <name val="Calibri"/>
      <family val="2"/>
      <scheme val="minor"/>
    </font>
    <font>
      <sz val="14"/>
      <name val="Verdana"/>
      <family val="2"/>
    </font>
    <font>
      <b/>
      <sz val="14"/>
      <name val="Verdana"/>
      <family val="2"/>
    </font>
    <font>
      <sz val="11"/>
      <name val="Calibri"/>
      <family val="2"/>
      <scheme val="minor"/>
    </font>
    <font>
      <sz val="12"/>
      <color indexed="81"/>
      <name val="Tahoma"/>
      <family val="2"/>
    </font>
    <font>
      <sz val="14"/>
      <color indexed="81"/>
      <name val="Tahoma"/>
      <family val="2"/>
    </font>
    <font>
      <b/>
      <sz val="9"/>
      <color indexed="81"/>
      <name val="Tahoma"/>
      <family val="2"/>
    </font>
    <font>
      <sz val="10"/>
      <name val="Verdana"/>
      <family val="2"/>
    </font>
    <font>
      <b/>
      <i/>
      <sz val="10"/>
      <name val="Verdana"/>
      <family val="2"/>
    </font>
    <font>
      <i/>
      <sz val="10"/>
      <name val="Verdana"/>
      <family val="2"/>
    </font>
    <font>
      <sz val="10"/>
      <color rgb="FFFF0000"/>
      <name val="Verdana"/>
      <family val="2"/>
    </font>
    <font>
      <i/>
      <sz val="9"/>
      <color theme="1"/>
      <name val="Verdana"/>
      <family val="2"/>
    </font>
  </fonts>
  <fills count="20">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rgb="FF808080"/>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2" tint="-9.9978637043366805E-2"/>
        <bgColor indexed="64"/>
      </patternFill>
    </fill>
    <fill>
      <patternFill patternType="solid">
        <fgColor rgb="FF175099"/>
        <bgColor indexed="64"/>
      </patternFill>
    </fill>
    <fill>
      <patternFill patternType="solid">
        <fgColor rgb="FF00ACCA"/>
        <bgColor indexed="64"/>
      </patternFill>
    </fill>
    <fill>
      <patternFill patternType="solid">
        <fgColor rgb="FF00B050"/>
        <bgColor indexed="64"/>
      </patternFill>
    </fill>
    <fill>
      <patternFill patternType="solid">
        <fgColor theme="7" tint="0.79998168889431442"/>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medium">
        <color indexed="64"/>
      </right>
      <top/>
      <bottom style="medium">
        <color indexed="64"/>
      </bottom>
      <diagonal/>
    </border>
  </borders>
  <cellStyleXfs count="37">
    <xf numFmtId="0" fontId="0" fillId="0" borderId="0"/>
    <xf numFmtId="9" fontId="1" fillId="0" borderId="0" applyFont="0" applyFill="0" applyBorder="0" applyAlignment="0" applyProtection="0"/>
    <xf numFmtId="0" fontId="3" fillId="0" borderId="0"/>
    <xf numFmtId="41" fontId="1" fillId="0" borderId="0" applyFont="0" applyFill="0" applyBorder="0" applyAlignment="0" applyProtection="0"/>
    <xf numFmtId="0" fontId="5" fillId="8" borderId="0" applyNumberFormat="0" applyBorder="0" applyProtection="0">
      <alignment horizontal="center" vertical="center"/>
    </xf>
    <xf numFmtId="42" fontId="1" fillId="0" borderId="0" applyFont="0" applyFill="0" applyBorder="0" applyAlignment="0" applyProtection="0"/>
    <xf numFmtId="0" fontId="5" fillId="9" borderId="1" applyNumberFormat="0" applyProtection="0">
      <alignment horizontal="left" vertical="center" wrapText="1"/>
    </xf>
    <xf numFmtId="0" fontId="10" fillId="0" borderId="0"/>
    <xf numFmtId="164"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1" fillId="0" borderId="0" applyNumberFormat="0" applyFill="0" applyBorder="0" applyAlignment="0" applyProtection="0"/>
    <xf numFmtId="43" fontId="10" fillId="0" borderId="0" applyFont="0" applyFill="0" applyBorder="0" applyAlignment="0" applyProtection="0"/>
    <xf numFmtId="0" fontId="16" fillId="0" borderId="0" applyNumberFormat="0" applyFill="0" applyBorder="0" applyAlignment="0" applyProtection="0"/>
    <xf numFmtId="49" fontId="20" fillId="0" borderId="0" applyFill="0" applyBorder="0" applyProtection="0">
      <alignment horizontal="left" vertical="center"/>
    </xf>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3" fontId="20" fillId="0" borderId="0" applyFill="0" applyBorder="0" applyProtection="0">
      <alignment horizontal="right" vertical="center"/>
    </xf>
  </cellStyleXfs>
  <cellXfs count="1142">
    <xf numFmtId="0" fontId="0" fillId="0" borderId="0" xfId="0"/>
    <xf numFmtId="0" fontId="0" fillId="0" borderId="1" xfId="0" applyBorder="1"/>
    <xf numFmtId="0" fontId="0" fillId="0" borderId="1" xfId="0" applyBorder="1" applyAlignment="1">
      <alignment vertical="top" wrapText="1"/>
    </xf>
    <xf numFmtId="0" fontId="0" fillId="0" borderId="3" xfId="0" applyBorder="1" applyAlignment="1"/>
    <xf numFmtId="0" fontId="0" fillId="0" borderId="0" xfId="0" applyAlignment="1">
      <alignment horizontal="center"/>
    </xf>
    <xf numFmtId="41" fontId="0" fillId="0" borderId="0" xfId="0" applyNumberFormat="1"/>
    <xf numFmtId="0" fontId="0" fillId="0" borderId="0" xfId="0" applyFill="1"/>
    <xf numFmtId="0" fontId="0" fillId="0" borderId="0" xfId="0" applyFill="1" applyAlignment="1">
      <alignment horizontal="justify" vertical="center"/>
    </xf>
    <xf numFmtId="0" fontId="12" fillId="0" borderId="0" xfId="0" applyFont="1"/>
    <xf numFmtId="0" fontId="2" fillId="0" borderId="0" xfId="0" applyFont="1" applyAlignment="1">
      <alignment horizontal="center"/>
    </xf>
    <xf numFmtId="0" fontId="0" fillId="0" borderId="0" xfId="0" applyFill="1" applyAlignment="1">
      <alignment horizontal="center"/>
    </xf>
    <xf numFmtId="0" fontId="4" fillId="0" borderId="0" xfId="0" applyFont="1"/>
    <xf numFmtId="0" fontId="0" fillId="0" borderId="0" xfId="0" applyFont="1"/>
    <xf numFmtId="0" fontId="17" fillId="0" borderId="0" xfId="0" applyFont="1"/>
    <xf numFmtId="9" fontId="10" fillId="0" borderId="0" xfId="0" applyNumberFormat="1" applyFont="1"/>
    <xf numFmtId="0" fontId="10" fillId="0" borderId="0" xfId="0" applyFont="1"/>
    <xf numFmtId="0" fontId="19" fillId="0" borderId="0" xfId="0" applyFont="1"/>
    <xf numFmtId="9" fontId="4" fillId="0" borderId="0" xfId="0" applyNumberFormat="1" applyFont="1"/>
    <xf numFmtId="0" fontId="18" fillId="0" borderId="0" xfId="0" applyFont="1" applyAlignment="1">
      <alignment horizontal="left"/>
    </xf>
    <xf numFmtId="0" fontId="5" fillId="0" borderId="0" xfId="0" applyFont="1" applyFill="1" applyBorder="1" applyAlignment="1">
      <alignment vertical="center" wrapText="1"/>
    </xf>
    <xf numFmtId="0" fontId="5" fillId="2" borderId="10" xfId="0" applyFont="1" applyFill="1" applyBorder="1" applyAlignment="1">
      <alignment horizontal="center" vertical="center"/>
    </xf>
    <xf numFmtId="0" fontId="5" fillId="2" borderId="25" xfId="0" applyFont="1" applyFill="1" applyBorder="1" applyAlignment="1">
      <alignment vertical="center"/>
    </xf>
    <xf numFmtId="0" fontId="20" fillId="0" borderId="0" xfId="0" applyFont="1"/>
    <xf numFmtId="0" fontId="22" fillId="0" borderId="0" xfId="13" applyFont="1"/>
    <xf numFmtId="0" fontId="23" fillId="0" borderId="0" xfId="13" applyFont="1"/>
    <xf numFmtId="0" fontId="24" fillId="0" borderId="0" xfId="0" applyFont="1"/>
    <xf numFmtId="0" fontId="25" fillId="0" borderId="0" xfId="13" applyFont="1"/>
    <xf numFmtId="0" fontId="18" fillId="0" borderId="0" xfId="0" applyFont="1" applyAlignment="1">
      <alignment horizontal="left"/>
    </xf>
    <xf numFmtId="0" fontId="2" fillId="4" borderId="1"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horizontal="center" vertical="center" wrapText="1"/>
    </xf>
    <xf numFmtId="0" fontId="0" fillId="0" borderId="0" xfId="0" applyBorder="1"/>
    <xf numFmtId="0" fontId="0" fillId="0" borderId="1" xfId="0" applyBorder="1" applyAlignment="1">
      <alignment vertical="top"/>
    </xf>
    <xf numFmtId="0" fontId="0" fillId="0" borderId="4" xfId="0" applyBorder="1" applyAlignment="1">
      <alignment vertical="top" wrapText="1"/>
    </xf>
    <xf numFmtId="0" fontId="0" fillId="2" borderId="6" xfId="0" applyFill="1" applyBorder="1" applyAlignment="1">
      <alignment vertical="top" wrapText="1"/>
    </xf>
    <xf numFmtId="0" fontId="0" fillId="2" borderId="8" xfId="0" applyFill="1" applyBorder="1" applyAlignment="1">
      <alignment vertical="top" wrapText="1"/>
    </xf>
    <xf numFmtId="0" fontId="0" fillId="6" borderId="1" xfId="0" applyFill="1"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vertical="top" wrapText="1"/>
    </xf>
    <xf numFmtId="0" fontId="0" fillId="2" borderId="12" xfId="0" applyFill="1"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0" borderId="12" xfId="0" applyBorder="1" applyAlignment="1">
      <alignment vertical="top" wrapText="1"/>
    </xf>
    <xf numFmtId="0" fontId="0" fillId="6" borderId="8" xfId="0" applyFill="1" applyBorder="1" applyAlignment="1">
      <alignment vertical="top" wrapText="1"/>
    </xf>
    <xf numFmtId="0" fontId="0" fillId="0" borderId="0" xfId="0" applyFill="1" applyBorder="1" applyAlignment="1">
      <alignment vertical="top"/>
    </xf>
    <xf numFmtId="0" fontId="0" fillId="0" borderId="16" xfId="0" applyBorder="1" applyAlignment="1">
      <alignment vertical="top" wrapText="1"/>
    </xf>
    <xf numFmtId="0" fontId="0" fillId="0" borderId="10" xfId="0" applyBorder="1" applyAlignment="1">
      <alignment vertical="top" wrapText="1"/>
    </xf>
    <xf numFmtId="0" fontId="0" fillId="6" borderId="12" xfId="0" applyFill="1" applyBorder="1" applyAlignment="1">
      <alignment vertical="top" wrapText="1"/>
    </xf>
    <xf numFmtId="0" fontId="0" fillId="6" borderId="10" xfId="0" applyFill="1" applyBorder="1" applyAlignment="1">
      <alignment vertical="top" wrapText="1"/>
    </xf>
    <xf numFmtId="0" fontId="0" fillId="0" borderId="67" xfId="0" applyBorder="1" applyAlignment="1">
      <alignment vertical="top" wrapText="1"/>
    </xf>
    <xf numFmtId="0" fontId="0" fillId="0" borderId="53" xfId="0" applyBorder="1" applyAlignment="1">
      <alignment vertical="top" wrapText="1"/>
    </xf>
    <xf numFmtId="0" fontId="2" fillId="0" borderId="0"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0" fillId="2" borderId="7" xfId="0" applyFill="1" applyBorder="1" applyAlignment="1">
      <alignment vertical="center" wrapText="1"/>
    </xf>
    <xf numFmtId="0" fontId="0" fillId="2" borderId="11" xfId="0" applyFill="1" applyBorder="1" applyAlignment="1">
      <alignment vertical="center" wrapText="1"/>
    </xf>
    <xf numFmtId="0" fontId="0" fillId="0" borderId="54" xfId="0" applyBorder="1"/>
    <xf numFmtId="0" fontId="0" fillId="0" borderId="1" xfId="0" applyBorder="1" applyAlignment="1">
      <alignment horizontal="justify" vertical="center" wrapText="1"/>
    </xf>
    <xf numFmtId="0" fontId="0" fillId="0" borderId="17" xfId="0" applyFill="1" applyBorder="1" applyAlignment="1">
      <alignment horizontal="justify" vertical="center" wrapText="1"/>
    </xf>
    <xf numFmtId="0" fontId="18" fillId="0" borderId="0" xfId="0" applyFont="1" applyAlignment="1">
      <alignment horizontal="left"/>
    </xf>
    <xf numFmtId="0" fontId="0" fillId="0" borderId="0" xfId="0" applyAlignment="1">
      <alignment horizontal="center"/>
    </xf>
    <xf numFmtId="0" fontId="20" fillId="0" borderId="1" xfId="0" applyFont="1" applyFill="1" applyBorder="1" applyAlignment="1">
      <alignment horizontal="center" vertical="center"/>
    </xf>
    <xf numFmtId="9" fontId="20" fillId="0" borderId="1" xfId="0" applyNumberFormat="1" applyFont="1" applyFill="1" applyBorder="1" applyAlignment="1">
      <alignment horizontal="right" vertical="center"/>
    </xf>
    <xf numFmtId="42" fontId="0" fillId="0" borderId="0" xfId="0" applyNumberFormat="1"/>
    <xf numFmtId="0" fontId="0" fillId="0" borderId="1" xfId="0" applyBorder="1" applyAlignment="1">
      <alignment wrapText="1"/>
    </xf>
    <xf numFmtId="0" fontId="0" fillId="0" borderId="17" xfId="0" applyFill="1" applyBorder="1" applyAlignment="1">
      <alignment vertical="top" wrapText="1"/>
    </xf>
    <xf numFmtId="9" fontId="28" fillId="0" borderId="1" xfId="0" applyNumberFormat="1" applyFont="1" applyFill="1" applyBorder="1" applyAlignment="1">
      <alignment horizontal="justify" vertical="center"/>
    </xf>
    <xf numFmtId="1" fontId="28" fillId="0" borderId="1" xfId="0" applyNumberFormat="1" applyFont="1" applyFill="1" applyBorder="1" applyAlignment="1">
      <alignment horizontal="right" vertical="center"/>
    </xf>
    <xf numFmtId="1" fontId="28" fillId="0" borderId="1" xfId="1" applyNumberFormat="1" applyFont="1" applyFill="1" applyBorder="1" applyAlignment="1">
      <alignment horizontal="right" vertical="center"/>
    </xf>
    <xf numFmtId="42"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xf>
    <xf numFmtId="0" fontId="28" fillId="0" borderId="1" xfId="0" applyFont="1" applyFill="1" applyBorder="1" applyAlignment="1"/>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vertical="center"/>
    </xf>
    <xf numFmtId="0" fontId="28" fillId="0" borderId="1" xfId="0" applyFont="1" applyFill="1" applyBorder="1"/>
    <xf numFmtId="9" fontId="28" fillId="0" borderId="1" xfId="1" applyNumberFormat="1" applyFont="1" applyFill="1" applyBorder="1" applyAlignment="1">
      <alignment horizontal="right" vertical="center" wrapText="1"/>
    </xf>
    <xf numFmtId="0" fontId="28" fillId="0" borderId="0" xfId="0" applyFont="1" applyFill="1"/>
    <xf numFmtId="9" fontId="28" fillId="0" borderId="1" xfId="1" applyFont="1" applyFill="1" applyBorder="1" applyAlignment="1">
      <alignment horizontal="justify" vertical="center" wrapText="1"/>
    </xf>
    <xf numFmtId="42" fontId="28" fillId="0" borderId="1" xfId="1" applyNumberFormat="1" applyFont="1" applyFill="1" applyBorder="1" applyAlignment="1">
      <alignment horizontal="right" vertical="center"/>
    </xf>
    <xf numFmtId="0" fontId="20" fillId="0" borderId="1" xfId="0" applyFont="1" applyFill="1" applyBorder="1" applyAlignment="1">
      <alignment horizontal="right" vertical="center"/>
    </xf>
    <xf numFmtId="1" fontId="20" fillId="0" borderId="1" xfId="0" applyNumberFormat="1" applyFont="1" applyFill="1" applyBorder="1" applyAlignment="1">
      <alignment horizontal="right" vertical="center"/>
    </xf>
    <xf numFmtId="42" fontId="20" fillId="0" borderId="1" xfId="5" applyFont="1" applyFill="1" applyBorder="1" applyAlignment="1">
      <alignment horizontal="right" vertical="center"/>
    </xf>
    <xf numFmtId="9" fontId="20" fillId="0" borderId="1" xfId="1" applyFont="1" applyFill="1" applyBorder="1" applyAlignment="1">
      <alignment horizontal="justify" vertical="center" wrapText="1"/>
    </xf>
    <xf numFmtId="42" fontId="20" fillId="0" borderId="1" xfId="1" applyNumberFormat="1" applyFont="1" applyFill="1" applyBorder="1" applyAlignment="1">
      <alignment horizontal="right" vertical="center"/>
    </xf>
    <xf numFmtId="0" fontId="20" fillId="0" borderId="1" xfId="0" applyFont="1" applyFill="1" applyBorder="1" applyAlignment="1">
      <alignment horizontal="justify" vertical="center"/>
    </xf>
    <xf numFmtId="0" fontId="20" fillId="0" borderId="1" xfId="0" applyFont="1" applyFill="1" applyBorder="1"/>
    <xf numFmtId="9" fontId="20" fillId="0" borderId="1" xfId="1" applyNumberFormat="1" applyFont="1" applyFill="1" applyBorder="1" applyAlignment="1">
      <alignment horizontal="right" vertical="center"/>
    </xf>
    <xf numFmtId="0" fontId="20" fillId="0" borderId="0" xfId="0" applyFont="1" applyFill="1"/>
    <xf numFmtId="0" fontId="28" fillId="0" borderId="1" xfId="0" applyNumberFormat="1" applyFont="1" applyFill="1" applyBorder="1" applyAlignment="1">
      <alignment horizontal="justify" vertical="center" wrapText="1"/>
    </xf>
    <xf numFmtId="9" fontId="28" fillId="15" borderId="1" xfId="1" applyNumberFormat="1" applyFont="1" applyFill="1" applyBorder="1" applyAlignment="1">
      <alignment horizontal="right" vertical="center" wrapText="1"/>
    </xf>
    <xf numFmtId="0" fontId="28" fillId="15" borderId="0" xfId="0" applyFont="1" applyFill="1"/>
    <xf numFmtId="9" fontId="28" fillId="3" borderId="1" xfId="1" applyNumberFormat="1" applyFont="1" applyFill="1" applyBorder="1" applyAlignment="1">
      <alignment horizontal="right" vertical="center" wrapText="1"/>
    </xf>
    <xf numFmtId="0" fontId="28" fillId="3" borderId="0" xfId="0" applyFont="1" applyFill="1"/>
    <xf numFmtId="9" fontId="28" fillId="0" borderId="1" xfId="3" applyNumberFormat="1" applyFont="1" applyFill="1" applyBorder="1" applyAlignment="1">
      <alignment horizontal="right" vertical="center"/>
    </xf>
    <xf numFmtId="3" fontId="28" fillId="0" borderId="1" xfId="0" applyNumberFormat="1" applyFont="1" applyFill="1" applyBorder="1" applyAlignment="1">
      <alignment horizontal="right" vertical="center"/>
    </xf>
    <xf numFmtId="0" fontId="2" fillId="0" borderId="0" xfId="0" applyFont="1"/>
    <xf numFmtId="42" fontId="0" fillId="0" borderId="0" xfId="5" applyFont="1"/>
    <xf numFmtId="168" fontId="0" fillId="0" borderId="0" xfId="5" applyNumberFormat="1" applyFont="1"/>
    <xf numFmtId="42" fontId="2" fillId="0" borderId="0" xfId="5" applyFont="1"/>
    <xf numFmtId="42" fontId="2" fillId="0" borderId="0" xfId="0" applyNumberFormat="1" applyFont="1"/>
    <xf numFmtId="168" fontId="2" fillId="0" borderId="0" xfId="0" applyNumberFormat="1" applyFont="1"/>
    <xf numFmtId="169" fontId="0" fillId="0" borderId="0" xfId="0" applyNumberFormat="1"/>
    <xf numFmtId="168" fontId="2" fillId="0" borderId="0" xfId="5" applyNumberFormat="1" applyFont="1"/>
    <xf numFmtId="169" fontId="2" fillId="0" borderId="0" xfId="0" applyNumberFormat="1" applyFont="1"/>
    <xf numFmtId="166" fontId="28" fillId="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9" fontId="28" fillId="0" borderId="1" xfId="0" applyNumberFormat="1" applyFont="1" applyFill="1" applyBorder="1" applyAlignment="1">
      <alignment horizontal="right" vertical="center"/>
    </xf>
    <xf numFmtId="1" fontId="28" fillId="0" borderId="1" xfId="1" applyNumberFormat="1" applyFont="1" applyFill="1" applyBorder="1" applyAlignment="1">
      <alignment horizontal="right" vertical="center" wrapText="1"/>
    </xf>
    <xf numFmtId="42" fontId="28" fillId="0" borderId="1" xfId="5" applyFont="1" applyFill="1" applyBorder="1" applyAlignment="1">
      <alignment horizontal="right" vertical="center" wrapText="1"/>
    </xf>
    <xf numFmtId="0" fontId="20" fillId="0" borderId="1" xfId="0" applyFont="1" applyFill="1" applyBorder="1" applyAlignment="1">
      <alignment vertical="center" wrapText="1"/>
    </xf>
    <xf numFmtId="42" fontId="28" fillId="0" borderId="4" xfId="0" applyNumberFormat="1" applyFont="1" applyFill="1" applyBorder="1" applyAlignment="1">
      <alignment horizontal="right" vertical="center"/>
    </xf>
    <xf numFmtId="0" fontId="28" fillId="0" borderId="4" xfId="0"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0" fontId="29" fillId="0" borderId="0" xfId="0" applyFont="1" applyAlignment="1">
      <alignment horizontal="left" vertical="center" wrapText="1" readingOrder="1"/>
    </xf>
    <xf numFmtId="0" fontId="31" fillId="0" borderId="0" xfId="0" applyFont="1"/>
    <xf numFmtId="42" fontId="0" fillId="0" borderId="0" xfId="5" applyNumberFormat="1" applyFont="1"/>
    <xf numFmtId="42" fontId="28" fillId="0" borderId="4" xfId="5" applyFont="1" applyFill="1" applyBorder="1" applyAlignment="1">
      <alignment horizontal="right" vertical="center"/>
    </xf>
    <xf numFmtId="0" fontId="0" fillId="0" borderId="0" xfId="0" applyAlignment="1">
      <alignment horizontal="right"/>
    </xf>
    <xf numFmtId="0" fontId="30" fillId="0" borderId="35" xfId="0" applyFont="1" applyBorder="1" applyAlignment="1">
      <alignment horizontal="left" vertical="center" wrapText="1" readingOrder="1"/>
    </xf>
    <xf numFmtId="42" fontId="2" fillId="0" borderId="42" xfId="0" applyNumberFormat="1" applyFont="1" applyBorder="1"/>
    <xf numFmtId="42" fontId="31" fillId="0" borderId="36" xfId="0" applyNumberFormat="1" applyFont="1" applyBorder="1"/>
    <xf numFmtId="0" fontId="2" fillId="0" borderId="42" xfId="0" applyFont="1" applyBorder="1" applyAlignment="1">
      <alignment horizontal="right"/>
    </xf>
    <xf numFmtId="0" fontId="31" fillId="0" borderId="36" xfId="0" applyFont="1" applyBorder="1" applyAlignment="1">
      <alignment horizontal="right"/>
    </xf>
    <xf numFmtId="0" fontId="0" fillId="0" borderId="1" xfId="0" applyBorder="1" applyAlignment="1">
      <alignment horizontal="right"/>
    </xf>
    <xf numFmtId="42" fontId="0" fillId="0" borderId="1" xfId="5" applyFont="1" applyBorder="1" applyAlignment="1">
      <alignment horizontal="right"/>
    </xf>
    <xf numFmtId="0" fontId="0" fillId="0" borderId="1" xfId="0" applyFill="1" applyBorder="1" applyAlignment="1">
      <alignment horizontal="right"/>
    </xf>
    <xf numFmtId="0" fontId="29" fillId="0" borderId="7" xfId="0" applyFont="1" applyBorder="1" applyAlignment="1">
      <alignment horizontal="left" vertical="center" wrapText="1" readingOrder="1"/>
    </xf>
    <xf numFmtId="0" fontId="0" fillId="0" borderId="8" xfId="0" applyBorder="1" applyAlignment="1">
      <alignment horizontal="right"/>
    </xf>
    <xf numFmtId="42" fontId="0" fillId="0" borderId="8" xfId="5" applyFont="1" applyBorder="1" applyAlignment="1">
      <alignment horizontal="right"/>
    </xf>
    <xf numFmtId="0" fontId="29" fillId="0" borderId="9" xfId="0" applyFont="1" applyBorder="1" applyAlignment="1">
      <alignment horizontal="left" vertical="center" wrapText="1" readingOrder="1"/>
    </xf>
    <xf numFmtId="0" fontId="0" fillId="0" borderId="25" xfId="0" applyBorder="1" applyAlignment="1">
      <alignment horizontal="right"/>
    </xf>
    <xf numFmtId="0" fontId="0" fillId="0" borderId="25" xfId="0" applyFill="1" applyBorder="1" applyAlignment="1">
      <alignment horizontal="right"/>
    </xf>
    <xf numFmtId="0" fontId="0" fillId="0" borderId="10" xfId="0" applyBorder="1" applyAlignment="1">
      <alignment horizontal="right"/>
    </xf>
    <xf numFmtId="0" fontId="2" fillId="0" borderId="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42" fontId="0" fillId="7" borderId="0" xfId="5" applyFont="1" applyFill="1"/>
    <xf numFmtId="0" fontId="32" fillId="16" borderId="1" xfId="0" applyFont="1" applyFill="1" applyBorder="1" applyAlignment="1">
      <alignment vertical="center"/>
    </xf>
    <xf numFmtId="0" fontId="28" fillId="0" borderId="0" xfId="0" applyFont="1" applyFill="1" applyAlignment="1">
      <alignment horizontal="center" vertical="center"/>
    </xf>
    <xf numFmtId="0" fontId="32" fillId="3" borderId="1" xfId="0" applyFont="1" applyFill="1" applyBorder="1" applyAlignment="1">
      <alignment vertical="center"/>
    </xf>
    <xf numFmtId="9" fontId="20" fillId="0" borderId="1" xfId="1" applyFont="1" applyFill="1" applyBorder="1" applyAlignment="1">
      <alignment horizontal="right" vertical="center"/>
    </xf>
    <xf numFmtId="1" fontId="20" fillId="0" borderId="1" xfId="1" applyNumberFormat="1" applyFont="1" applyFill="1" applyBorder="1" applyAlignment="1">
      <alignment horizontal="right" vertical="center"/>
    </xf>
    <xf numFmtId="9" fontId="28" fillId="0" borderId="4" xfId="1" applyNumberFormat="1" applyFont="1" applyFill="1" applyBorder="1" applyAlignment="1">
      <alignment horizontal="right" vertical="center"/>
    </xf>
    <xf numFmtId="0" fontId="28" fillId="0" borderId="4" xfId="0" applyFont="1" applyFill="1" applyBorder="1" applyAlignment="1">
      <alignment horizontal="justify" vertical="center" wrapText="1"/>
    </xf>
    <xf numFmtId="0" fontId="28" fillId="0" borderId="1" xfId="0" applyFont="1" applyFill="1" applyBorder="1" applyAlignment="1">
      <alignment horizontal="justify" vertical="center" wrapText="1"/>
    </xf>
    <xf numFmtId="0" fontId="28" fillId="0" borderId="1" xfId="0" applyFont="1" applyFill="1" applyBorder="1" applyAlignment="1">
      <alignment horizontal="center" vertical="center" wrapText="1"/>
    </xf>
    <xf numFmtId="9" fontId="28" fillId="0" borderId="4" xfId="1" applyNumberFormat="1" applyFont="1" applyFill="1" applyBorder="1" applyAlignment="1">
      <alignment horizontal="right" vertical="center" wrapText="1"/>
    </xf>
    <xf numFmtId="0" fontId="28" fillId="0" borderId="4" xfId="0" applyFont="1" applyFill="1" applyBorder="1" applyAlignment="1">
      <alignment horizontal="justify" vertical="center"/>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0" fontId="28" fillId="0" borderId="1" xfId="0" applyFont="1" applyFill="1" applyBorder="1" applyAlignment="1">
      <alignment horizontal="right" vertical="center" wrapText="1"/>
    </xf>
    <xf numFmtId="0" fontId="20" fillId="0" borderId="1" xfId="0" applyFont="1" applyFill="1" applyBorder="1" applyAlignment="1">
      <alignment horizontal="right" vertical="center" wrapText="1"/>
    </xf>
    <xf numFmtId="42" fontId="28" fillId="0" borderId="1" xfId="5" applyFont="1" applyFill="1" applyBorder="1" applyAlignment="1">
      <alignment horizontal="right" wrapText="1"/>
    </xf>
    <xf numFmtId="42" fontId="28" fillId="0" borderId="4" xfId="5" applyFont="1" applyFill="1" applyBorder="1" applyAlignment="1">
      <alignment horizontal="right" vertical="center" wrapText="1"/>
    </xf>
    <xf numFmtId="166" fontId="28" fillId="0" borderId="1" xfId="1" applyNumberFormat="1" applyFont="1" applyFill="1" applyBorder="1" applyAlignment="1">
      <alignment horizontal="right" vertical="center"/>
    </xf>
    <xf numFmtId="0" fontId="28" fillId="0" borderId="1" xfId="0" applyFont="1" applyFill="1" applyBorder="1" applyAlignment="1">
      <alignment horizontal="right"/>
    </xf>
    <xf numFmtId="0" fontId="20" fillId="0" borderId="1" xfId="0" applyFont="1" applyFill="1" applyBorder="1" applyAlignment="1">
      <alignment horizontal="right"/>
    </xf>
    <xf numFmtId="42" fontId="28" fillId="0" borderId="0" xfId="0" applyNumberFormat="1" applyFont="1" applyFill="1"/>
    <xf numFmtId="0" fontId="33" fillId="0" borderId="0" xfId="0" applyFont="1" applyFill="1"/>
    <xf numFmtId="0" fontId="33" fillId="0" borderId="0" xfId="0" applyFont="1"/>
    <xf numFmtId="0" fontId="34" fillId="0" borderId="0" xfId="0" applyFont="1" applyAlignment="1">
      <alignment horizontal="left"/>
    </xf>
    <xf numFmtId="0" fontId="33" fillId="0" borderId="0" xfId="0" applyFont="1" applyAlignment="1">
      <alignment horizontal="center"/>
    </xf>
    <xf numFmtId="42" fontId="28" fillId="0" borderId="17" xfId="5" applyFont="1" applyFill="1" applyBorder="1" applyAlignment="1">
      <alignment horizontal="right" vertical="center" wrapText="1"/>
    </xf>
    <xf numFmtId="42" fontId="28" fillId="0" borderId="17" xfId="0" applyNumberFormat="1" applyFont="1" applyFill="1" applyBorder="1" applyAlignment="1">
      <alignment horizontal="right" vertical="center"/>
    </xf>
    <xf numFmtId="42" fontId="28" fillId="0" borderId="17" xfId="5" applyFont="1" applyFill="1" applyBorder="1" applyAlignment="1">
      <alignment horizontal="right" vertical="center"/>
    </xf>
    <xf numFmtId="0" fontId="5" fillId="0" borderId="0" xfId="0" applyFont="1" applyAlignment="1">
      <alignment horizontal="left"/>
    </xf>
    <xf numFmtId="0" fontId="36" fillId="0" borderId="0" xfId="0" applyFont="1"/>
    <xf numFmtId="41" fontId="20" fillId="0" borderId="0" xfId="0" applyNumberFormat="1" applyFont="1"/>
    <xf numFmtId="0" fontId="20" fillId="0" borderId="0" xfId="0" applyFont="1" applyAlignment="1">
      <alignment horizontal="center"/>
    </xf>
    <xf numFmtId="0" fontId="37" fillId="16" borderId="13" xfId="0" applyFont="1" applyFill="1" applyBorder="1" applyAlignment="1">
      <alignment horizontal="center" vertical="center" wrapText="1"/>
    </xf>
    <xf numFmtId="0" fontId="37" fillId="16" borderId="26" xfId="0" applyFont="1" applyFill="1" applyBorder="1" applyAlignment="1">
      <alignment horizontal="center" vertical="center" wrapText="1"/>
    </xf>
    <xf numFmtId="0" fontId="37" fillId="16" borderId="27" xfId="0" applyFont="1" applyFill="1" applyBorder="1" applyAlignment="1">
      <alignment horizontal="center" vertical="center" wrapText="1"/>
    </xf>
    <xf numFmtId="0" fontId="37" fillId="16" borderId="28" xfId="0" applyFont="1" applyFill="1" applyBorder="1" applyAlignment="1">
      <alignment horizontal="center" vertical="center" wrapText="1"/>
    </xf>
    <xf numFmtId="0" fontId="37" fillId="17" borderId="26" xfId="0" applyFont="1" applyFill="1" applyBorder="1" applyAlignment="1">
      <alignment horizontal="center" vertical="center" wrapText="1"/>
    </xf>
    <xf numFmtId="0" fontId="37" fillId="5" borderId="26" xfId="0" applyFont="1" applyFill="1" applyBorder="1" applyAlignment="1">
      <alignment horizontal="center" vertical="center" wrapText="1"/>
    </xf>
    <xf numFmtId="0" fontId="20" fillId="0" borderId="0" xfId="0" applyFont="1" applyFill="1" applyAlignment="1">
      <alignment horizontal="center"/>
    </xf>
    <xf numFmtId="41" fontId="20" fillId="0" borderId="0" xfId="0" applyNumberFormat="1" applyFont="1" applyFill="1"/>
    <xf numFmtId="0" fontId="20" fillId="0" borderId="0" xfId="0" applyFont="1" applyFill="1" applyAlignment="1">
      <alignment horizontal="justify" vertical="center"/>
    </xf>
    <xf numFmtId="0" fontId="5" fillId="0" borderId="0" xfId="0" applyFont="1"/>
    <xf numFmtId="42" fontId="5" fillId="0" borderId="0" xfId="0" applyNumberFormat="1" applyFont="1"/>
    <xf numFmtId="42" fontId="20" fillId="0" borderId="0" xfId="0" applyNumberFormat="1" applyFont="1"/>
    <xf numFmtId="42" fontId="20" fillId="0" borderId="0" xfId="0" applyNumberFormat="1" applyFont="1" applyFill="1"/>
    <xf numFmtId="42" fontId="20" fillId="0" borderId="0" xfId="5" applyFont="1"/>
    <xf numFmtId="42" fontId="20" fillId="0" borderId="1" xfId="0" applyNumberFormat="1" applyFont="1" applyFill="1" applyBorder="1" applyAlignment="1">
      <alignment horizontal="right" vertical="center"/>
    </xf>
    <xf numFmtId="9" fontId="20" fillId="0" borderId="1" xfId="1" applyNumberFormat="1" applyFont="1" applyFill="1" applyBorder="1" applyAlignment="1">
      <alignment horizontal="right" vertical="center" wrapText="1"/>
    </xf>
    <xf numFmtId="0" fontId="41" fillId="3" borderId="1" xfId="0" applyFont="1" applyFill="1" applyBorder="1" applyAlignment="1">
      <alignment vertical="center"/>
    </xf>
    <xf numFmtId="0" fontId="41" fillId="16" borderId="1" xfId="0" applyFont="1" applyFill="1" applyBorder="1" applyAlignment="1">
      <alignment vertical="center"/>
    </xf>
    <xf numFmtId="0" fontId="20" fillId="0" borderId="1" xfId="0" applyNumberFormat="1" applyFont="1" applyFill="1" applyBorder="1" applyAlignment="1">
      <alignment horizontal="right" vertical="center"/>
    </xf>
    <xf numFmtId="0" fontId="20" fillId="0" borderId="1" xfId="1" applyNumberFormat="1" applyFont="1" applyFill="1" applyBorder="1" applyAlignment="1">
      <alignment horizontal="right" vertical="center"/>
    </xf>
    <xf numFmtId="0" fontId="20" fillId="0" borderId="1" xfId="0" applyFont="1" applyFill="1" applyBorder="1" applyAlignment="1">
      <alignment horizontal="center"/>
    </xf>
    <xf numFmtId="0" fontId="20" fillId="0" borderId="0" xfId="0" applyFont="1" applyFill="1" applyAlignment="1">
      <alignment horizontal="center" vertical="center"/>
    </xf>
    <xf numFmtId="9" fontId="28" fillId="0" borderId="1" xfId="0" applyNumberFormat="1" applyFont="1" applyFill="1" applyBorder="1" applyAlignment="1">
      <alignment horizontal="right" vertical="center" wrapText="1"/>
    </xf>
    <xf numFmtId="41" fontId="20" fillId="0" borderId="1" xfId="3" applyFont="1" applyFill="1" applyBorder="1" applyAlignment="1">
      <alignment horizontal="right" vertical="center"/>
    </xf>
    <xf numFmtId="42" fontId="28" fillId="0" borderId="1" xfId="27" applyFont="1" applyFill="1" applyBorder="1" applyAlignment="1">
      <alignment horizontal="right" vertical="center" wrapText="1"/>
    </xf>
    <xf numFmtId="9" fontId="28" fillId="0" borderId="1" xfId="1" applyFont="1" applyFill="1" applyBorder="1" applyAlignment="1">
      <alignment horizontal="right" vertical="center" wrapText="1"/>
    </xf>
    <xf numFmtId="1" fontId="28" fillId="0" borderId="1" xfId="0" applyNumberFormat="1" applyFont="1" applyFill="1" applyBorder="1" applyAlignment="1">
      <alignment horizontal="right" vertical="center" wrapText="1"/>
    </xf>
    <xf numFmtId="42" fontId="20" fillId="0" borderId="1" xfId="5" applyFont="1" applyFill="1" applyBorder="1" applyAlignment="1">
      <alignment horizontal="right" vertical="center" wrapText="1"/>
    </xf>
    <xf numFmtId="0" fontId="5" fillId="0" borderId="0" xfId="0" applyFont="1" applyAlignment="1">
      <alignment horizontal="left"/>
    </xf>
    <xf numFmtId="0" fontId="28" fillId="0" borderId="1" xfId="0" applyFont="1" applyFill="1" applyBorder="1" applyAlignment="1">
      <alignment horizontal="justify" vertical="center" wrapText="1"/>
    </xf>
    <xf numFmtId="0" fontId="41" fillId="0" borderId="0" xfId="0" applyFont="1" applyFill="1"/>
    <xf numFmtId="0" fontId="28" fillId="0" borderId="18" xfId="0" applyFont="1" applyFill="1" applyBorder="1" applyAlignment="1">
      <alignment horizontal="justify" vertical="center" wrapText="1"/>
    </xf>
    <xf numFmtId="0" fontId="28" fillId="0" borderId="18" xfId="0" applyFont="1" applyFill="1" applyBorder="1" applyAlignment="1">
      <alignment horizontal="right" vertical="center"/>
    </xf>
    <xf numFmtId="42" fontId="28" fillId="0" borderId="18" xfId="5" applyFont="1" applyFill="1" applyBorder="1" applyAlignment="1">
      <alignment horizontal="right" vertical="center" wrapText="1"/>
    </xf>
    <xf numFmtId="0" fontId="28" fillId="0" borderId="18" xfId="0" applyFont="1" applyFill="1" applyBorder="1" applyAlignment="1">
      <alignment horizontal="center" vertical="center"/>
    </xf>
    <xf numFmtId="42" fontId="28" fillId="0" borderId="18" xfId="5" applyFont="1" applyFill="1" applyBorder="1" applyAlignment="1">
      <alignment horizontal="right" vertical="center"/>
    </xf>
    <xf numFmtId="42" fontId="28" fillId="0" borderId="18" xfId="0" applyNumberFormat="1" applyFont="1" applyFill="1" applyBorder="1" applyAlignment="1">
      <alignment horizontal="right" vertical="center"/>
    </xf>
    <xf numFmtId="9" fontId="28" fillId="0" borderId="18" xfId="1" applyFont="1" applyFill="1" applyBorder="1" applyAlignment="1">
      <alignment horizontal="right" vertical="center"/>
    </xf>
    <xf numFmtId="0" fontId="28" fillId="0" borderId="1" xfId="0" applyFont="1" applyFill="1" applyBorder="1" applyAlignment="1">
      <alignment horizontal="justify" vertical="center" wrapText="1"/>
    </xf>
    <xf numFmtId="0" fontId="28" fillId="0" borderId="18" xfId="0" applyFont="1" applyFill="1" applyBorder="1" applyAlignment="1">
      <alignment horizontal="justify" vertical="center" wrapText="1"/>
    </xf>
    <xf numFmtId="9" fontId="28" fillId="0" borderId="18" xfId="0" applyNumberFormat="1" applyFont="1" applyFill="1" applyBorder="1" applyAlignment="1">
      <alignment horizontal="right" vertical="center"/>
    </xf>
    <xf numFmtId="0" fontId="5" fillId="0" borderId="0" xfId="0" applyFont="1" applyAlignment="1">
      <alignment horizontal="left"/>
    </xf>
    <xf numFmtId="0" fontId="28" fillId="0" borderId="18" xfId="0" applyFont="1" applyFill="1" applyBorder="1" applyAlignment="1">
      <alignment horizontal="right" vertical="center"/>
    </xf>
    <xf numFmtId="0" fontId="28" fillId="0" borderId="18" xfId="0" applyFont="1" applyFill="1" applyBorder="1" applyAlignment="1">
      <alignment horizontal="center" vertical="center"/>
    </xf>
    <xf numFmtId="1" fontId="28" fillId="0" borderId="18" xfId="0" applyNumberFormat="1" applyFont="1" applyFill="1" applyBorder="1" applyAlignment="1">
      <alignment horizontal="right" vertical="center"/>
    </xf>
    <xf numFmtId="0" fontId="28" fillId="0" borderId="18" xfId="0" applyFont="1" applyFill="1" applyBorder="1" applyAlignment="1">
      <alignment horizontal="justify" vertical="center"/>
    </xf>
    <xf numFmtId="0" fontId="28" fillId="0" borderId="18"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42" fillId="16" borderId="35" xfId="0" applyFont="1" applyFill="1" applyBorder="1" applyAlignment="1">
      <alignment horizontal="center" vertical="center" wrapText="1"/>
    </xf>
    <xf numFmtId="0" fontId="42" fillId="16" borderId="42" xfId="0" applyFont="1" applyFill="1" applyBorder="1" applyAlignment="1">
      <alignment horizontal="center" vertical="center" wrapText="1"/>
    </xf>
    <xf numFmtId="0" fontId="42" fillId="16" borderId="68" xfId="0" applyFont="1" applyFill="1" applyBorder="1" applyAlignment="1">
      <alignment horizontal="center" vertical="center" wrapText="1"/>
    </xf>
    <xf numFmtId="0" fontId="2" fillId="0" borderId="0" xfId="0" applyFont="1" applyAlignment="1">
      <alignment horizontal="center"/>
    </xf>
    <xf numFmtId="167" fontId="20" fillId="0" borderId="1" xfId="3" applyNumberFormat="1" applyFont="1" applyFill="1" applyBorder="1" applyAlignment="1">
      <alignment horizontal="right" vertical="center"/>
    </xf>
    <xf numFmtId="0" fontId="37" fillId="17" borderId="69" xfId="0" applyFont="1" applyFill="1" applyBorder="1" applyAlignment="1">
      <alignment horizontal="center" vertical="center" wrapText="1"/>
    </xf>
    <xf numFmtId="0" fontId="37" fillId="16" borderId="25"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17" xfId="0" applyFont="1" applyFill="1" applyBorder="1" applyAlignment="1">
      <alignment horizontal="center" vertical="center" wrapText="1"/>
    </xf>
    <xf numFmtId="168" fontId="0" fillId="7" borderId="0" xfId="5" applyNumberFormat="1" applyFont="1" applyFill="1"/>
    <xf numFmtId="0" fontId="5" fillId="0" borderId="2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44" fillId="0" borderId="0" xfId="0" applyFont="1"/>
    <xf numFmtId="1" fontId="44" fillId="0" borderId="0" xfId="0" applyNumberFormat="1" applyFont="1"/>
    <xf numFmtId="0" fontId="45" fillId="0" borderId="0" xfId="0" applyFont="1" applyFill="1"/>
    <xf numFmtId="0" fontId="44" fillId="0" borderId="0" xfId="0" applyFont="1" applyFill="1"/>
    <xf numFmtId="0" fontId="44" fillId="0" borderId="0" xfId="0" applyFont="1" applyFill="1" applyBorder="1"/>
    <xf numFmtId="0" fontId="45" fillId="0" borderId="0" xfId="0" applyFont="1"/>
    <xf numFmtId="0" fontId="46" fillId="0" borderId="0" xfId="0" applyFont="1" applyBorder="1" applyAlignment="1">
      <alignment horizontal="left"/>
    </xf>
    <xf numFmtId="9" fontId="44" fillId="0" borderId="0" xfId="0" applyNumberFormat="1" applyFont="1"/>
    <xf numFmtId="0" fontId="33" fillId="13" borderId="0" xfId="0" applyFont="1" applyFill="1"/>
    <xf numFmtId="0" fontId="47" fillId="13" borderId="0" xfId="0" applyFont="1" applyFill="1"/>
    <xf numFmtId="0" fontId="46" fillId="13" borderId="0" xfId="0" applyFont="1" applyFill="1"/>
    <xf numFmtId="1" fontId="44" fillId="0" borderId="0" xfId="0" applyNumberFormat="1" applyFont="1" applyFill="1"/>
    <xf numFmtId="166" fontId="49" fillId="0" borderId="0" xfId="1" applyNumberFormat="1" applyFont="1" applyFill="1" applyBorder="1" applyAlignment="1">
      <alignment horizontal="right" vertical="center"/>
    </xf>
    <xf numFmtId="0" fontId="50" fillId="0" borderId="0" xfId="0" applyFont="1" applyFill="1" applyBorder="1" applyAlignment="1">
      <alignment horizontal="right"/>
    </xf>
    <xf numFmtId="0" fontId="49" fillId="0" borderId="0" xfId="0" applyFont="1" applyFill="1" applyBorder="1" applyAlignment="1">
      <alignment horizontal="right"/>
    </xf>
    <xf numFmtId="0" fontId="48" fillId="0" borderId="0" xfId="0" applyFont="1" applyFill="1" applyBorder="1" applyAlignment="1">
      <alignment horizontal="center" vertical="center"/>
    </xf>
    <xf numFmtId="9" fontId="51" fillId="13" borderId="36" xfId="1" applyFont="1" applyFill="1" applyBorder="1" applyAlignment="1">
      <alignment horizontal="right" vertical="center"/>
    </xf>
    <xf numFmtId="166" fontId="49" fillId="17" borderId="15" xfId="1" applyNumberFormat="1" applyFont="1" applyFill="1" applyBorder="1" applyAlignment="1">
      <alignment horizontal="right" vertical="center"/>
    </xf>
    <xf numFmtId="9" fontId="51" fillId="18" borderId="36" xfId="1" applyFont="1" applyFill="1" applyBorder="1" applyAlignment="1">
      <alignment horizontal="right" vertical="center"/>
    </xf>
    <xf numFmtId="9" fontId="51" fillId="13" borderId="42" xfId="1" applyFont="1" applyFill="1" applyBorder="1" applyAlignment="1">
      <alignment horizontal="right" vertical="center"/>
    </xf>
    <xf numFmtId="9" fontId="51" fillId="13" borderId="68" xfId="1" applyFont="1" applyFill="1" applyBorder="1" applyAlignment="1">
      <alignment horizontal="right" vertical="center"/>
    </xf>
    <xf numFmtId="166" fontId="49" fillId="17" borderId="35" xfId="1" applyNumberFormat="1" applyFont="1" applyFill="1" applyBorder="1" applyAlignment="1">
      <alignment horizontal="right" vertical="center"/>
    </xf>
    <xf numFmtId="0" fontId="44" fillId="0" borderId="0" xfId="0" applyFont="1" applyBorder="1"/>
    <xf numFmtId="9" fontId="52" fillId="14" borderId="36" xfId="1" applyFont="1" applyFill="1" applyBorder="1" applyAlignment="1">
      <alignment horizontal="center" vertical="center"/>
    </xf>
    <xf numFmtId="166" fontId="52" fillId="14" borderId="35" xfId="1" applyNumberFormat="1" applyFont="1" applyFill="1" applyBorder="1" applyAlignment="1">
      <alignment horizontal="center" vertical="center"/>
    </xf>
    <xf numFmtId="166" fontId="52" fillId="14" borderId="30" xfId="1" applyNumberFormat="1" applyFont="1" applyFill="1" applyBorder="1" applyAlignment="1">
      <alignment horizontal="center" vertical="center"/>
    </xf>
    <xf numFmtId="0" fontId="52" fillId="14" borderId="36" xfId="1" applyNumberFormat="1" applyFont="1" applyFill="1" applyBorder="1" applyAlignment="1">
      <alignment horizontal="center" vertical="center"/>
    </xf>
    <xf numFmtId="9" fontId="53" fillId="13" borderId="42" xfId="1" applyFont="1" applyFill="1" applyBorder="1" applyAlignment="1">
      <alignment horizontal="right" vertical="center"/>
    </xf>
    <xf numFmtId="166" fontId="52" fillId="17" borderId="35" xfId="1" applyNumberFormat="1" applyFont="1" applyFill="1" applyBorder="1" applyAlignment="1">
      <alignment horizontal="right" vertical="center"/>
    </xf>
    <xf numFmtId="0" fontId="54" fillId="0" borderId="0" xfId="0" applyFont="1" applyFill="1" applyBorder="1" applyAlignment="1">
      <alignment horizontal="right"/>
    </xf>
    <xf numFmtId="0" fontId="52" fillId="0" borderId="0" xfId="0" applyFont="1" applyFill="1" applyBorder="1" applyAlignment="1">
      <alignment horizontal="right"/>
    </xf>
    <xf numFmtId="9" fontId="53" fillId="13" borderId="36" xfId="1" applyFont="1" applyFill="1" applyBorder="1" applyAlignment="1">
      <alignment horizontal="right" vertical="center"/>
    </xf>
    <xf numFmtId="9" fontId="53" fillId="13" borderId="68" xfId="1" applyFont="1" applyFill="1" applyBorder="1" applyAlignment="1">
      <alignment horizontal="right" vertical="center"/>
    </xf>
    <xf numFmtId="0" fontId="55" fillId="0" borderId="21" xfId="0" applyFont="1" applyBorder="1" applyAlignment="1">
      <alignment horizontal="center" vertical="center" wrapText="1"/>
    </xf>
    <xf numFmtId="9" fontId="56" fillId="13" borderId="0" xfId="0" applyNumberFormat="1" applyFont="1" applyFill="1" applyBorder="1" applyAlignment="1">
      <alignment horizontal="center" vertical="center"/>
    </xf>
    <xf numFmtId="9" fontId="56" fillId="13" borderId="21" xfId="0" applyNumberFormat="1" applyFont="1" applyFill="1" applyBorder="1" applyAlignment="1">
      <alignment horizontal="center" vertical="center"/>
    </xf>
    <xf numFmtId="0" fontId="44" fillId="0" borderId="0" xfId="0" applyFont="1" applyFill="1" applyBorder="1" applyAlignment="1">
      <alignment horizontal="center"/>
    </xf>
    <xf numFmtId="0" fontId="55" fillId="0" borderId="40" xfId="0" applyFont="1" applyBorder="1" applyAlignment="1">
      <alignment horizontal="center" vertical="center" wrapText="1"/>
    </xf>
    <xf numFmtId="9" fontId="57" fillId="13" borderId="42" xfId="1" applyFont="1" applyFill="1" applyBorder="1" applyAlignment="1">
      <alignment horizontal="right" vertical="center"/>
    </xf>
    <xf numFmtId="0" fontId="55" fillId="0" borderId="22"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9" fontId="59" fillId="13" borderId="67" xfId="1" applyFont="1" applyFill="1" applyBorder="1" applyAlignment="1">
      <alignment horizontal="right" vertical="center"/>
    </xf>
    <xf numFmtId="9" fontId="59" fillId="13" borderId="2" xfId="1" applyFont="1" applyFill="1" applyBorder="1" applyAlignment="1">
      <alignment horizontal="right" vertical="center"/>
    </xf>
    <xf numFmtId="0" fontId="45" fillId="0" borderId="0" xfId="0" applyFont="1" applyFill="1" applyBorder="1" applyAlignment="1">
      <alignment horizontal="right"/>
    </xf>
    <xf numFmtId="0" fontId="44" fillId="0" borderId="0" xfId="0" applyFont="1" applyFill="1" applyBorder="1" applyAlignment="1">
      <alignment horizontal="right"/>
    </xf>
    <xf numFmtId="9" fontId="60" fillId="13" borderId="7" xfId="1" applyFont="1" applyFill="1" applyBorder="1" applyAlignment="1">
      <alignment horizontal="right" vertical="center"/>
    </xf>
    <xf numFmtId="0" fontId="61" fillId="0" borderId="8" xfId="0" applyFont="1" applyBorder="1" applyAlignment="1">
      <alignment horizontal="justify" vertical="center" wrapText="1"/>
    </xf>
    <xf numFmtId="9" fontId="59" fillId="18" borderId="8" xfId="1" applyFont="1" applyFill="1" applyBorder="1" applyAlignment="1">
      <alignment horizontal="right" vertical="center"/>
    </xf>
    <xf numFmtId="9" fontId="59" fillId="18" borderId="54" xfId="1" applyFont="1" applyFill="1" applyBorder="1" applyAlignment="1">
      <alignment horizontal="right" vertical="center"/>
    </xf>
    <xf numFmtId="1" fontId="60" fillId="13" borderId="37" xfId="1" applyNumberFormat="1" applyFont="1" applyFill="1" applyBorder="1" applyAlignment="1">
      <alignment horizontal="right" vertical="center"/>
    </xf>
    <xf numFmtId="1" fontId="60" fillId="13" borderId="7" xfId="1" applyNumberFormat="1" applyFont="1" applyFill="1" applyBorder="1" applyAlignment="1">
      <alignment horizontal="right" vertical="center"/>
    </xf>
    <xf numFmtId="0" fontId="61" fillId="0" borderId="16" xfId="0" applyFont="1" applyBorder="1" applyAlignment="1">
      <alignment horizontal="justify" vertical="center" wrapText="1"/>
    </xf>
    <xf numFmtId="0" fontId="55" fillId="0" borderId="0" xfId="0" applyFont="1" applyBorder="1" applyAlignment="1">
      <alignment horizontal="center" vertical="center" wrapText="1"/>
    </xf>
    <xf numFmtId="9" fontId="56" fillId="13" borderId="44"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61" fillId="0" borderId="8" xfId="0" applyFont="1" applyFill="1" applyBorder="1" applyAlignment="1">
      <alignment horizontal="justify" vertical="center" wrapText="1"/>
    </xf>
    <xf numFmtId="0" fontId="55" fillId="0" borderId="23" xfId="0" applyFont="1" applyBorder="1" applyAlignment="1">
      <alignment horizontal="center" vertical="center" wrapText="1"/>
    </xf>
    <xf numFmtId="0" fontId="55" fillId="0" borderId="44" xfId="0" applyFont="1" applyBorder="1" applyAlignment="1">
      <alignment horizontal="center" vertical="center" wrapText="1"/>
    </xf>
    <xf numFmtId="0" fontId="55" fillId="0" borderId="23" xfId="0" applyNumberFormat="1" applyFont="1" applyBorder="1" applyAlignment="1">
      <alignment horizontal="center" vertical="center" wrapText="1"/>
    </xf>
    <xf numFmtId="0" fontId="55" fillId="0" borderId="44" xfId="0" applyNumberFormat="1" applyFont="1" applyBorder="1" applyAlignment="1">
      <alignment horizontal="center" vertical="center" wrapText="1"/>
    </xf>
    <xf numFmtId="0" fontId="55" fillId="0" borderId="22" xfId="0" applyNumberFormat="1" applyFont="1" applyBorder="1" applyAlignment="1">
      <alignment horizontal="center" vertical="center" wrapText="1"/>
    </xf>
    <xf numFmtId="0" fontId="55" fillId="0" borderId="41" xfId="0" applyNumberFormat="1" applyFont="1" applyBorder="1" applyAlignment="1">
      <alignment horizontal="center" vertical="center" wrapText="1"/>
    </xf>
    <xf numFmtId="0" fontId="55" fillId="0" borderId="21" xfId="0" applyNumberFormat="1" applyFont="1" applyBorder="1" applyAlignment="1">
      <alignment horizontal="center" vertical="center" wrapText="1"/>
    </xf>
    <xf numFmtId="0" fontId="55" fillId="0" borderId="40" xfId="0" applyNumberFormat="1" applyFont="1" applyBorder="1" applyAlignment="1">
      <alignment horizontal="center" vertical="center" wrapText="1"/>
    </xf>
    <xf numFmtId="166" fontId="52" fillId="0" borderId="0" xfId="1" applyNumberFormat="1" applyFont="1" applyFill="1" applyBorder="1" applyAlignment="1">
      <alignment horizontal="center" vertical="center"/>
    </xf>
    <xf numFmtId="1" fontId="52" fillId="0" borderId="0" xfId="1" applyNumberFormat="1" applyFont="1" applyFill="1" applyBorder="1" applyAlignment="1">
      <alignment horizontal="center" vertical="center"/>
    </xf>
    <xf numFmtId="9" fontId="56" fillId="13" borderId="41" xfId="0" applyNumberFormat="1" applyFont="1" applyFill="1" applyBorder="1" applyAlignment="1">
      <alignment horizontal="center" vertical="center"/>
    </xf>
    <xf numFmtId="166" fontId="52" fillId="13" borderId="0" xfId="1" applyNumberFormat="1" applyFont="1" applyFill="1" applyBorder="1" applyAlignment="1">
      <alignment horizontal="center" vertical="center"/>
    </xf>
    <xf numFmtId="1" fontId="52" fillId="13" borderId="0" xfId="1" applyNumberFormat="1" applyFont="1" applyFill="1" applyBorder="1" applyAlignment="1">
      <alignment horizontal="center" vertical="center"/>
    </xf>
    <xf numFmtId="0" fontId="62" fillId="13" borderId="0" xfId="0" applyFont="1" applyFill="1" applyBorder="1" applyAlignment="1">
      <alignment horizontal="center"/>
    </xf>
    <xf numFmtId="1" fontId="56" fillId="13" borderId="22" xfId="1" applyNumberFormat="1" applyFont="1" applyFill="1" applyBorder="1" applyAlignment="1">
      <alignment horizontal="center" vertical="center"/>
    </xf>
    <xf numFmtId="1" fontId="56" fillId="13" borderId="32" xfId="1" applyNumberFormat="1" applyFont="1" applyFill="1" applyBorder="1" applyAlignment="1">
      <alignment horizontal="center" vertical="center"/>
    </xf>
    <xf numFmtId="166" fontId="52" fillId="13" borderId="21" xfId="1" applyNumberFormat="1" applyFont="1" applyFill="1" applyBorder="1" applyAlignment="1">
      <alignment horizontal="center" vertical="center"/>
    </xf>
    <xf numFmtId="9" fontId="52" fillId="14" borderId="40" xfId="1" applyFont="1" applyFill="1" applyBorder="1" applyAlignment="1">
      <alignment horizontal="center" vertical="center"/>
    </xf>
    <xf numFmtId="166" fontId="52" fillId="14" borderId="33" xfId="1" applyNumberFormat="1" applyFont="1" applyFill="1" applyBorder="1" applyAlignment="1">
      <alignment horizontal="center" vertical="center"/>
    </xf>
    <xf numFmtId="166" fontId="52" fillId="14" borderId="0" xfId="1" applyNumberFormat="1" applyFont="1" applyFill="1" applyBorder="1" applyAlignment="1">
      <alignment horizontal="center" vertical="center"/>
    </xf>
    <xf numFmtId="166" fontId="52" fillId="13" borderId="40" xfId="1" applyNumberFormat="1" applyFont="1" applyFill="1" applyBorder="1" applyAlignment="1">
      <alignment horizontal="center" vertical="center"/>
    </xf>
    <xf numFmtId="166" fontId="52" fillId="0" borderId="21" xfId="1" applyNumberFormat="1" applyFont="1" applyFill="1" applyBorder="1" applyAlignment="1">
      <alignment horizontal="center" vertical="center"/>
    </xf>
    <xf numFmtId="9" fontId="52" fillId="0" borderId="40" xfId="1" applyFont="1" applyFill="1" applyBorder="1" applyAlignment="1">
      <alignment horizontal="center" vertical="center"/>
    </xf>
    <xf numFmtId="166" fontId="52" fillId="0" borderId="33" xfId="1" applyNumberFormat="1" applyFont="1" applyFill="1" applyBorder="1" applyAlignment="1">
      <alignment horizontal="center" vertical="center"/>
    </xf>
    <xf numFmtId="166" fontId="52" fillId="0" borderId="40" xfId="1" applyNumberFormat="1" applyFont="1" applyFill="1" applyBorder="1" applyAlignment="1">
      <alignment horizontal="center" vertical="center"/>
    </xf>
    <xf numFmtId="9" fontId="59" fillId="13" borderId="1" xfId="1" applyFont="1" applyFill="1" applyBorder="1" applyAlignment="1">
      <alignment horizontal="right" vertical="center"/>
    </xf>
    <xf numFmtId="9" fontId="59" fillId="13" borderId="24" xfId="1" applyFont="1" applyFill="1" applyBorder="1" applyAlignment="1">
      <alignment horizontal="right" vertical="center"/>
    </xf>
    <xf numFmtId="9" fontId="56" fillId="13" borderId="21" xfId="1" applyFont="1" applyFill="1" applyBorder="1" applyAlignment="1">
      <alignment horizontal="center" vertical="center"/>
    </xf>
    <xf numFmtId="9" fontId="59" fillId="13" borderId="65" xfId="1" applyFont="1" applyFill="1" applyBorder="1" applyAlignment="1">
      <alignment horizontal="right" vertical="center"/>
    </xf>
    <xf numFmtId="9" fontId="59" fillId="13" borderId="55" xfId="1" applyFont="1" applyFill="1" applyBorder="1" applyAlignment="1">
      <alignment horizontal="right" vertical="center"/>
    </xf>
    <xf numFmtId="9" fontId="60" fillId="13" borderId="5" xfId="1" applyFont="1" applyFill="1" applyBorder="1" applyAlignment="1">
      <alignment horizontal="right" vertical="center"/>
    </xf>
    <xf numFmtId="0" fontId="44" fillId="0" borderId="0" xfId="0" applyFont="1" applyAlignment="1">
      <alignment horizontal="center" vertical="center" wrapText="1"/>
    </xf>
    <xf numFmtId="49" fontId="65" fillId="12" borderId="32" xfId="0" applyNumberFormat="1" applyFont="1" applyFill="1" applyBorder="1" applyAlignment="1">
      <alignment horizontal="center" vertical="center" wrapText="1"/>
    </xf>
    <xf numFmtId="3" fontId="65" fillId="0" borderId="0" xfId="0" applyNumberFormat="1" applyFont="1" applyFill="1" applyBorder="1" applyAlignment="1">
      <alignment horizontal="center" vertical="center" wrapText="1"/>
    </xf>
    <xf numFmtId="1" fontId="44" fillId="0" borderId="0" xfId="0" applyNumberFormat="1" applyFont="1" applyAlignment="1">
      <alignment horizontal="center" vertical="center" wrapText="1"/>
    </xf>
    <xf numFmtId="49" fontId="65" fillId="12" borderId="0" xfId="0" applyNumberFormat="1" applyFont="1" applyFill="1" applyBorder="1" applyAlignment="1">
      <alignment horizontal="center" vertical="center" wrapText="1"/>
    </xf>
    <xf numFmtId="49" fontId="65" fillId="16" borderId="13" xfId="0" applyNumberFormat="1" applyFont="1" applyFill="1" applyBorder="1" applyAlignment="1">
      <alignment horizontal="center" vertical="center" wrapText="1"/>
    </xf>
    <xf numFmtId="3" fontId="67" fillId="0" borderId="0" xfId="0" applyNumberFormat="1" applyFont="1" applyFill="1" applyBorder="1" applyAlignment="1">
      <alignment horizontal="center" vertical="center" wrapText="1"/>
    </xf>
    <xf numFmtId="3" fontId="68" fillId="0" borderId="0" xfId="0" applyNumberFormat="1" applyFont="1" applyFill="1" applyBorder="1" applyAlignment="1">
      <alignment horizontal="center" vertical="center" wrapText="1"/>
    </xf>
    <xf numFmtId="3" fontId="65" fillId="16" borderId="21" xfId="0" applyNumberFormat="1" applyFont="1" applyFill="1" applyBorder="1" applyAlignment="1">
      <alignment horizontal="center" vertical="center" wrapText="1"/>
    </xf>
    <xf numFmtId="3" fontId="65" fillId="16" borderId="13" xfId="0" applyNumberFormat="1" applyFont="1" applyFill="1" applyBorder="1" applyAlignment="1">
      <alignment horizontal="center" vertical="center" wrapText="1"/>
    </xf>
    <xf numFmtId="0" fontId="44" fillId="0" borderId="0" xfId="0" applyFont="1" applyFill="1" applyBorder="1" applyAlignment="1">
      <alignment horizontal="centerContinuous" vertical="center"/>
    </xf>
    <xf numFmtId="0" fontId="60" fillId="0" borderId="0" xfId="0" applyFont="1" applyBorder="1" applyAlignment="1"/>
    <xf numFmtId="0" fontId="71" fillId="0" borderId="0" xfId="0" applyFont="1" applyBorder="1" applyAlignment="1">
      <alignment vertical="center"/>
    </xf>
    <xf numFmtId="0" fontId="20" fillId="0" borderId="10" xfId="0" applyFont="1" applyBorder="1" applyAlignment="1">
      <alignment vertical="center"/>
    </xf>
    <xf numFmtId="9" fontId="39" fillId="10" borderId="9" xfId="0" applyNumberFormat="1" applyFont="1" applyFill="1" applyBorder="1" applyAlignment="1">
      <alignment horizontal="center" vertical="center" wrapText="1" readingOrder="1"/>
    </xf>
    <xf numFmtId="0" fontId="39" fillId="10" borderId="9" xfId="0" applyFont="1" applyFill="1" applyBorder="1" applyAlignment="1">
      <alignment horizontal="center" vertical="center" wrapText="1" readingOrder="1"/>
    </xf>
    <xf numFmtId="9" fontId="44" fillId="0" borderId="0" xfId="1" applyFont="1" applyFill="1" applyBorder="1"/>
    <xf numFmtId="9" fontId="44" fillId="0" borderId="0" xfId="0" applyNumberFormat="1" applyFont="1" applyFill="1" applyBorder="1"/>
    <xf numFmtId="0" fontId="20" fillId="0" borderId="8" xfId="0" applyFont="1" applyBorder="1" applyAlignment="1">
      <alignment vertical="center"/>
    </xf>
    <xf numFmtId="9" fontId="39" fillId="7" borderId="7" xfId="0" applyNumberFormat="1" applyFont="1" applyFill="1" applyBorder="1" applyAlignment="1">
      <alignment horizontal="center" vertical="center" wrapText="1" readingOrder="1"/>
    </xf>
    <xf numFmtId="0" fontId="39" fillId="6" borderId="7" xfId="0" applyFont="1" applyFill="1" applyBorder="1" applyAlignment="1">
      <alignment horizontal="center" vertical="center" wrapText="1" readingOrder="1"/>
    </xf>
    <xf numFmtId="0" fontId="68" fillId="0" borderId="0" xfId="0" applyFont="1" applyBorder="1"/>
    <xf numFmtId="10" fontId="44" fillId="0" borderId="0" xfId="0" applyNumberFormat="1" applyFont="1" applyFill="1" applyBorder="1"/>
    <xf numFmtId="0" fontId="39" fillId="5" borderId="7" xfId="0" applyFont="1" applyFill="1" applyBorder="1" applyAlignment="1">
      <alignment horizontal="center" vertical="center" wrapText="1" readingOrder="1"/>
    </xf>
    <xf numFmtId="0" fontId="39" fillId="11" borderId="7" xfId="0" applyFont="1" applyFill="1" applyBorder="1" applyAlignment="1">
      <alignment horizontal="center" vertical="center" wrapText="1" readingOrder="1"/>
    </xf>
    <xf numFmtId="0" fontId="20" fillId="0" borderId="16" xfId="0" applyFont="1" applyBorder="1" applyAlignment="1">
      <alignment vertical="center"/>
    </xf>
    <xf numFmtId="0" fontId="38" fillId="0" borderId="37" xfId="0" applyFont="1" applyBorder="1" applyAlignment="1">
      <alignment horizontal="center" vertical="center"/>
    </xf>
    <xf numFmtId="0" fontId="21" fillId="0" borderId="0" xfId="0" applyFont="1" applyAlignment="1">
      <alignment horizontal="center" vertical="center"/>
    </xf>
    <xf numFmtId="0" fontId="72" fillId="0" borderId="0" xfId="0" applyFont="1" applyAlignment="1">
      <alignment horizontal="center" vertical="center"/>
    </xf>
    <xf numFmtId="1" fontId="12" fillId="0" borderId="0" xfId="0" applyNumberFormat="1" applyFont="1"/>
    <xf numFmtId="0" fontId="27" fillId="0" borderId="56" xfId="0" applyFont="1" applyBorder="1" applyAlignment="1">
      <alignment horizontal="center"/>
    </xf>
    <xf numFmtId="0" fontId="35" fillId="2" borderId="0" xfId="2" applyFont="1" applyFill="1" applyBorder="1" applyAlignment="1">
      <alignment horizontal="center" vertical="center"/>
    </xf>
    <xf numFmtId="0" fontId="20" fillId="0" borderId="0" xfId="0" applyFont="1" applyBorder="1" applyAlignment="1">
      <alignment vertical="center"/>
    </xf>
    <xf numFmtId="3" fontId="65" fillId="16" borderId="33" xfId="0" applyNumberFormat="1" applyFont="1" applyFill="1" applyBorder="1" applyAlignment="1">
      <alignment horizontal="center" vertical="center" wrapText="1"/>
    </xf>
    <xf numFmtId="0" fontId="44" fillId="0" borderId="19" xfId="0" applyFont="1" applyBorder="1" applyAlignment="1">
      <alignment horizontal="justify" vertical="center" wrapText="1"/>
    </xf>
    <xf numFmtId="0" fontId="44" fillId="0" borderId="20" xfId="0" applyFont="1" applyBorder="1" applyAlignment="1">
      <alignment horizontal="justify" vertical="center" wrapText="1"/>
    </xf>
    <xf numFmtId="0" fontId="44" fillId="0" borderId="2" xfId="0" applyFont="1" applyBorder="1" applyAlignment="1">
      <alignment horizontal="justify" vertical="center" wrapText="1"/>
    </xf>
    <xf numFmtId="9" fontId="59" fillId="18" borderId="2" xfId="1" applyFont="1" applyFill="1" applyBorder="1" applyAlignment="1">
      <alignment horizontal="right" vertical="center"/>
    </xf>
    <xf numFmtId="0" fontId="44" fillId="0" borderId="24" xfId="0" applyFont="1" applyBorder="1" applyAlignment="1">
      <alignment horizontal="justify" vertical="center" wrapText="1"/>
    </xf>
    <xf numFmtId="49" fontId="65" fillId="16" borderId="30" xfId="0" applyNumberFormat="1" applyFont="1" applyFill="1" applyBorder="1" applyAlignment="1">
      <alignment horizontal="center" vertical="center" wrapText="1"/>
    </xf>
    <xf numFmtId="0" fontId="45" fillId="0" borderId="0" xfId="0" applyFont="1" applyFill="1" applyBorder="1"/>
    <xf numFmtId="0" fontId="45" fillId="0" borderId="0" xfId="0" applyFont="1" applyBorder="1"/>
    <xf numFmtId="49" fontId="65" fillId="16" borderId="71" xfId="0" applyNumberFormat="1" applyFont="1" applyFill="1" applyBorder="1" applyAlignment="1">
      <alignment horizontal="center" vertical="center" wrapText="1"/>
    </xf>
    <xf numFmtId="9" fontId="59" fillId="18" borderId="55" xfId="1" applyFont="1" applyFill="1" applyBorder="1" applyAlignment="1">
      <alignment horizontal="right" vertical="center"/>
    </xf>
    <xf numFmtId="9" fontId="59" fillId="18" borderId="6" xfId="1" applyFont="1" applyFill="1" applyBorder="1" applyAlignment="1">
      <alignment horizontal="right" vertical="center"/>
    </xf>
    <xf numFmtId="0" fontId="44" fillId="0" borderId="17"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center" vertical="center" wrapText="1"/>
    </xf>
    <xf numFmtId="9" fontId="59" fillId="18" borderId="16" xfId="1" applyFont="1" applyFill="1" applyBorder="1" applyAlignment="1">
      <alignment horizontal="right" vertical="center"/>
    </xf>
    <xf numFmtId="9" fontId="60" fillId="13" borderId="37" xfId="1" applyFont="1" applyFill="1" applyBorder="1" applyAlignment="1">
      <alignment horizontal="right" vertical="center"/>
    </xf>
    <xf numFmtId="9" fontId="59" fillId="13" borderId="18" xfId="1" applyFont="1" applyFill="1" applyBorder="1" applyAlignment="1">
      <alignment horizontal="right" vertical="center"/>
    </xf>
    <xf numFmtId="9" fontId="59" fillId="13" borderId="16" xfId="1" applyFont="1" applyFill="1" applyBorder="1" applyAlignment="1">
      <alignment horizontal="right" vertical="center"/>
    </xf>
    <xf numFmtId="0" fontId="44" fillId="0" borderId="17" xfId="0" applyFont="1" applyBorder="1" applyAlignment="1">
      <alignment horizontal="justify" vertical="center" wrapText="1"/>
    </xf>
    <xf numFmtId="0" fontId="61" fillId="0" borderId="16" xfId="0" applyFont="1" applyFill="1" applyBorder="1" applyAlignment="1">
      <alignment horizontal="justify" vertical="center" wrapText="1"/>
    </xf>
    <xf numFmtId="0" fontId="44" fillId="0" borderId="4" xfId="0" applyFont="1" applyFill="1" applyBorder="1" applyAlignment="1">
      <alignment horizontal="justify" vertical="center" wrapText="1"/>
    </xf>
    <xf numFmtId="0" fontId="44" fillId="0" borderId="1"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44" fillId="0" borderId="1" xfId="0" applyFont="1" applyBorder="1" applyAlignment="1">
      <alignment horizontal="justify" vertical="center" wrapText="1"/>
    </xf>
    <xf numFmtId="9" fontId="28" fillId="0" borderId="1" xfId="0" applyNumberFormat="1" applyFont="1" applyFill="1" applyBorder="1" applyAlignment="1">
      <alignment horizontal="right" vertical="center"/>
    </xf>
    <xf numFmtId="0" fontId="2" fillId="0" borderId="0" xfId="0" applyFont="1" applyAlignment="1">
      <alignment horizontal="center"/>
    </xf>
    <xf numFmtId="0" fontId="0" fillId="0" borderId="0" xfId="0" applyBorder="1" applyAlignment="1">
      <alignment horizontal="center"/>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4" fillId="0" borderId="1" xfId="0" applyFont="1" applyBorder="1" applyAlignment="1">
      <alignment horizontal="justify" vertical="center" wrapText="1"/>
    </xf>
    <xf numFmtId="9" fontId="59" fillId="13" borderId="4" xfId="1" applyFont="1" applyFill="1" applyBorder="1" applyAlignment="1">
      <alignment horizontal="right" vertical="center"/>
    </xf>
    <xf numFmtId="9" fontId="59" fillId="13" borderId="17" xfId="1" applyFont="1" applyFill="1" applyBorder="1" applyAlignment="1">
      <alignment horizontal="right" vertical="center"/>
    </xf>
    <xf numFmtId="9" fontId="59" fillId="13" borderId="18"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60" fillId="13" borderId="37" xfId="1" applyFont="1" applyFill="1" applyBorder="1" applyAlignment="1">
      <alignment horizontal="right" vertical="center"/>
    </xf>
    <xf numFmtId="9" fontId="59" fillId="18" borderId="12" xfId="1" applyFont="1" applyFill="1" applyBorder="1" applyAlignment="1">
      <alignment horizontal="right" vertical="center"/>
    </xf>
    <xf numFmtId="9" fontId="59" fillId="18" borderId="16" xfId="1" applyFont="1" applyFill="1" applyBorder="1" applyAlignment="1">
      <alignment horizontal="right" vertical="center"/>
    </xf>
    <xf numFmtId="0" fontId="28" fillId="0" borderId="1" xfId="0" applyFont="1" applyFill="1" applyBorder="1" applyAlignment="1">
      <alignment vertical="center" wrapText="1"/>
    </xf>
    <xf numFmtId="0" fontId="44" fillId="0" borderId="54" xfId="0" applyFont="1" applyBorder="1" applyAlignment="1">
      <alignment horizontal="center" vertical="center" wrapText="1"/>
    </xf>
    <xf numFmtId="0" fontId="44" fillId="0" borderId="19" xfId="0" applyFont="1" applyBorder="1" applyAlignment="1">
      <alignment horizontal="center" vertical="center" wrapText="1"/>
    </xf>
    <xf numFmtId="0" fontId="63" fillId="0" borderId="1" xfId="0" applyFont="1" applyBorder="1" applyAlignment="1">
      <alignment horizontal="justify" vertical="center" wrapText="1"/>
    </xf>
    <xf numFmtId="0" fontId="44" fillId="0"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61" fillId="0" borderId="8" xfId="0" applyFont="1" applyBorder="1" applyAlignment="1">
      <alignment horizontal="center" vertical="center" wrapText="1"/>
    </xf>
    <xf numFmtId="0" fontId="44" fillId="0" borderId="0" xfId="0" applyFont="1" applyAlignment="1">
      <alignment horizontal="right"/>
    </xf>
    <xf numFmtId="0" fontId="44" fillId="0" borderId="17" xfId="0" applyFont="1" applyFill="1" applyBorder="1" applyAlignment="1">
      <alignment horizontal="center" vertical="center" wrapText="1"/>
    </xf>
    <xf numFmtId="0" fontId="44" fillId="0" borderId="17" xfId="0" applyFont="1" applyBorder="1" applyAlignment="1">
      <alignment horizontal="center" vertical="center" wrapText="1"/>
    </xf>
    <xf numFmtId="0" fontId="44" fillId="0" borderId="17"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27" fillId="0" borderId="25" xfId="0" applyFont="1" applyBorder="1" applyAlignment="1">
      <alignment horizontal="center"/>
    </xf>
    <xf numFmtId="9" fontId="51" fillId="11" borderId="36" xfId="1" applyFont="1" applyFill="1" applyBorder="1" applyAlignment="1">
      <alignment horizontal="right" vertical="center"/>
    </xf>
    <xf numFmtId="3" fontId="70" fillId="16" borderId="45" xfId="0" applyNumberFormat="1" applyFont="1" applyFill="1" applyBorder="1" applyAlignment="1">
      <alignment horizontal="center" vertical="center" wrapText="1"/>
    </xf>
    <xf numFmtId="0" fontId="40" fillId="0" borderId="0" xfId="0" applyFont="1" applyAlignment="1">
      <alignment horizontal="justify" vertical="center" wrapText="1"/>
    </xf>
    <xf numFmtId="9" fontId="70" fillId="16" borderId="21" xfId="1" applyFont="1" applyFill="1" applyBorder="1" applyAlignment="1">
      <alignment horizontal="center" vertical="center" wrapText="1"/>
    </xf>
    <xf numFmtId="0" fontId="40" fillId="0" borderId="0" xfId="0" applyFont="1"/>
    <xf numFmtId="0" fontId="40" fillId="0" borderId="52" xfId="0" applyFont="1" applyBorder="1" applyAlignment="1">
      <alignment horizontal="justify" vertical="center" wrapText="1"/>
    </xf>
    <xf numFmtId="9" fontId="74" fillId="13" borderId="52" xfId="1" applyFont="1" applyFill="1" applyBorder="1" applyAlignment="1">
      <alignment horizontal="center" vertical="center"/>
    </xf>
    <xf numFmtId="9" fontId="72" fillId="13" borderId="60" xfId="1" applyFont="1" applyFill="1" applyBorder="1" applyAlignment="1">
      <alignment horizontal="center" vertical="center"/>
    </xf>
    <xf numFmtId="9" fontId="72" fillId="13" borderId="24" xfId="1" applyFont="1" applyFill="1" applyBorder="1" applyAlignment="1">
      <alignment horizontal="center" vertical="center"/>
    </xf>
    <xf numFmtId="9" fontId="72" fillId="13" borderId="6" xfId="1" applyFont="1" applyFill="1" applyBorder="1" applyAlignment="1">
      <alignment horizontal="center" vertical="center"/>
    </xf>
    <xf numFmtId="9" fontId="74" fillId="13" borderId="5" xfId="1" applyNumberFormat="1" applyFont="1" applyFill="1" applyBorder="1" applyAlignment="1">
      <alignment horizontal="center" vertical="center"/>
    </xf>
    <xf numFmtId="9" fontId="72" fillId="13" borderId="5" xfId="1" applyNumberFormat="1" applyFont="1" applyFill="1" applyBorder="1" applyAlignment="1">
      <alignment horizontal="center" vertical="center"/>
    </xf>
    <xf numFmtId="9" fontId="72" fillId="13" borderId="24" xfId="1" applyNumberFormat="1" applyFont="1" applyFill="1" applyBorder="1" applyAlignment="1">
      <alignment horizontal="center" vertical="center"/>
    </xf>
    <xf numFmtId="9" fontId="72" fillId="13" borderId="6" xfId="1" applyNumberFormat="1" applyFont="1" applyFill="1" applyBorder="1" applyAlignment="1">
      <alignment horizontal="center" vertical="center"/>
    </xf>
    <xf numFmtId="9" fontId="75" fillId="13" borderId="52" xfId="1" applyFont="1" applyFill="1" applyBorder="1" applyAlignment="1">
      <alignment horizontal="center" vertical="center"/>
    </xf>
    <xf numFmtId="9" fontId="74" fillId="13" borderId="62" xfId="1" applyFont="1" applyFill="1" applyBorder="1" applyAlignment="1">
      <alignment horizontal="center" vertical="center"/>
    </xf>
    <xf numFmtId="9" fontId="72" fillId="13" borderId="55" xfId="1" applyNumberFormat="1" applyFont="1" applyFill="1" applyBorder="1" applyAlignment="1">
      <alignment horizontal="center" vertical="center"/>
    </xf>
    <xf numFmtId="0" fontId="40" fillId="0" borderId="0" xfId="0" applyFont="1" applyAlignment="1">
      <alignment horizontal="center"/>
    </xf>
    <xf numFmtId="9" fontId="72" fillId="13" borderId="5" xfId="1" applyFont="1" applyFill="1" applyBorder="1" applyAlignment="1">
      <alignment horizontal="center" vertical="center"/>
    </xf>
    <xf numFmtId="9" fontId="75" fillId="0" borderId="52" xfId="1" applyFont="1" applyFill="1" applyBorder="1" applyAlignment="1">
      <alignment horizontal="center" vertical="center"/>
    </xf>
    <xf numFmtId="0" fontId="40" fillId="0" borderId="48" xfId="0" applyFont="1" applyBorder="1" applyAlignment="1">
      <alignment horizontal="justify" vertical="center" wrapText="1"/>
    </xf>
    <xf numFmtId="9" fontId="74" fillId="13" borderId="48" xfId="1" applyFont="1" applyFill="1" applyBorder="1" applyAlignment="1">
      <alignment horizontal="center" vertical="center"/>
    </xf>
    <xf numFmtId="9" fontId="72" fillId="13" borderId="39" xfId="1" applyFont="1" applyFill="1" applyBorder="1" applyAlignment="1">
      <alignment horizontal="center" vertical="center"/>
    </xf>
    <xf numFmtId="9" fontId="72" fillId="13" borderId="1" xfId="1" applyFont="1" applyFill="1" applyBorder="1" applyAlignment="1">
      <alignment horizontal="center" vertical="center"/>
    </xf>
    <xf numFmtId="9" fontId="72" fillId="13" borderId="8" xfId="1" applyFont="1" applyFill="1" applyBorder="1" applyAlignment="1">
      <alignment horizontal="center" vertical="center"/>
    </xf>
    <xf numFmtId="9" fontId="74" fillId="13" borderId="37" xfId="1" applyNumberFormat="1" applyFont="1" applyFill="1" applyBorder="1" applyAlignment="1">
      <alignment horizontal="center" vertical="center"/>
    </xf>
    <xf numFmtId="9" fontId="72" fillId="13" borderId="7" xfId="1" applyNumberFormat="1" applyFont="1" applyFill="1" applyBorder="1" applyAlignment="1">
      <alignment horizontal="center" vertical="center"/>
    </xf>
    <xf numFmtId="9" fontId="72" fillId="13" borderId="1" xfId="1" applyNumberFormat="1" applyFont="1" applyFill="1" applyBorder="1" applyAlignment="1">
      <alignment horizontal="center" vertical="center"/>
    </xf>
    <xf numFmtId="9" fontId="72" fillId="13" borderId="8" xfId="1" applyNumberFormat="1" applyFont="1" applyFill="1" applyBorder="1" applyAlignment="1">
      <alignment horizontal="center" vertical="center"/>
    </xf>
    <xf numFmtId="9" fontId="75" fillId="13" borderId="48" xfId="1" applyNumberFormat="1" applyFont="1" applyFill="1" applyBorder="1" applyAlignment="1">
      <alignment horizontal="center" vertical="center"/>
    </xf>
    <xf numFmtId="9" fontId="74" fillId="13" borderId="46" xfId="1" applyFont="1" applyFill="1" applyBorder="1" applyAlignment="1">
      <alignment horizontal="center" vertical="center"/>
    </xf>
    <xf numFmtId="9" fontId="72" fillId="13" borderId="54" xfId="1" applyNumberFormat="1" applyFont="1" applyFill="1" applyBorder="1" applyAlignment="1">
      <alignment horizontal="center" vertical="center"/>
    </xf>
    <xf numFmtId="9" fontId="72" fillId="13" borderId="7" xfId="1" applyFont="1" applyFill="1" applyBorder="1" applyAlignment="1">
      <alignment horizontal="center" vertical="center"/>
    </xf>
    <xf numFmtId="9" fontId="75" fillId="0" borderId="48" xfId="1" applyNumberFormat="1" applyFont="1" applyFill="1" applyBorder="1" applyAlignment="1">
      <alignment horizontal="center" vertical="center"/>
    </xf>
    <xf numFmtId="0" fontId="40" fillId="0" borderId="49" xfId="0" applyFont="1" applyBorder="1" applyAlignment="1">
      <alignment horizontal="justify" vertical="center" wrapText="1"/>
    </xf>
    <xf numFmtId="9" fontId="74" fillId="13" borderId="49" xfId="1" applyFont="1" applyFill="1" applyBorder="1" applyAlignment="1">
      <alignment horizontal="center" vertical="center"/>
    </xf>
    <xf numFmtId="9" fontId="72" fillId="13" borderId="61" xfId="1" applyFont="1" applyFill="1" applyBorder="1" applyAlignment="1">
      <alignment horizontal="center" vertical="center"/>
    </xf>
    <xf numFmtId="9" fontId="72" fillId="13" borderId="25" xfId="1" applyFont="1" applyFill="1" applyBorder="1" applyAlignment="1">
      <alignment horizontal="center" vertical="center"/>
    </xf>
    <xf numFmtId="9" fontId="72" fillId="13" borderId="10" xfId="1" applyFont="1" applyFill="1" applyBorder="1" applyAlignment="1">
      <alignment horizontal="center" vertical="center"/>
    </xf>
    <xf numFmtId="9" fontId="74" fillId="13" borderId="15" xfId="1" applyFont="1" applyFill="1" applyBorder="1" applyAlignment="1">
      <alignment horizontal="center" vertical="center"/>
    </xf>
    <xf numFmtId="9" fontId="72" fillId="13" borderId="9" xfId="1" applyNumberFormat="1" applyFont="1" applyFill="1" applyBorder="1" applyAlignment="1">
      <alignment horizontal="center" vertical="center"/>
    </xf>
    <xf numFmtId="9" fontId="72" fillId="13" borderId="25" xfId="1" applyNumberFormat="1" applyFont="1" applyFill="1" applyBorder="1" applyAlignment="1">
      <alignment horizontal="center" vertical="center"/>
    </xf>
    <xf numFmtId="9" fontId="72" fillId="13" borderId="10" xfId="1" applyNumberFormat="1" applyFont="1" applyFill="1" applyBorder="1" applyAlignment="1">
      <alignment horizontal="center" vertical="center"/>
    </xf>
    <xf numFmtId="9" fontId="75" fillId="13" borderId="49" xfId="1" applyNumberFormat="1" applyFont="1" applyFill="1" applyBorder="1" applyAlignment="1">
      <alignment horizontal="center" vertical="center"/>
    </xf>
    <xf numFmtId="9" fontId="74" fillId="13" borderId="63" xfId="1" applyFont="1" applyFill="1" applyBorder="1" applyAlignment="1">
      <alignment horizontal="center" vertical="center"/>
    </xf>
    <xf numFmtId="9" fontId="72" fillId="13" borderId="56" xfId="1" applyNumberFormat="1" applyFont="1" applyFill="1" applyBorder="1" applyAlignment="1">
      <alignment horizontal="center" vertical="center"/>
    </xf>
    <xf numFmtId="9" fontId="72" fillId="13" borderId="9" xfId="1" applyFont="1" applyFill="1" applyBorder="1" applyAlignment="1">
      <alignment horizontal="center" vertical="center"/>
    </xf>
    <xf numFmtId="9" fontId="75" fillId="0" borderId="49" xfId="1" applyNumberFormat="1" applyFont="1" applyFill="1" applyBorder="1" applyAlignment="1">
      <alignment horizontal="center" vertical="center"/>
    </xf>
    <xf numFmtId="0" fontId="40" fillId="0" borderId="23" xfId="0" applyFont="1" applyBorder="1" applyAlignment="1">
      <alignment horizontal="justify" vertical="center" wrapText="1"/>
    </xf>
    <xf numFmtId="0" fontId="76" fillId="0" borderId="0" xfId="0" applyFont="1"/>
    <xf numFmtId="0" fontId="73" fillId="0" borderId="0" xfId="0" applyFont="1" applyBorder="1" applyAlignment="1">
      <alignment horizontal="center"/>
    </xf>
    <xf numFmtId="0" fontId="73" fillId="0" borderId="0" xfId="0" applyFont="1" applyFill="1" applyBorder="1" applyAlignment="1">
      <alignment horizontal="center"/>
    </xf>
    <xf numFmtId="3" fontId="65" fillId="16" borderId="45" xfId="0" applyNumberFormat="1" applyFont="1" applyFill="1" applyBorder="1" applyAlignment="1">
      <alignment horizontal="center" vertical="center" wrapText="1"/>
    </xf>
    <xf numFmtId="9" fontId="75" fillId="13" borderId="45" xfId="1" applyFont="1" applyFill="1" applyBorder="1" applyAlignment="1">
      <alignment horizontal="center" vertical="center"/>
    </xf>
    <xf numFmtId="9" fontId="72" fillId="13" borderId="71" xfId="1" applyFont="1" applyFill="1" applyBorder="1" applyAlignment="1">
      <alignment horizontal="center" vertical="center"/>
    </xf>
    <xf numFmtId="9" fontId="72" fillId="13" borderId="42" xfId="1" applyFont="1" applyFill="1" applyBorder="1" applyAlignment="1">
      <alignment horizontal="center" vertical="center"/>
    </xf>
    <xf numFmtId="9" fontId="72" fillId="13" borderId="36" xfId="1" applyFont="1" applyFill="1" applyBorder="1" applyAlignment="1">
      <alignment horizontal="center" vertical="center"/>
    </xf>
    <xf numFmtId="9" fontId="75" fillId="13" borderId="45" xfId="1" applyNumberFormat="1" applyFont="1" applyFill="1" applyBorder="1" applyAlignment="1">
      <alignment horizontal="center" vertical="center"/>
    </xf>
    <xf numFmtId="9" fontId="72" fillId="13" borderId="35" xfId="1" applyNumberFormat="1" applyFont="1" applyFill="1" applyBorder="1" applyAlignment="1">
      <alignment horizontal="center" vertical="center"/>
    </xf>
    <xf numFmtId="9" fontId="72" fillId="13" borderId="42" xfId="1" applyNumberFormat="1" applyFont="1" applyFill="1" applyBorder="1" applyAlignment="1">
      <alignment horizontal="center" vertical="center"/>
    </xf>
    <xf numFmtId="9" fontId="72" fillId="13" borderId="36" xfId="1" applyNumberFormat="1" applyFont="1" applyFill="1" applyBorder="1" applyAlignment="1">
      <alignment horizontal="center" vertical="center"/>
    </xf>
    <xf numFmtId="9" fontId="75" fillId="13" borderId="29" xfId="1" applyFont="1" applyFill="1" applyBorder="1" applyAlignment="1">
      <alignment horizontal="center" vertical="center"/>
    </xf>
    <xf numFmtId="0" fontId="21" fillId="0" borderId="0" xfId="0" applyFont="1" applyAlignment="1">
      <alignment horizontal="center"/>
    </xf>
    <xf numFmtId="9" fontId="75" fillId="13" borderId="29" xfId="1" applyNumberFormat="1" applyFont="1" applyFill="1" applyBorder="1" applyAlignment="1">
      <alignment horizontal="center" vertical="center"/>
    </xf>
    <xf numFmtId="9" fontId="72" fillId="13" borderId="35" xfId="1" applyFont="1" applyFill="1" applyBorder="1" applyAlignment="1">
      <alignment horizontal="center" vertical="center"/>
    </xf>
    <xf numFmtId="9" fontId="75" fillId="0" borderId="45" xfId="1" applyNumberFormat="1" applyFont="1" applyFill="1" applyBorder="1" applyAlignment="1">
      <alignment horizontal="center" vertical="center"/>
    </xf>
    <xf numFmtId="9" fontId="72" fillId="13" borderId="0" xfId="1" applyNumberFormat="1" applyFont="1" applyFill="1" applyBorder="1" applyAlignment="1">
      <alignment horizontal="center" vertical="center"/>
    </xf>
    <xf numFmtId="9" fontId="75" fillId="13" borderId="0" xfId="1" applyNumberFormat="1" applyFont="1" applyFill="1" applyBorder="1" applyAlignment="1">
      <alignment horizontal="center" vertical="center"/>
    </xf>
    <xf numFmtId="10" fontId="0" fillId="0" borderId="0" xfId="0" applyNumberFormat="1"/>
    <xf numFmtId="0" fontId="40" fillId="0" borderId="50" xfId="0" applyFont="1" applyBorder="1" applyAlignment="1">
      <alignment horizontal="justify" vertical="center" wrapText="1"/>
    </xf>
    <xf numFmtId="9" fontId="75" fillId="13" borderId="52" xfId="1" applyNumberFormat="1" applyFont="1" applyFill="1" applyBorder="1" applyAlignment="1">
      <alignment horizontal="center" vertical="center"/>
    </xf>
    <xf numFmtId="9" fontId="75" fillId="13" borderId="48" xfId="1" applyFont="1" applyFill="1" applyBorder="1" applyAlignment="1">
      <alignment horizontal="center" vertical="center"/>
    </xf>
    <xf numFmtId="9" fontId="75" fillId="13" borderId="49" xfId="1" applyFont="1" applyFill="1" applyBorder="1" applyAlignment="1">
      <alignment horizontal="center" vertical="center"/>
    </xf>
    <xf numFmtId="0" fontId="40" fillId="0" borderId="57" xfId="0" applyFont="1" applyBorder="1"/>
    <xf numFmtId="9" fontId="40" fillId="0" borderId="0" xfId="0" applyNumberFormat="1" applyFont="1" applyAlignment="1">
      <alignment horizontal="center"/>
    </xf>
    <xf numFmtId="0" fontId="40" fillId="0" borderId="0" xfId="0" applyFont="1" applyBorder="1" applyAlignment="1">
      <alignment horizontal="justify" vertical="center" wrapText="1"/>
    </xf>
    <xf numFmtId="9" fontId="75" fillId="13" borderId="70" xfId="1" applyFont="1" applyFill="1" applyBorder="1" applyAlignment="1">
      <alignment horizontal="center" vertical="center"/>
    </xf>
    <xf numFmtId="9" fontId="75" fillId="13" borderId="46" xfId="1" applyFont="1" applyFill="1" applyBorder="1" applyAlignment="1">
      <alignment horizontal="center" vertical="center"/>
    </xf>
    <xf numFmtId="9" fontId="72" fillId="13" borderId="53" xfId="1" applyNumberFormat="1" applyFont="1" applyFill="1" applyBorder="1" applyAlignment="1">
      <alignment horizontal="center" vertical="center"/>
    </xf>
    <xf numFmtId="0" fontId="40" fillId="0" borderId="51" xfId="0" applyFont="1" applyBorder="1" applyAlignment="1">
      <alignment horizontal="justify" vertical="center" wrapText="1"/>
    </xf>
    <xf numFmtId="0" fontId="40" fillId="0" borderId="59" xfId="0" applyFont="1" applyBorder="1" applyAlignment="1">
      <alignment horizontal="justify" vertical="center" wrapText="1"/>
    </xf>
    <xf numFmtId="9" fontId="75" fillId="13" borderId="63" xfId="1" applyFont="1" applyFill="1" applyBorder="1" applyAlignment="1">
      <alignment horizontal="center" vertical="center"/>
    </xf>
    <xf numFmtId="0" fontId="62" fillId="0" borderId="0" xfId="0" applyFont="1"/>
    <xf numFmtId="0" fontId="52" fillId="0" borderId="0" xfId="0" applyFont="1" applyAlignment="1">
      <alignment horizontal="center"/>
    </xf>
    <xf numFmtId="0" fontId="48" fillId="13" borderId="0" xfId="0" applyFont="1" applyFill="1"/>
    <xf numFmtId="0" fontId="46" fillId="0" borderId="0" xfId="0" applyFont="1"/>
    <xf numFmtId="42" fontId="46" fillId="0" borderId="0" xfId="0" applyNumberFormat="1" applyFont="1" applyBorder="1" applyAlignment="1">
      <alignment horizontal="left"/>
    </xf>
    <xf numFmtId="171" fontId="2" fillId="0" borderId="0" xfId="3" applyNumberFormat="1" applyFont="1" applyFill="1" applyBorder="1"/>
    <xf numFmtId="42" fontId="46" fillId="0" borderId="0" xfId="0" applyNumberFormat="1" applyFont="1"/>
    <xf numFmtId="42" fontId="44" fillId="0" borderId="0" xfId="0" applyNumberFormat="1" applyFont="1"/>
    <xf numFmtId="9" fontId="52" fillId="5" borderId="45" xfId="1" applyNumberFormat="1" applyFont="1" applyFill="1" applyBorder="1"/>
    <xf numFmtId="9" fontId="52" fillId="0" borderId="0" xfId="1" applyNumberFormat="1" applyFont="1" applyFill="1" applyBorder="1"/>
    <xf numFmtId="9" fontId="52" fillId="7" borderId="45" xfId="1" applyFont="1" applyFill="1" applyBorder="1"/>
    <xf numFmtId="9" fontId="52" fillId="0" borderId="0" xfId="1" applyFont="1" applyFill="1" applyBorder="1"/>
    <xf numFmtId="1" fontId="60" fillId="13" borderId="14" xfId="1" applyNumberFormat="1" applyFont="1" applyFill="1" applyBorder="1" applyAlignment="1">
      <alignment horizontal="right" vertical="center"/>
    </xf>
    <xf numFmtId="9" fontId="59" fillId="13" borderId="20" xfId="1" applyFont="1" applyFill="1" applyBorder="1" applyAlignment="1">
      <alignment horizontal="right" vertical="center"/>
    </xf>
    <xf numFmtId="9" fontId="59" fillId="18" borderId="19" xfId="1" applyFont="1" applyFill="1" applyBorder="1" applyAlignment="1">
      <alignment horizontal="right" vertical="center"/>
    </xf>
    <xf numFmtId="9" fontId="59" fillId="13" borderId="41" xfId="1" applyFont="1" applyFill="1" applyBorder="1" applyAlignment="1">
      <alignment horizontal="right" vertical="center"/>
    </xf>
    <xf numFmtId="0" fontId="44" fillId="17" borderId="1" xfId="0" applyFont="1" applyFill="1" applyBorder="1" applyAlignment="1">
      <alignment horizontal="justify" vertical="center" wrapText="1"/>
    </xf>
    <xf numFmtId="9" fontId="28" fillId="0" borderId="4" xfId="0" applyNumberFormat="1" applyFont="1" applyFill="1" applyBorder="1" applyAlignment="1">
      <alignment vertical="center"/>
    </xf>
    <xf numFmtId="9" fontId="28" fillId="0" borderId="18" xfId="0" applyNumberFormat="1" applyFont="1" applyFill="1" applyBorder="1" applyAlignment="1">
      <alignment vertical="center"/>
    </xf>
    <xf numFmtId="0" fontId="5" fillId="0" borderId="1" xfId="0" applyFont="1" applyBorder="1" applyAlignment="1">
      <alignment horizontal="center"/>
    </xf>
    <xf numFmtId="0" fontId="20" fillId="0" borderId="1" xfId="0" applyFont="1" applyBorder="1" applyAlignment="1">
      <alignment horizontal="center" vertic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0" fontId="0" fillId="0" borderId="0" xfId="0" applyFill="1" applyBorder="1"/>
    <xf numFmtId="0" fontId="20" fillId="0" borderId="0" xfId="0" applyFont="1" applyFill="1" applyBorder="1" applyAlignment="1">
      <alignment horizontal="justify" vertical="center" wrapText="1"/>
    </xf>
    <xf numFmtId="0" fontId="28" fillId="0" borderId="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28" fillId="0" borderId="1" xfId="0" applyFont="1" applyFill="1" applyBorder="1" applyAlignment="1">
      <alignment horizontal="justify" vertical="center" wrapText="1"/>
    </xf>
    <xf numFmtId="0" fontId="37" fillId="16" borderId="21" xfId="0" applyFont="1" applyFill="1" applyBorder="1" applyAlignment="1">
      <alignment horizontal="center" vertical="center" wrapText="1"/>
    </xf>
    <xf numFmtId="0" fontId="37" fillId="16" borderId="23" xfId="0" applyFont="1" applyFill="1" applyBorder="1" applyAlignment="1">
      <alignment horizontal="center" vertical="center" wrapText="1"/>
    </xf>
    <xf numFmtId="0" fontId="18" fillId="0" borderId="0" xfId="0" applyFont="1" applyAlignment="1">
      <alignment horizontal="left"/>
    </xf>
    <xf numFmtId="0" fontId="28" fillId="0" borderId="1" xfId="0" applyFont="1" applyFill="1" applyBorder="1" applyAlignment="1">
      <alignment horizontal="justify" vertical="center" wrapText="1"/>
    </xf>
    <xf numFmtId="0" fontId="20" fillId="0" borderId="1" xfId="0" applyFont="1" applyFill="1" applyBorder="1" applyAlignment="1">
      <alignment horizontal="justify" vertical="center" wrapText="1"/>
    </xf>
    <xf numFmtId="9" fontId="28" fillId="0" borderId="1" xfId="0" applyNumberFormat="1" applyFont="1" applyFill="1" applyBorder="1" applyAlignment="1">
      <alignment horizontal="right" vertical="center"/>
    </xf>
    <xf numFmtId="9" fontId="28" fillId="0" borderId="17" xfId="1" applyNumberFormat="1" applyFont="1" applyFill="1" applyBorder="1" applyAlignment="1">
      <alignment vertical="center"/>
    </xf>
    <xf numFmtId="172" fontId="20" fillId="0" borderId="0" xfId="1" applyNumberFormat="1" applyFont="1"/>
    <xf numFmtId="0" fontId="28" fillId="0" borderId="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NumberFormat="1" applyFont="1" applyFill="1" applyBorder="1" applyAlignment="1">
      <alignment horizontal="right" vertical="center"/>
    </xf>
    <xf numFmtId="0" fontId="28" fillId="0" borderId="1" xfId="0" applyFont="1" applyFill="1" applyBorder="1" applyAlignment="1">
      <alignment horizontal="justify" vertical="center" wrapText="1"/>
    </xf>
    <xf numFmtId="9" fontId="28" fillId="0" borderId="1" xfId="1" applyFont="1" applyFill="1" applyBorder="1" applyAlignment="1">
      <alignment horizontal="right" vertical="center"/>
    </xf>
    <xf numFmtId="9" fontId="28" fillId="0" borderId="1" xfId="1" applyNumberFormat="1" applyFont="1" applyFill="1" applyBorder="1" applyAlignment="1">
      <alignment horizontal="right" vertical="center" wrapText="1"/>
    </xf>
    <xf numFmtId="9"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xf>
    <xf numFmtId="42" fontId="28" fillId="0" borderId="1" xfId="5" applyFont="1" applyFill="1" applyBorder="1" applyAlignment="1">
      <alignment horizontal="right" vertical="center" wrapText="1"/>
    </xf>
    <xf numFmtId="42" fontId="28" fillId="0" borderId="1" xfId="0" applyNumberFormat="1" applyFont="1" applyFill="1" applyBorder="1" applyAlignment="1">
      <alignment horizontal="right" vertical="center"/>
    </xf>
    <xf numFmtId="0" fontId="28" fillId="0" borderId="1" xfId="0" applyFont="1" applyFill="1" applyBorder="1" applyAlignment="1">
      <alignment horizontal="center"/>
    </xf>
    <xf numFmtId="0" fontId="28" fillId="0" borderId="1" xfId="0"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0" borderId="1" xfId="0" applyFont="1" applyFill="1" applyBorder="1" applyAlignment="1">
      <alignment horizontal="center" vertical="center"/>
    </xf>
    <xf numFmtId="0" fontId="28" fillId="0" borderId="4" xfId="0" applyFont="1" applyFill="1" applyBorder="1" applyAlignment="1">
      <alignment horizontal="center" vertical="center" wrapText="1"/>
    </xf>
    <xf numFmtId="0" fontId="28" fillId="0" borderId="18" xfId="0" applyFont="1" applyFill="1" applyBorder="1" applyAlignment="1">
      <alignment horizontal="center" vertical="center" wrapText="1"/>
    </xf>
    <xf numFmtId="42" fontId="28" fillId="0" borderId="1" xfId="27" applyFont="1" applyFill="1" applyBorder="1" applyAlignment="1">
      <alignment horizontal="right" vertical="center"/>
    </xf>
    <xf numFmtId="42" fontId="20" fillId="0" borderId="1" xfId="5" applyFont="1" applyFill="1" applyBorder="1" applyAlignment="1">
      <alignment horizontal="right"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justify" vertical="center"/>
    </xf>
    <xf numFmtId="9" fontId="20" fillId="0" borderId="1" xfId="0" applyNumberFormat="1" applyFont="1" applyFill="1" applyBorder="1" applyAlignment="1">
      <alignment horizontal="right" vertical="center"/>
    </xf>
    <xf numFmtId="0" fontId="0" fillId="0" borderId="1" xfId="0" applyFill="1" applyBorder="1"/>
    <xf numFmtId="0" fontId="28" fillId="0" borderId="1" xfId="0" applyFont="1" applyFill="1" applyBorder="1" applyAlignment="1">
      <alignment vertical="center"/>
    </xf>
    <xf numFmtId="9" fontId="28" fillId="0" borderId="1" xfId="0" applyNumberFormat="1" applyFont="1" applyFill="1" applyBorder="1" applyAlignment="1">
      <alignment vertical="center"/>
    </xf>
    <xf numFmtId="9" fontId="20" fillId="0" borderId="1" xfId="3" applyNumberFormat="1" applyFont="1" applyFill="1" applyBorder="1" applyAlignment="1">
      <alignment horizontal="right" vertical="center"/>
    </xf>
    <xf numFmtId="9" fontId="28" fillId="0" borderId="1" xfId="1" applyNumberFormat="1" applyFont="1" applyFill="1" applyBorder="1" applyAlignment="1">
      <alignment horizontal="right" vertical="center" wrapText="1"/>
    </xf>
    <xf numFmtId="0" fontId="28" fillId="0" borderId="18" xfId="0" applyFont="1" applyFill="1" applyBorder="1" applyAlignment="1">
      <alignment horizontal="justify" vertical="center" wrapText="1"/>
    </xf>
    <xf numFmtId="0" fontId="28" fillId="0" borderId="1" xfId="0" applyFont="1" applyFill="1" applyBorder="1" applyAlignment="1">
      <alignment horizontal="justify" vertical="center" wrapText="1"/>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xf>
    <xf numFmtId="42" fontId="28" fillId="0" borderId="1" xfId="5" applyFont="1" applyFill="1" applyBorder="1" applyAlignment="1">
      <alignment horizontal="right" vertical="center" wrapText="1"/>
    </xf>
    <xf numFmtId="0" fontId="28" fillId="0" borderId="1" xfId="0" applyFont="1" applyFill="1" applyBorder="1" applyAlignment="1">
      <alignment horizontal="right" vertical="center"/>
    </xf>
    <xf numFmtId="9" fontId="28" fillId="0" borderId="1" xfId="1" applyFont="1" applyFill="1" applyBorder="1" applyAlignment="1">
      <alignment horizontal="right" vertical="center"/>
    </xf>
    <xf numFmtId="10" fontId="28" fillId="6" borderId="1" xfId="1" applyNumberFormat="1" applyFont="1" applyFill="1" applyBorder="1" applyAlignment="1">
      <alignment horizontal="center" vertical="center"/>
    </xf>
    <xf numFmtId="9" fontId="28" fillId="6" borderId="1" xfId="1" applyNumberFormat="1" applyFont="1" applyFill="1" applyBorder="1" applyAlignment="1">
      <alignment vertical="center" wrapText="1"/>
    </xf>
    <xf numFmtId="9" fontId="28" fillId="0" borderId="1" xfId="1" applyNumberFormat="1" applyFont="1" applyFill="1" applyBorder="1" applyAlignment="1">
      <alignment horizontal="left" vertical="center" wrapText="1"/>
    </xf>
    <xf numFmtId="173" fontId="28" fillId="0" borderId="1" xfId="1" applyNumberFormat="1" applyFont="1" applyBorder="1" applyAlignment="1">
      <alignment horizontal="right" vertical="center"/>
    </xf>
    <xf numFmtId="1" fontId="28" fillId="0" borderId="1" xfId="1" applyNumberFormat="1" applyFont="1" applyBorder="1" applyAlignment="1">
      <alignment horizontal="right" vertical="center"/>
    </xf>
    <xf numFmtId="9" fontId="28" fillId="0" borderId="1" xfId="1" applyFont="1" applyBorder="1" applyAlignment="1">
      <alignment horizontal="right" vertical="center"/>
    </xf>
    <xf numFmtId="42" fontId="28" fillId="0" borderId="1" xfId="5" applyFont="1" applyBorder="1" applyAlignment="1">
      <alignment horizontal="right" vertical="center"/>
    </xf>
    <xf numFmtId="42" fontId="28" fillId="0" borderId="4" xfId="5" applyFont="1" applyBorder="1" applyAlignment="1">
      <alignment horizontal="right" vertical="center"/>
    </xf>
    <xf numFmtId="0" fontId="28" fillId="0" borderId="1" xfId="0" applyFont="1" applyBorder="1" applyAlignment="1">
      <alignment horizontal="right"/>
    </xf>
    <xf numFmtId="9" fontId="28" fillId="0" borderId="1" xfId="1" applyFont="1" applyBorder="1" applyAlignment="1">
      <alignment horizontal="justify" vertical="top" wrapText="1"/>
    </xf>
    <xf numFmtId="9" fontId="28" fillId="0" borderId="1" xfId="1" applyFont="1" applyBorder="1" applyAlignment="1">
      <alignment vertical="center" wrapText="1"/>
    </xf>
    <xf numFmtId="9" fontId="28" fillId="0" borderId="1" xfId="1" applyFont="1" applyBorder="1" applyAlignment="1">
      <alignment horizontal="justify" vertical="center" wrapText="1"/>
    </xf>
    <xf numFmtId="0" fontId="28" fillId="0" borderId="1" xfId="0" applyFont="1" applyBorder="1" applyAlignment="1">
      <alignment horizontal="right" vertical="center"/>
    </xf>
    <xf numFmtId="1" fontId="28" fillId="0" borderId="1" xfId="1" applyNumberFormat="1" applyFont="1" applyBorder="1" applyAlignment="1">
      <alignment horizontal="center" vertical="center"/>
    </xf>
    <xf numFmtId="9" fontId="28" fillId="0" borderId="1" xfId="0" applyNumberFormat="1" applyFont="1" applyBorder="1" applyAlignment="1">
      <alignment horizontal="center" vertical="center"/>
    </xf>
    <xf numFmtId="0" fontId="28" fillId="0" borderId="1" xfId="0" applyFont="1" applyBorder="1" applyAlignment="1">
      <alignment horizontal="center" vertical="center"/>
    </xf>
    <xf numFmtId="9" fontId="28" fillId="0" borderId="1" xfId="1" applyFont="1" applyBorder="1" applyAlignment="1">
      <alignment horizontal="left" vertical="center" wrapText="1"/>
    </xf>
    <xf numFmtId="0" fontId="28" fillId="0" borderId="1" xfId="0" applyFont="1" applyFill="1" applyBorder="1" applyAlignment="1">
      <alignment horizontal="right" vertical="center"/>
    </xf>
    <xf numFmtId="9" fontId="28" fillId="0" borderId="1" xfId="0" applyNumberFormat="1" applyFont="1" applyBorder="1" applyAlignment="1">
      <alignment horizontal="right" vertical="center"/>
    </xf>
    <xf numFmtId="10" fontId="28" fillId="0" borderId="0" xfId="0" applyNumberFormat="1" applyFont="1" applyAlignment="1">
      <alignment vertical="center" wrapText="1"/>
    </xf>
    <xf numFmtId="174" fontId="28" fillId="0" borderId="1" xfId="0" applyNumberFormat="1" applyFont="1" applyBorder="1" applyAlignment="1">
      <alignment vertical="center"/>
    </xf>
    <xf numFmtId="0" fontId="80" fillId="0" borderId="1" xfId="0" applyFont="1" applyBorder="1" applyAlignment="1">
      <alignment horizontal="right" vertical="center"/>
    </xf>
    <xf numFmtId="10" fontId="28" fillId="0" borderId="1" xfId="0" applyNumberFormat="1" applyFont="1" applyBorder="1" applyAlignment="1">
      <alignment horizontal="right" vertical="center"/>
    </xf>
    <xf numFmtId="9" fontId="28" fillId="0" borderId="1" xfId="1" applyNumberFormat="1" applyFont="1" applyFill="1" applyBorder="1" applyAlignment="1">
      <alignment vertical="center" wrapText="1"/>
    </xf>
    <xf numFmtId="0" fontId="20" fillId="0" borderId="1" xfId="0" applyFont="1" applyBorder="1" applyAlignment="1">
      <alignment horizontal="right"/>
    </xf>
    <xf numFmtId="9" fontId="20" fillId="0" borderId="1" xfId="1" applyFont="1" applyBorder="1" applyAlignment="1">
      <alignment horizontal="right" vertical="center"/>
    </xf>
    <xf numFmtId="9" fontId="28" fillId="0" borderId="1" xfId="1" applyFont="1" applyBorder="1" applyAlignment="1">
      <alignment horizontal="center" vertical="center" wrapText="1"/>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42" fontId="28" fillId="0" borderId="4" xfId="5" applyFont="1" applyBorder="1" applyAlignment="1">
      <alignment horizontal="right"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xf>
    <xf numFmtId="0" fontId="20" fillId="0" borderId="1" xfId="0" applyFont="1" applyFill="1" applyBorder="1" applyAlignment="1">
      <alignment horizontal="justify" vertical="center"/>
    </xf>
    <xf numFmtId="42" fontId="20"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5"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42" fontId="28" fillId="0" borderId="1" xfId="5" applyFont="1" applyBorder="1" applyAlignment="1">
      <alignment horizontal="right" vertical="center"/>
    </xf>
    <xf numFmtId="9" fontId="59" fillId="13" borderId="18" xfId="1" applyFont="1" applyFill="1" applyBorder="1" applyAlignment="1">
      <alignment horizontal="right" vertical="center"/>
    </xf>
    <xf numFmtId="9" fontId="60" fillId="13" borderId="37" xfId="1" applyFont="1" applyFill="1" applyBorder="1" applyAlignment="1">
      <alignment horizontal="right" vertical="center"/>
    </xf>
    <xf numFmtId="9" fontId="59" fillId="13" borderId="16" xfId="1" applyFont="1" applyFill="1" applyBorder="1" applyAlignment="1">
      <alignment horizontal="right" vertical="center"/>
    </xf>
    <xf numFmtId="0" fontId="44" fillId="0" borderId="1" xfId="0" applyFont="1" applyBorder="1" applyAlignment="1">
      <alignment horizontal="justify" vertical="center" wrapText="1"/>
    </xf>
    <xf numFmtId="9" fontId="59" fillId="18"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41" fontId="28" fillId="0" borderId="1" xfId="3" applyFont="1" applyFill="1" applyBorder="1" applyAlignment="1">
      <alignment horizontal="right" vertical="center"/>
    </xf>
    <xf numFmtId="9" fontId="28" fillId="0" borderId="1" xfId="1" applyNumberFormat="1" applyFont="1" applyFill="1" applyBorder="1" applyAlignment="1">
      <alignment horizontal="justify" vertical="center"/>
    </xf>
    <xf numFmtId="9" fontId="20" fillId="0" borderId="1" xfId="1" applyNumberFormat="1" applyFont="1" applyFill="1" applyBorder="1" applyAlignment="1">
      <alignment wrapText="1"/>
    </xf>
    <xf numFmtId="9" fontId="28" fillId="0" borderId="1" xfId="0" applyNumberFormat="1" applyFont="1" applyFill="1" applyBorder="1" applyAlignment="1">
      <alignment horizontal="center" vertical="center"/>
    </xf>
    <xf numFmtId="42" fontId="28" fillId="0" borderId="1" xfId="5" applyFont="1" applyFill="1" applyBorder="1" applyAlignment="1">
      <alignment horizontal="center" vertical="center"/>
    </xf>
    <xf numFmtId="9" fontId="28" fillId="0" borderId="1" xfId="1" applyFont="1" applyFill="1" applyBorder="1" applyAlignment="1">
      <alignment horizontal="center" vertical="center"/>
    </xf>
    <xf numFmtId="9" fontId="28" fillId="0" borderId="1" xfId="1" applyNumberFormat="1" applyFont="1" applyFill="1" applyBorder="1" applyAlignment="1">
      <alignment horizontal="justify" vertical="center" wrapText="1"/>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wrapText="1"/>
    </xf>
    <xf numFmtId="0" fontId="28" fillId="0" borderId="1" xfId="0" applyFont="1" applyBorder="1" applyAlignment="1">
      <alignment horizontal="justify" vertical="center" wrapText="1"/>
    </xf>
    <xf numFmtId="42" fontId="28" fillId="0" borderId="1" xfId="5" applyFont="1" applyBorder="1" applyAlignment="1">
      <alignment horizontal="justify" vertical="center" wrapText="1"/>
    </xf>
    <xf numFmtId="10" fontId="28" fillId="0" borderId="1" xfId="0" applyNumberFormat="1" applyFont="1" applyFill="1" applyBorder="1" applyAlignment="1">
      <alignment horizontal="center" vertical="center"/>
    </xf>
    <xf numFmtId="42" fontId="20" fillId="0" borderId="1" xfId="5" applyFont="1" applyBorder="1" applyAlignment="1">
      <alignment horizontal="right" vertical="center"/>
    </xf>
    <xf numFmtId="42" fontId="28" fillId="0" borderId="1" xfId="5" applyFont="1" applyBorder="1" applyAlignment="1">
      <alignment horizontal="justify" vertical="center"/>
    </xf>
    <xf numFmtId="9" fontId="28" fillId="0" borderId="1" xfId="1" applyFont="1" applyBorder="1" applyAlignment="1">
      <alignment horizontal="justify" vertical="center"/>
    </xf>
    <xf numFmtId="42" fontId="28" fillId="0" borderId="1" xfId="5" applyFont="1" applyBorder="1" applyAlignment="1">
      <alignment horizontal="left" vertical="center" wrapText="1"/>
    </xf>
    <xf numFmtId="42" fontId="28" fillId="0" borderId="0" xfId="5" applyFont="1" applyAlignment="1">
      <alignment vertical="center"/>
    </xf>
    <xf numFmtId="9" fontId="28" fillId="0" borderId="0" xfId="0" applyNumberFormat="1" applyFont="1" applyAlignment="1">
      <alignment vertical="center" wrapText="1"/>
    </xf>
    <xf numFmtId="9" fontId="28" fillId="0" borderId="1" xfId="1" applyFont="1" applyFill="1" applyBorder="1" applyAlignment="1">
      <alignment horizontal="justify" vertical="center"/>
    </xf>
    <xf numFmtId="9" fontId="83" fillId="0" borderId="1" xfId="1" applyFont="1" applyBorder="1" applyAlignment="1">
      <alignment horizontal="justify" vertical="center" wrapText="1"/>
    </xf>
    <xf numFmtId="9" fontId="72" fillId="13" borderId="13" xfId="1" applyNumberFormat="1" applyFont="1" applyFill="1" applyBorder="1" applyAlignment="1">
      <alignment horizontal="center" vertical="center"/>
    </xf>
    <xf numFmtId="9" fontId="72" fillId="13" borderId="26" xfId="1" applyNumberFormat="1" applyFont="1" applyFill="1" applyBorder="1" applyAlignment="1">
      <alignment horizontal="center" vertical="center"/>
    </xf>
    <xf numFmtId="9" fontId="72" fillId="13" borderId="28" xfId="1" applyNumberFormat="1" applyFont="1" applyFill="1" applyBorder="1" applyAlignment="1">
      <alignment horizontal="center" vertical="center"/>
    </xf>
    <xf numFmtId="9" fontId="72" fillId="13" borderId="14" xfId="1" applyNumberFormat="1" applyFont="1" applyFill="1" applyBorder="1" applyAlignment="1">
      <alignment horizontal="center" vertical="center"/>
    </xf>
    <xf numFmtId="9" fontId="72" fillId="13" borderId="17" xfId="1" applyNumberFormat="1" applyFont="1" applyFill="1" applyBorder="1" applyAlignment="1">
      <alignment horizontal="center" vertical="center"/>
    </xf>
    <xf numFmtId="9" fontId="72" fillId="13" borderId="58" xfId="1" applyNumberFormat="1" applyFont="1" applyFill="1" applyBorder="1" applyAlignment="1">
      <alignment horizontal="center" vertical="center"/>
    </xf>
    <xf numFmtId="9" fontId="72" fillId="13" borderId="26" xfId="1" applyFont="1" applyFill="1" applyBorder="1" applyAlignment="1">
      <alignment horizontal="center" vertical="center"/>
    </xf>
    <xf numFmtId="9" fontId="72" fillId="13" borderId="18" xfId="1" applyFont="1" applyFill="1" applyBorder="1" applyAlignment="1">
      <alignment horizontal="center" vertical="center"/>
    </xf>
    <xf numFmtId="9" fontId="72" fillId="13" borderId="16" xfId="1" applyFont="1" applyFill="1" applyBorder="1" applyAlignment="1">
      <alignment horizontal="center" vertical="center"/>
    </xf>
    <xf numFmtId="9" fontId="72" fillId="13" borderId="37" xfId="1" applyFont="1" applyFill="1" applyBorder="1" applyAlignment="1">
      <alignment horizontal="center" vertical="center"/>
    </xf>
    <xf numFmtId="9" fontId="72" fillId="13" borderId="15" xfId="1" applyFont="1" applyFill="1" applyBorder="1" applyAlignment="1">
      <alignment horizontal="center" vertical="center"/>
    </xf>
    <xf numFmtId="9" fontId="72" fillId="13" borderId="43" xfId="1" applyFont="1" applyFill="1" applyBorder="1" applyAlignment="1">
      <alignment horizontal="center" vertical="center"/>
    </xf>
    <xf numFmtId="9" fontId="72" fillId="13" borderId="75" xfId="1" applyFont="1" applyFill="1" applyBorder="1" applyAlignment="1">
      <alignment horizontal="center" vertical="center"/>
    </xf>
    <xf numFmtId="9" fontId="75" fillId="13" borderId="62" xfId="1" applyNumberFormat="1" applyFont="1" applyFill="1" applyBorder="1" applyAlignment="1">
      <alignment horizontal="center" vertical="center"/>
    </xf>
    <xf numFmtId="9" fontId="72" fillId="13" borderId="13" xfId="1" applyFont="1" applyFill="1" applyBorder="1" applyAlignment="1">
      <alignment horizontal="center" vertical="center"/>
    </xf>
    <xf numFmtId="9" fontId="72" fillId="13" borderId="28" xfId="1" applyFont="1" applyFill="1" applyBorder="1" applyAlignment="1">
      <alignment horizontal="center"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right" vertical="center"/>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9" fontId="28" fillId="0" borderId="1" xfId="1" applyNumberFormat="1" applyFont="1" applyFill="1" applyBorder="1" applyAlignment="1">
      <alignment horizontal="right" vertical="center" wrapText="1"/>
    </xf>
    <xf numFmtId="0" fontId="28" fillId="0" borderId="1" xfId="0" applyFont="1" applyFill="1" applyBorder="1" applyAlignment="1">
      <alignment horizontal="center" vertical="center"/>
    </xf>
    <xf numFmtId="0" fontId="28" fillId="0" borderId="1" xfId="0" applyNumberFormat="1" applyFont="1" applyFill="1" applyBorder="1" applyAlignment="1">
      <alignment horizontal="right" vertical="center"/>
    </xf>
    <xf numFmtId="9" fontId="59" fillId="13" borderId="18" xfId="1" applyFont="1" applyFill="1" applyBorder="1" applyAlignment="1">
      <alignment horizontal="right" vertical="center"/>
    </xf>
    <xf numFmtId="9" fontId="59" fillId="13" borderId="16" xfId="1" applyFont="1" applyFill="1" applyBorder="1" applyAlignment="1">
      <alignment horizontal="right"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166" fontId="28" fillId="0" borderId="1" xfId="0" applyNumberFormat="1" applyFont="1" applyFill="1" applyBorder="1" applyAlignment="1">
      <alignment horizontal="right" vertical="center" wrapText="1"/>
    </xf>
    <xf numFmtId="0" fontId="44" fillId="0" borderId="17" xfId="0" applyFont="1" applyFill="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justify" vertical="center" wrapText="1"/>
    </xf>
    <xf numFmtId="9" fontId="59" fillId="13" borderId="18" xfId="1" applyFont="1" applyFill="1" applyBorder="1" applyAlignment="1">
      <alignment horizontal="right" vertical="center"/>
    </xf>
    <xf numFmtId="9" fontId="59" fillId="13" borderId="16"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Border="1" applyAlignment="1">
      <alignment horizontal="justify" vertical="center" wrapText="1"/>
    </xf>
    <xf numFmtId="9" fontId="28" fillId="2" borderId="1" xfId="1" applyNumberFormat="1" applyFont="1" applyFill="1" applyBorder="1" applyAlignment="1">
      <alignment horizontal="left" vertical="center" wrapText="1"/>
    </xf>
    <xf numFmtId="6" fontId="28" fillId="0" borderId="1" xfId="0" applyNumberFormat="1" applyFont="1" applyFill="1" applyBorder="1" applyAlignment="1">
      <alignment horizontal="right" vertical="center"/>
    </xf>
    <xf numFmtId="10" fontId="28" fillId="0" borderId="1" xfId="0" applyNumberFormat="1" applyFont="1" applyFill="1" applyBorder="1" applyAlignment="1">
      <alignment horizontal="right" vertical="center"/>
    </xf>
    <xf numFmtId="0" fontId="28" fillId="6" borderId="1" xfId="0" applyFont="1" applyFill="1" applyBorder="1" applyAlignment="1">
      <alignment horizontal="justify" vertical="center" wrapText="1"/>
    </xf>
    <xf numFmtId="9" fontId="28" fillId="19" borderId="1" xfId="1" applyFont="1" applyFill="1" applyBorder="1" applyAlignment="1">
      <alignment horizontal="right" vertical="center"/>
    </xf>
    <xf numFmtId="9" fontId="28" fillId="0" borderId="1" xfId="1" applyFont="1" applyBorder="1" applyAlignment="1">
      <alignment horizontal="right" vertical="center" wrapText="1"/>
    </xf>
    <xf numFmtId="9" fontId="28" fillId="6" borderId="1" xfId="1" applyFont="1" applyFill="1" applyBorder="1" applyAlignment="1">
      <alignment horizontal="right" vertical="center"/>
    </xf>
    <xf numFmtId="42" fontId="28" fillId="6" borderId="1" xfId="5" applyFont="1" applyFill="1" applyBorder="1" applyAlignment="1">
      <alignment horizontal="right" vertical="center" wrapText="1"/>
    </xf>
    <xf numFmtId="166" fontId="60" fillId="13" borderId="37" xfId="1" applyNumberFormat="1" applyFont="1" applyFill="1" applyBorder="1" applyAlignment="1">
      <alignment horizontal="right" vertical="center"/>
    </xf>
    <xf numFmtId="9" fontId="59" fillId="13" borderId="18" xfId="1" applyNumberFormat="1" applyFont="1" applyFill="1" applyBorder="1" applyAlignment="1">
      <alignment horizontal="right" vertical="center"/>
    </xf>
    <xf numFmtId="9" fontId="59" fillId="13" borderId="18" xfId="1" applyFont="1" applyFill="1" applyBorder="1" applyAlignment="1">
      <alignment horizontal="right" vertical="center"/>
    </xf>
    <xf numFmtId="0" fontId="28" fillId="0" borderId="1" xfId="0" applyFont="1" applyFill="1" applyBorder="1" applyAlignment="1">
      <alignment horizontal="center" vertical="center"/>
    </xf>
    <xf numFmtId="172" fontId="59" fillId="13" borderId="18" xfId="1" applyNumberFormat="1" applyFont="1" applyFill="1" applyBorder="1" applyAlignment="1">
      <alignment horizontal="right" vertical="center"/>
    </xf>
    <xf numFmtId="9" fontId="75" fillId="13" borderId="63" xfId="1" applyNumberFormat="1" applyFont="1" applyFill="1" applyBorder="1" applyAlignment="1">
      <alignment horizontal="center" vertical="center"/>
    </xf>
    <xf numFmtId="0" fontId="20" fillId="0" borderId="1" xfId="0" applyFont="1" applyBorder="1" applyAlignment="1">
      <alignment horizontal="center" vertical="center"/>
    </xf>
    <xf numFmtId="0" fontId="16" fillId="0" borderId="0" xfId="13"/>
    <xf numFmtId="0" fontId="0" fillId="0" borderId="1" xfId="0" applyBorder="1" applyAlignment="1">
      <alignment horizontal="center"/>
    </xf>
    <xf numFmtId="10" fontId="75" fillId="13" borderId="52" xfId="1" applyNumberFormat="1" applyFont="1" applyFill="1" applyBorder="1" applyAlignment="1">
      <alignment horizontal="center" vertical="center"/>
    </xf>
    <xf numFmtId="10" fontId="75" fillId="13" borderId="48" xfId="1" applyNumberFormat="1" applyFont="1" applyFill="1" applyBorder="1" applyAlignment="1">
      <alignment horizontal="center" vertical="center"/>
    </xf>
    <xf numFmtId="10" fontId="75" fillId="13" borderId="45" xfId="1" applyNumberFormat="1" applyFont="1" applyFill="1" applyBorder="1" applyAlignment="1">
      <alignment horizontal="center" vertical="center"/>
    </xf>
    <xf numFmtId="10" fontId="75" fillId="13" borderId="49" xfId="1" applyNumberFormat="1" applyFont="1" applyFill="1" applyBorder="1" applyAlignment="1">
      <alignment horizontal="center" vertical="center"/>
    </xf>
    <xf numFmtId="0" fontId="37" fillId="16" borderId="24" xfId="0" applyFont="1" applyFill="1" applyBorder="1" applyAlignment="1">
      <alignment horizontal="center" vertical="center" wrapText="1"/>
    </xf>
    <xf numFmtId="0" fontId="37" fillId="16" borderId="25" xfId="0" applyFont="1" applyFill="1" applyBorder="1" applyAlignment="1">
      <alignment horizontal="center" vertical="center" wrapText="1"/>
    </xf>
    <xf numFmtId="0" fontId="37" fillId="16" borderId="6" xfId="0" applyFont="1" applyFill="1" applyBorder="1" applyAlignment="1">
      <alignment horizontal="center" vertical="center" wrapText="1"/>
    </xf>
    <xf numFmtId="0" fontId="37" fillId="16" borderId="10" xfId="0" applyFont="1" applyFill="1" applyBorder="1" applyAlignment="1">
      <alignment horizontal="center" vertical="center" wrapText="1"/>
    </xf>
    <xf numFmtId="0" fontId="28" fillId="0" borderId="4" xfId="0" applyFont="1" applyFill="1" applyBorder="1" applyAlignment="1">
      <alignment horizontal="right" vertical="center"/>
    </xf>
    <xf numFmtId="0" fontId="28" fillId="0" borderId="17" xfId="0" applyFont="1" applyFill="1" applyBorder="1" applyAlignment="1">
      <alignment horizontal="right" vertical="center"/>
    </xf>
    <xf numFmtId="0" fontId="28" fillId="0" borderId="18" xfId="0" applyFont="1" applyFill="1" applyBorder="1" applyAlignment="1">
      <alignment horizontal="right" vertical="center"/>
    </xf>
    <xf numFmtId="0" fontId="28" fillId="0" borderId="4" xfId="0" applyFont="1" applyFill="1" applyBorder="1" applyAlignment="1">
      <alignment horizontal="justify" vertical="center" wrapText="1"/>
    </xf>
    <xf numFmtId="0" fontId="28" fillId="0" borderId="17"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28" fillId="0" borderId="4" xfId="0" applyFont="1" applyFill="1" applyBorder="1" applyAlignment="1">
      <alignment horizontal="right" vertical="center" wrapText="1"/>
    </xf>
    <xf numFmtId="0" fontId="28" fillId="0" borderId="17" xfId="0" applyFont="1" applyFill="1" applyBorder="1" applyAlignment="1">
      <alignment horizontal="right" vertical="center" wrapText="1"/>
    </xf>
    <xf numFmtId="0" fontId="28" fillId="0" borderId="18" xfId="0" applyFont="1" applyFill="1" applyBorder="1" applyAlignment="1">
      <alignment horizontal="right" vertical="center" wrapText="1"/>
    </xf>
    <xf numFmtId="42" fontId="28" fillId="0" borderId="17" xfId="5" applyFont="1" applyFill="1" applyBorder="1" applyAlignment="1">
      <alignment horizontal="right" vertical="center" wrapText="1"/>
    </xf>
    <xf numFmtId="42" fontId="28" fillId="0" borderId="18" xfId="5" applyFont="1" applyFill="1" applyBorder="1" applyAlignment="1">
      <alignment horizontal="right" vertical="center" wrapText="1"/>
    </xf>
    <xf numFmtId="9" fontId="28" fillId="0" borderId="4" xfId="0" applyNumberFormat="1" applyFont="1" applyFill="1" applyBorder="1" applyAlignment="1">
      <alignment horizontal="right" vertical="center"/>
    </xf>
    <xf numFmtId="9" fontId="28" fillId="0" borderId="18" xfId="0" applyNumberFormat="1" applyFont="1" applyFill="1" applyBorder="1" applyAlignment="1">
      <alignment horizontal="right" vertical="center"/>
    </xf>
    <xf numFmtId="0" fontId="28" fillId="0" borderId="4" xfId="0" applyFont="1" applyFill="1" applyBorder="1" applyAlignment="1">
      <alignment horizontal="center" vertical="center"/>
    </xf>
    <xf numFmtId="0" fontId="28" fillId="0" borderId="18" xfId="0" applyFont="1" applyFill="1" applyBorder="1" applyAlignment="1">
      <alignment horizontal="center" vertical="center"/>
    </xf>
    <xf numFmtId="9" fontId="28" fillId="0" borderId="4" xfId="0" applyNumberFormat="1" applyFont="1" applyFill="1" applyBorder="1" applyAlignment="1">
      <alignment horizontal="justify" vertical="center" wrapText="1"/>
    </xf>
    <xf numFmtId="9" fontId="28" fillId="0" borderId="18" xfId="0" applyNumberFormat="1" applyFont="1" applyFill="1" applyBorder="1" applyAlignment="1">
      <alignment horizontal="justify" vertical="center" wrapText="1"/>
    </xf>
    <xf numFmtId="9" fontId="28" fillId="0" borderId="17" xfId="0" applyNumberFormat="1" applyFont="1" applyFill="1" applyBorder="1" applyAlignment="1">
      <alignment horizontal="center" vertical="center"/>
    </xf>
    <xf numFmtId="42" fontId="28" fillId="0" borderId="4" xfId="0" applyNumberFormat="1" applyFont="1" applyFill="1" applyBorder="1" applyAlignment="1">
      <alignment horizontal="right" vertical="center"/>
    </xf>
    <xf numFmtId="42" fontId="28" fillId="0" borderId="18" xfId="0" applyNumberFormat="1" applyFont="1" applyFill="1" applyBorder="1" applyAlignment="1">
      <alignment horizontal="right" vertical="center"/>
    </xf>
    <xf numFmtId="42" fontId="28" fillId="0" borderId="4" xfId="5" applyFont="1" applyBorder="1" applyAlignment="1">
      <alignment horizontal="right" vertical="center"/>
    </xf>
    <xf numFmtId="42" fontId="28" fillId="0" borderId="18" xfId="5" applyFont="1" applyBorder="1" applyAlignment="1">
      <alignment horizontal="right" vertical="center"/>
    </xf>
    <xf numFmtId="9" fontId="28" fillId="0" borderId="4" xfId="1" applyNumberFormat="1" applyFont="1" applyFill="1" applyBorder="1" applyAlignment="1">
      <alignment horizontal="right" vertical="center"/>
    </xf>
    <xf numFmtId="9" fontId="28" fillId="0" borderId="18" xfId="1" applyNumberFormat="1" applyFont="1" applyFill="1" applyBorder="1" applyAlignment="1">
      <alignment horizontal="right" vertical="center"/>
    </xf>
    <xf numFmtId="0" fontId="20" fillId="0" borderId="5" xfId="0" applyFont="1" applyFill="1" applyBorder="1" applyAlignment="1">
      <alignment horizontal="center" wrapText="1"/>
    </xf>
    <xf numFmtId="0" fontId="20" fillId="0" borderId="6" xfId="0" applyFont="1" applyFill="1" applyBorder="1" applyAlignment="1">
      <alignment horizontal="center" wrapText="1"/>
    </xf>
    <xf numFmtId="0" fontId="20" fillId="0" borderId="7" xfId="0" applyFont="1" applyFill="1" applyBorder="1" applyAlignment="1">
      <alignment horizontal="center" wrapText="1"/>
    </xf>
    <xf numFmtId="0" fontId="20" fillId="0" borderId="8" xfId="0" applyFont="1" applyFill="1" applyBorder="1" applyAlignment="1">
      <alignment horizontal="center" wrapText="1"/>
    </xf>
    <xf numFmtId="0" fontId="20" fillId="0" borderId="9" xfId="0" applyFont="1" applyFill="1" applyBorder="1" applyAlignment="1">
      <alignment horizontal="center" wrapText="1"/>
    </xf>
    <xf numFmtId="0" fontId="20" fillId="0" borderId="10" xfId="0" applyFont="1" applyFill="1" applyBorder="1" applyAlignment="1">
      <alignment horizontal="center" wrapText="1"/>
    </xf>
    <xf numFmtId="0" fontId="21" fillId="0" borderId="62"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55" xfId="0" applyFont="1" applyFill="1" applyBorder="1" applyAlignment="1">
      <alignment horizontal="center" vertical="center" wrapText="1"/>
    </xf>
    <xf numFmtId="0" fontId="37" fillId="17" borderId="29" xfId="0" applyFont="1" applyFill="1" applyBorder="1" applyAlignment="1">
      <alignment horizontal="center" vertical="center"/>
    </xf>
    <xf numFmtId="0" fontId="37" fillId="17" borderId="30" xfId="0" applyFont="1" applyFill="1" applyBorder="1" applyAlignment="1">
      <alignment horizontal="center" vertical="center"/>
    </xf>
    <xf numFmtId="0" fontId="37" fillId="17" borderId="31" xfId="0" applyFont="1" applyFill="1" applyBorder="1" applyAlignment="1">
      <alignment horizontal="center" vertical="center"/>
    </xf>
    <xf numFmtId="0" fontId="37" fillId="16" borderId="29" xfId="0" applyFont="1" applyFill="1" applyBorder="1" applyAlignment="1">
      <alignment horizontal="center" vertical="center"/>
    </xf>
    <xf numFmtId="0" fontId="37" fillId="16" borderId="30" xfId="0" applyFont="1" applyFill="1" applyBorder="1" applyAlignment="1">
      <alignment horizontal="center" vertical="center"/>
    </xf>
    <xf numFmtId="0" fontId="37" fillId="16" borderId="31" xfId="0" applyFont="1" applyFill="1" applyBorder="1" applyAlignment="1">
      <alignment horizontal="center" vertical="center"/>
    </xf>
    <xf numFmtId="0" fontId="5" fillId="0" borderId="0" xfId="0" applyFont="1" applyAlignment="1">
      <alignment horizontal="left"/>
    </xf>
    <xf numFmtId="0" fontId="37" fillId="5" borderId="29" xfId="0" applyFont="1" applyFill="1" applyBorder="1" applyAlignment="1">
      <alignment horizontal="center" vertical="center"/>
    </xf>
    <xf numFmtId="0" fontId="37" fillId="5" borderId="30" xfId="0" applyFont="1" applyFill="1" applyBorder="1" applyAlignment="1">
      <alignment horizontal="center" vertical="center"/>
    </xf>
    <xf numFmtId="0" fontId="37" fillId="5" borderId="31" xfId="0" applyFont="1" applyFill="1" applyBorder="1" applyAlignment="1">
      <alignment horizontal="center" vertical="center"/>
    </xf>
    <xf numFmtId="0" fontId="33" fillId="0" borderId="5" xfId="0" applyFont="1" applyFill="1" applyBorder="1" applyAlignment="1">
      <alignment horizontal="center"/>
    </xf>
    <xf numFmtId="0" fontId="33" fillId="0" borderId="24" xfId="0" applyFont="1" applyFill="1" applyBorder="1" applyAlignment="1">
      <alignment horizontal="center"/>
    </xf>
    <xf numFmtId="0" fontId="33" fillId="0" borderId="7" xfId="0" applyFont="1" applyFill="1" applyBorder="1" applyAlignment="1">
      <alignment horizontal="center"/>
    </xf>
    <xf numFmtId="0" fontId="33" fillId="0" borderId="1" xfId="0" applyFont="1" applyFill="1" applyBorder="1" applyAlignment="1">
      <alignment horizontal="center"/>
    </xf>
    <xf numFmtId="0" fontId="33" fillId="0" borderId="9" xfId="0" applyFont="1" applyFill="1" applyBorder="1" applyAlignment="1">
      <alignment horizontal="center"/>
    </xf>
    <xf numFmtId="0" fontId="33" fillId="0" borderId="25" xfId="0" applyFont="1" applyFill="1" applyBorder="1" applyAlignment="1">
      <alignment horizontal="center"/>
    </xf>
    <xf numFmtId="0" fontId="21" fillId="0" borderId="46"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1" xfId="0" applyFont="1" applyFill="1" applyBorder="1" applyAlignment="1">
      <alignment horizontal="center" wrapText="1"/>
    </xf>
    <xf numFmtId="0" fontId="21" fillId="0" borderId="25" xfId="0" applyFont="1" applyFill="1" applyBorder="1" applyAlignment="1">
      <alignment horizontal="center" wrapText="1"/>
    </xf>
    <xf numFmtId="0" fontId="21" fillId="0" borderId="1"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21" fillId="0" borderId="56"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0" borderId="66"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43" fillId="16" borderId="24" xfId="0" applyFont="1" applyFill="1" applyBorder="1" applyAlignment="1">
      <alignment horizontal="center" vertical="center" wrapText="1"/>
    </xf>
    <xf numFmtId="0" fontId="37" fillId="16" borderId="5" xfId="0" applyFont="1" applyFill="1" applyBorder="1" applyAlignment="1">
      <alignment horizontal="center" vertical="center" wrapText="1"/>
    </xf>
    <xf numFmtId="0" fontId="37" fillId="16" borderId="9" xfId="0" applyFont="1" applyFill="1" applyBorder="1" applyAlignment="1">
      <alignment horizontal="center" vertical="center" wrapText="1"/>
    </xf>
    <xf numFmtId="9" fontId="28" fillId="0" borderId="4" xfId="1" applyNumberFormat="1" applyFont="1" applyFill="1" applyBorder="1" applyAlignment="1">
      <alignment horizontal="right" vertical="center" wrapText="1"/>
    </xf>
    <xf numFmtId="9" fontId="28" fillId="0" borderId="18" xfId="1" applyNumberFormat="1" applyFont="1" applyFill="1" applyBorder="1" applyAlignment="1">
      <alignment horizontal="right" vertical="center" wrapText="1"/>
    </xf>
    <xf numFmtId="42" fontId="28" fillId="0" borderId="4" xfId="5" applyFont="1" applyFill="1" applyBorder="1" applyAlignment="1">
      <alignment horizontal="right" vertical="center"/>
    </xf>
    <xf numFmtId="42" fontId="28" fillId="0" borderId="18" xfId="5" applyFont="1" applyFill="1" applyBorder="1" applyAlignment="1">
      <alignment horizontal="right" vertical="center"/>
    </xf>
    <xf numFmtId="0" fontId="28" fillId="0" borderId="4" xfId="0" applyFont="1" applyFill="1" applyBorder="1" applyAlignment="1">
      <alignment horizontal="right"/>
    </xf>
    <xf numFmtId="0" fontId="28" fillId="0" borderId="18" xfId="0" applyFont="1" applyFill="1" applyBorder="1" applyAlignment="1">
      <alignment horizontal="right"/>
    </xf>
    <xf numFmtId="42" fontId="28" fillId="0" borderId="17" xfId="0" applyNumberFormat="1" applyFont="1" applyFill="1" applyBorder="1" applyAlignment="1">
      <alignment horizontal="right" vertical="center"/>
    </xf>
    <xf numFmtId="9" fontId="28" fillId="0" borderId="17" xfId="1" applyNumberFormat="1" applyFont="1" applyFill="1" applyBorder="1" applyAlignment="1">
      <alignment horizontal="right" vertical="center"/>
    </xf>
    <xf numFmtId="42" fontId="28" fillId="0" borderId="17" xfId="5" applyFont="1" applyFill="1" applyBorder="1" applyAlignment="1">
      <alignment horizontal="right" vertical="center"/>
    </xf>
    <xf numFmtId="10" fontId="28" fillId="0" borderId="4" xfId="1" applyNumberFormat="1" applyFont="1" applyFill="1" applyBorder="1" applyAlignment="1">
      <alignment horizontal="center" vertical="center"/>
    </xf>
    <xf numFmtId="10" fontId="28" fillId="0" borderId="18" xfId="1" applyNumberFormat="1" applyFont="1" applyFill="1" applyBorder="1" applyAlignment="1">
      <alignment horizontal="center" vertical="center"/>
    </xf>
    <xf numFmtId="9" fontId="28" fillId="0" borderId="4" xfId="1" applyFont="1" applyFill="1" applyBorder="1" applyAlignment="1">
      <alignment horizontal="right" vertical="center"/>
    </xf>
    <xf numFmtId="9" fontId="28" fillId="0" borderId="17" xfId="1" applyFont="1" applyFill="1" applyBorder="1" applyAlignment="1">
      <alignment horizontal="right" vertical="center"/>
    </xf>
    <xf numFmtId="9" fontId="28" fillId="0" borderId="18" xfId="1" applyFont="1" applyFill="1" applyBorder="1" applyAlignment="1">
      <alignment horizontal="right" vertical="center"/>
    </xf>
    <xf numFmtId="42" fontId="28" fillId="0" borderId="4" xfId="5" applyFont="1" applyFill="1" applyBorder="1" applyAlignment="1">
      <alignment horizontal="center" vertical="center"/>
    </xf>
    <xf numFmtId="42" fontId="28" fillId="0" borderId="17" xfId="5" applyFont="1" applyFill="1" applyBorder="1" applyAlignment="1">
      <alignment horizontal="center" vertical="center"/>
    </xf>
    <xf numFmtId="42" fontId="28" fillId="0" borderId="18" xfId="5" applyFont="1" applyFill="1" applyBorder="1" applyAlignment="1">
      <alignment horizontal="center" vertical="center"/>
    </xf>
    <xf numFmtId="0" fontId="28" fillId="0" borderId="17" xfId="0" applyFont="1" applyFill="1" applyBorder="1" applyAlignment="1">
      <alignment horizontal="right"/>
    </xf>
    <xf numFmtId="9" fontId="28" fillId="0" borderId="17" xfId="1" applyNumberFormat="1" applyFont="1" applyFill="1" applyBorder="1" applyAlignment="1">
      <alignment horizontal="right" vertical="center" wrapText="1"/>
    </xf>
    <xf numFmtId="9" fontId="28" fillId="0" borderId="4" xfId="1" applyNumberFormat="1" applyFont="1" applyFill="1" applyBorder="1" applyAlignment="1">
      <alignment horizontal="center" vertical="center" wrapText="1"/>
    </xf>
    <xf numFmtId="9" fontId="28" fillId="0" borderId="18" xfId="1" applyNumberFormat="1" applyFont="1" applyFill="1" applyBorder="1" applyAlignment="1">
      <alignment horizontal="center" vertical="center"/>
    </xf>
    <xf numFmtId="0" fontId="37" fillId="16" borderId="57" xfId="0" applyFont="1" applyFill="1" applyBorder="1" applyAlignment="1">
      <alignment horizontal="center" vertical="center" wrapText="1"/>
    </xf>
    <xf numFmtId="0" fontId="37" fillId="16" borderId="59" xfId="0" applyFont="1" applyFill="1" applyBorder="1" applyAlignment="1">
      <alignment horizontal="center" vertical="center" wrapText="1"/>
    </xf>
    <xf numFmtId="0" fontId="28" fillId="0" borderId="26" xfId="0" applyFont="1" applyFill="1" applyBorder="1" applyAlignment="1">
      <alignment horizontal="justify" vertical="center" wrapText="1"/>
    </xf>
    <xf numFmtId="42" fontId="28" fillId="0" borderId="4" xfId="5" applyFont="1" applyFill="1" applyBorder="1" applyAlignment="1">
      <alignment horizontal="right" wrapText="1"/>
    </xf>
    <xf numFmtId="42" fontId="28" fillId="0" borderId="18" xfId="5" applyFont="1" applyFill="1" applyBorder="1" applyAlignment="1">
      <alignment horizontal="right" wrapText="1"/>
    </xf>
    <xf numFmtId="0" fontId="40" fillId="0" borderId="5" xfId="0" applyFont="1" applyFill="1" applyBorder="1" applyAlignment="1">
      <alignment horizontal="center"/>
    </xf>
    <xf numFmtId="0" fontId="40" fillId="0" borderId="24" xfId="0" applyFont="1" applyFill="1" applyBorder="1" applyAlignment="1">
      <alignment horizontal="center"/>
    </xf>
    <xf numFmtId="0" fontId="40" fillId="0" borderId="7" xfId="0" applyFont="1" applyFill="1" applyBorder="1" applyAlignment="1">
      <alignment horizontal="center"/>
    </xf>
    <xf numFmtId="0" fontId="40" fillId="0" borderId="1" xfId="0" applyFont="1" applyFill="1" applyBorder="1" applyAlignment="1">
      <alignment horizontal="center"/>
    </xf>
    <xf numFmtId="0" fontId="40" fillId="0" borderId="9" xfId="0" applyFont="1" applyFill="1" applyBorder="1" applyAlignment="1">
      <alignment horizontal="center"/>
    </xf>
    <xf numFmtId="0" fontId="40" fillId="0" borderId="25" xfId="0" applyFont="1" applyFill="1" applyBorder="1" applyAlignment="1">
      <alignment horizontal="center"/>
    </xf>
    <xf numFmtId="0" fontId="35" fillId="2" borderId="54" xfId="2" applyFont="1" applyFill="1" applyBorder="1" applyAlignment="1">
      <alignment horizontal="center" vertical="center"/>
    </xf>
    <xf numFmtId="0" fontId="35" fillId="2" borderId="38" xfId="2" applyFont="1" applyFill="1" applyBorder="1" applyAlignment="1">
      <alignment horizontal="center" vertical="center"/>
    </xf>
    <xf numFmtId="0" fontId="35" fillId="2" borderId="39" xfId="2" applyFont="1" applyFill="1" applyBorder="1" applyAlignment="1">
      <alignment horizontal="center" vertical="center"/>
    </xf>
    <xf numFmtId="42" fontId="28" fillId="0" borderId="4" xfId="5" applyFont="1" applyFill="1" applyBorder="1" applyAlignment="1">
      <alignment horizontal="right" vertical="center" wrapText="1"/>
    </xf>
    <xf numFmtId="0" fontId="39" fillId="6" borderId="54" xfId="0" applyFont="1" applyFill="1" applyBorder="1" applyAlignment="1">
      <alignment horizontal="center" vertical="center" wrapText="1" readingOrder="1"/>
    </xf>
    <xf numFmtId="0" fontId="39" fillId="6" borderId="39" xfId="0" applyFont="1" applyFill="1" applyBorder="1" applyAlignment="1">
      <alignment horizontal="center" vertical="center" wrapText="1" readingOrder="1"/>
    </xf>
    <xf numFmtId="0" fontId="20" fillId="0" borderId="54" xfId="0" applyFont="1" applyBorder="1" applyAlignment="1">
      <alignment horizontal="left" vertical="center"/>
    </xf>
    <xf numFmtId="0" fontId="20" fillId="0" borderId="38" xfId="0" applyFont="1" applyBorder="1" applyAlignment="1">
      <alignment horizontal="left" vertical="center"/>
    </xf>
    <xf numFmtId="0" fontId="20" fillId="0" borderId="39" xfId="0" applyFont="1" applyBorder="1" applyAlignment="1">
      <alignment horizontal="left" vertical="center"/>
    </xf>
    <xf numFmtId="9" fontId="39" fillId="7" borderId="54" xfId="0" applyNumberFormat="1" applyFont="1" applyFill="1" applyBorder="1" applyAlignment="1">
      <alignment horizontal="center" vertical="center" wrapText="1" readingOrder="1"/>
    </xf>
    <xf numFmtId="9" fontId="39" fillId="7" borderId="39" xfId="0" applyNumberFormat="1" applyFont="1" applyFill="1" applyBorder="1" applyAlignment="1">
      <alignment horizontal="center" vertical="center" wrapText="1" readingOrder="1"/>
    </xf>
    <xf numFmtId="0" fontId="39" fillId="10" borderId="1" xfId="0" applyFont="1" applyFill="1" applyBorder="1" applyAlignment="1">
      <alignment horizontal="center" vertical="center" wrapText="1" readingOrder="1"/>
    </xf>
    <xf numFmtId="0" fontId="20" fillId="0" borderId="1" xfId="0" applyFont="1" applyBorder="1" applyAlignment="1">
      <alignment vertical="center"/>
    </xf>
    <xf numFmtId="0" fontId="38" fillId="0" borderId="54" xfId="0" applyFont="1" applyBorder="1" applyAlignment="1">
      <alignment horizontal="center" vertical="center"/>
    </xf>
    <xf numFmtId="0" fontId="38" fillId="0" borderId="39" xfId="0" applyFont="1" applyBorder="1" applyAlignment="1">
      <alignment horizontal="center" vertical="center"/>
    </xf>
    <xf numFmtId="0" fontId="39" fillId="11" borderId="54" xfId="0" applyFont="1" applyFill="1" applyBorder="1" applyAlignment="1">
      <alignment horizontal="center" vertical="center" wrapText="1" readingOrder="1"/>
    </xf>
    <xf numFmtId="0" fontId="39" fillId="11" borderId="39" xfId="0" applyFont="1" applyFill="1" applyBorder="1" applyAlignment="1">
      <alignment horizontal="center" vertical="center" wrapText="1" readingOrder="1"/>
    </xf>
    <xf numFmtId="0" fontId="39" fillId="5" borderId="54" xfId="0" applyFont="1" applyFill="1" applyBorder="1" applyAlignment="1">
      <alignment horizontal="center" vertical="center" wrapText="1" readingOrder="1"/>
    </xf>
    <xf numFmtId="0" fontId="39" fillId="5" borderId="39" xfId="0" applyFont="1" applyFill="1" applyBorder="1" applyAlignment="1">
      <alignment horizontal="center" vertical="center" wrapText="1" readingOrder="1"/>
    </xf>
    <xf numFmtId="0" fontId="28" fillId="0" borderId="4" xfId="0" applyFont="1" applyFill="1" applyBorder="1" applyAlignment="1">
      <alignment horizontal="left" vertical="center" wrapText="1"/>
    </xf>
    <xf numFmtId="0" fontId="28" fillId="0" borderId="17" xfId="0" applyFont="1" applyFill="1" applyBorder="1" applyAlignment="1">
      <alignment horizontal="left" vertical="center" wrapText="1"/>
    </xf>
    <xf numFmtId="0" fontId="28" fillId="0" borderId="18" xfId="0" applyFont="1" applyFill="1" applyBorder="1" applyAlignment="1">
      <alignment horizontal="left" vertical="center" wrapText="1"/>
    </xf>
    <xf numFmtId="9" fontId="28" fillId="0" borderId="17" xfId="1" applyNumberFormat="1" applyFont="1" applyFill="1" applyBorder="1" applyAlignment="1">
      <alignment horizontal="center" vertical="center" wrapText="1"/>
    </xf>
    <xf numFmtId="9" fontId="28" fillId="0" borderId="18" xfId="1" applyNumberFormat="1" applyFont="1" applyFill="1" applyBorder="1" applyAlignment="1">
      <alignment horizontal="center" vertical="center" wrapText="1"/>
    </xf>
    <xf numFmtId="9" fontId="28" fillId="0" borderId="4" xfId="0" applyNumberFormat="1" applyFont="1" applyFill="1" applyBorder="1" applyAlignment="1">
      <alignment horizontal="center" vertical="center"/>
    </xf>
    <xf numFmtId="9" fontId="28" fillId="0" borderId="18" xfId="0" applyNumberFormat="1" applyFont="1" applyFill="1" applyBorder="1" applyAlignment="1">
      <alignment horizontal="center" vertical="center"/>
    </xf>
    <xf numFmtId="9" fontId="28" fillId="0" borderId="4" xfId="1" applyNumberFormat="1" applyFont="1" applyFill="1" applyBorder="1" applyAlignment="1">
      <alignment horizontal="center" vertical="center"/>
    </xf>
    <xf numFmtId="9" fontId="28" fillId="0" borderId="17" xfId="1" applyNumberFormat="1" applyFont="1" applyFill="1" applyBorder="1" applyAlignment="1">
      <alignment horizontal="center" vertical="center"/>
    </xf>
    <xf numFmtId="0" fontId="28" fillId="0" borderId="4" xfId="0" applyFont="1" applyFill="1" applyBorder="1" applyAlignment="1">
      <alignment horizontal="center"/>
    </xf>
    <xf numFmtId="0" fontId="28" fillId="0" borderId="17" xfId="0" applyFont="1" applyFill="1" applyBorder="1" applyAlignment="1">
      <alignment horizontal="center"/>
    </xf>
    <xf numFmtId="0" fontId="28" fillId="0" borderId="18" xfId="0" applyFont="1" applyFill="1" applyBorder="1" applyAlignment="1">
      <alignment horizontal="center"/>
    </xf>
    <xf numFmtId="0" fontId="28" fillId="0" borderId="19" xfId="0" applyFont="1" applyBorder="1" applyAlignment="1">
      <alignment horizontal="center" vertical="center"/>
    </xf>
    <xf numFmtId="0" fontId="28" fillId="0" borderId="17" xfId="0" applyFont="1" applyBorder="1" applyAlignment="1">
      <alignment horizontal="center" vertical="center"/>
    </xf>
    <xf numFmtId="0" fontId="28" fillId="0" borderId="18" xfId="0" applyFont="1" applyBorder="1" applyAlignment="1">
      <alignment horizontal="center" vertical="center"/>
    </xf>
    <xf numFmtId="42" fontId="28" fillId="0" borderId="1" xfId="5" applyFont="1" applyFill="1" applyBorder="1" applyAlignment="1">
      <alignment horizontal="right" vertical="center"/>
    </xf>
    <xf numFmtId="0" fontId="28" fillId="0" borderId="4" xfId="1" applyNumberFormat="1" applyFont="1" applyFill="1" applyBorder="1" applyAlignment="1">
      <alignment horizontal="center" vertical="center"/>
    </xf>
    <xf numFmtId="0" fontId="28" fillId="0" borderId="17" xfId="1" applyNumberFormat="1" applyFont="1" applyFill="1" applyBorder="1" applyAlignment="1">
      <alignment horizontal="center" vertical="center"/>
    </xf>
    <xf numFmtId="0" fontId="28" fillId="0" borderId="18" xfId="1" applyNumberFormat="1" applyFont="1" applyFill="1" applyBorder="1" applyAlignment="1">
      <alignment horizontal="center"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0" fontId="37" fillId="16" borderId="21" xfId="0" applyFont="1" applyFill="1" applyBorder="1" applyAlignment="1">
      <alignment horizontal="center" vertical="center" wrapText="1"/>
    </xf>
    <xf numFmtId="0" fontId="37" fillId="16" borderId="23" xfId="0" applyFont="1" applyFill="1" applyBorder="1" applyAlignment="1">
      <alignment horizontal="center" vertical="center" wrapText="1"/>
    </xf>
    <xf numFmtId="0" fontId="18" fillId="0" borderId="0" xfId="0" applyFont="1" applyAlignment="1">
      <alignment horizontal="left"/>
    </xf>
    <xf numFmtId="0" fontId="28" fillId="0" borderId="1" xfId="0" applyFont="1" applyFill="1" applyBorder="1" applyAlignment="1">
      <alignment horizontal="right" vertical="center"/>
    </xf>
    <xf numFmtId="0" fontId="37" fillId="16" borderId="30" xfId="0" applyFont="1" applyFill="1" applyBorder="1" applyAlignment="1">
      <alignment horizontal="center" vertical="center" wrapText="1"/>
    </xf>
    <xf numFmtId="9" fontId="28" fillId="0" borderId="1" xfId="1" applyNumberFormat="1" applyFont="1" applyFill="1" applyBorder="1" applyAlignment="1">
      <alignment horizontal="right" vertical="center" wrapText="1"/>
    </xf>
    <xf numFmtId="9"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xf>
    <xf numFmtId="42" fontId="28" fillId="0" borderId="1" xfId="5" applyFont="1" applyFill="1" applyBorder="1" applyAlignment="1">
      <alignment horizontal="right" vertical="center" wrapText="1"/>
    </xf>
    <xf numFmtId="42" fontId="28" fillId="0" borderId="1" xfId="0" applyNumberFormat="1" applyFont="1" applyFill="1" applyBorder="1" applyAlignment="1">
      <alignment horizontal="right" vertical="center"/>
    </xf>
    <xf numFmtId="9" fontId="28" fillId="0" borderId="1" xfId="1" applyFont="1" applyFill="1" applyBorder="1" applyAlignment="1">
      <alignment horizontal="right" vertical="center"/>
    </xf>
    <xf numFmtId="8" fontId="28" fillId="0" borderId="1" xfId="0" applyNumberFormat="1" applyFont="1" applyFill="1" applyBorder="1" applyAlignment="1">
      <alignment horizontal="right" vertical="center"/>
    </xf>
    <xf numFmtId="0" fontId="28" fillId="0" borderId="1" xfId="0" applyFont="1" applyFill="1" applyBorder="1" applyAlignment="1">
      <alignment horizontal="center"/>
    </xf>
    <xf numFmtId="0" fontId="0" fillId="0" borderId="5" xfId="0" applyFill="1" applyBorder="1" applyAlignment="1">
      <alignment horizontal="center"/>
    </xf>
    <xf numFmtId="0" fontId="0" fillId="0" borderId="24"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9" xfId="0" applyFill="1" applyBorder="1" applyAlignment="1">
      <alignment horizontal="center"/>
    </xf>
    <xf numFmtId="0" fontId="0" fillId="0" borderId="25" xfId="0" applyFill="1" applyBorder="1" applyAlignment="1">
      <alignment horizontal="center"/>
    </xf>
    <xf numFmtId="42" fontId="20" fillId="0" borderId="1" xfId="27" applyFont="1" applyFill="1" applyBorder="1" applyAlignment="1">
      <alignment horizontal="right" vertical="center"/>
    </xf>
    <xf numFmtId="42" fontId="28" fillId="0" borderId="1" xfId="5" applyFont="1" applyBorder="1" applyAlignment="1">
      <alignment horizontal="right" vertical="center"/>
    </xf>
    <xf numFmtId="0" fontId="28" fillId="0" borderId="1" xfId="0"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0" borderId="1" xfId="0" applyFont="1" applyFill="1" applyBorder="1" applyAlignment="1">
      <alignment horizontal="center" vertical="center"/>
    </xf>
    <xf numFmtId="0" fontId="28" fillId="0" borderId="4" xfId="0" applyFont="1" applyFill="1" applyBorder="1" applyAlignment="1">
      <alignment horizontal="center" vertical="center" wrapText="1"/>
    </xf>
    <xf numFmtId="0" fontId="28" fillId="0" borderId="18" xfId="0" applyFont="1" applyFill="1" applyBorder="1" applyAlignment="1">
      <alignment horizontal="center" vertical="center" wrapText="1"/>
    </xf>
    <xf numFmtId="42" fontId="28" fillId="0" borderId="1" xfId="27" applyFont="1" applyFill="1" applyBorder="1" applyAlignment="1">
      <alignment horizontal="right" vertical="center"/>
    </xf>
    <xf numFmtId="42" fontId="20" fillId="0" borderId="1" xfId="5" applyFont="1" applyFill="1" applyBorder="1" applyAlignment="1">
      <alignment horizontal="right" vertical="center"/>
    </xf>
    <xf numFmtId="42" fontId="28" fillId="6" borderId="1" xfId="5" applyFont="1" applyFill="1" applyBorder="1" applyAlignment="1">
      <alignment horizontal="right" vertical="center" wrapText="1"/>
    </xf>
    <xf numFmtId="6" fontId="28" fillId="0" borderId="4" xfId="0" applyNumberFormat="1" applyFont="1" applyFill="1" applyBorder="1" applyAlignment="1">
      <alignment horizontal="right" vertical="center"/>
    </xf>
    <xf numFmtId="6" fontId="28" fillId="0" borderId="18"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justify" vertical="center"/>
    </xf>
    <xf numFmtId="9" fontId="20" fillId="0" borderId="1" xfId="0" applyNumberFormat="1" applyFont="1" applyFill="1" applyBorder="1" applyAlignment="1">
      <alignment horizontal="right" vertical="center"/>
    </xf>
    <xf numFmtId="0" fontId="7" fillId="0" borderId="54" xfId="0" applyFont="1" applyBorder="1" applyAlignment="1">
      <alignment horizontal="center" vertical="center"/>
    </xf>
    <xf numFmtId="0" fontId="7" fillId="0" borderId="39" xfId="0" applyFont="1" applyBorder="1" applyAlignment="1">
      <alignment horizontal="center" vertical="center"/>
    </xf>
    <xf numFmtId="0" fontId="8" fillId="0" borderId="54" xfId="0" applyFont="1" applyBorder="1" applyAlignment="1">
      <alignment horizontal="left"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9" fillId="11" borderId="54" xfId="0" applyFont="1" applyFill="1" applyBorder="1" applyAlignment="1">
      <alignment horizontal="center" vertical="center" wrapText="1" readingOrder="1"/>
    </xf>
    <xf numFmtId="0" fontId="9" fillId="11" borderId="39" xfId="0" applyFont="1" applyFill="1" applyBorder="1" applyAlignment="1">
      <alignment horizontal="center" vertical="center" wrapText="1" readingOrder="1"/>
    </xf>
    <xf numFmtId="0" fontId="15" fillId="2" borderId="54" xfId="2" applyFont="1" applyFill="1" applyBorder="1" applyAlignment="1">
      <alignment horizontal="center" vertical="center"/>
    </xf>
    <xf numFmtId="0" fontId="15" fillId="2" borderId="38" xfId="2" applyFont="1" applyFill="1" applyBorder="1" applyAlignment="1">
      <alignment horizontal="center" vertical="center"/>
    </xf>
    <xf numFmtId="0" fontId="15" fillId="2" borderId="39" xfId="2" applyFont="1" applyFill="1" applyBorder="1" applyAlignment="1">
      <alignment horizontal="center" vertical="center"/>
    </xf>
    <xf numFmtId="0" fontId="9" fillId="10" borderId="1" xfId="0" applyFont="1" applyFill="1" applyBorder="1" applyAlignment="1">
      <alignment horizontal="center" vertical="center" wrapText="1" readingOrder="1"/>
    </xf>
    <xf numFmtId="0" fontId="8" fillId="0" borderId="1" xfId="0" applyFont="1" applyBorder="1" applyAlignment="1">
      <alignment vertical="center"/>
    </xf>
    <xf numFmtId="0" fontId="9" fillId="5" borderId="54" xfId="0" applyFont="1" applyFill="1" applyBorder="1" applyAlignment="1">
      <alignment horizontal="center" vertical="center" wrapText="1" readingOrder="1"/>
    </xf>
    <xf numFmtId="0" fontId="9" fillId="5" borderId="39" xfId="0" applyFont="1" applyFill="1" applyBorder="1" applyAlignment="1">
      <alignment horizontal="center" vertical="center" wrapText="1" readingOrder="1"/>
    </xf>
    <xf numFmtId="0" fontId="9" fillId="6" borderId="54" xfId="0" applyFont="1" applyFill="1" applyBorder="1" applyAlignment="1">
      <alignment horizontal="center" vertical="center" wrapText="1" readingOrder="1"/>
    </xf>
    <xf numFmtId="0" fontId="9" fillId="6" borderId="39" xfId="0" applyFont="1" applyFill="1" applyBorder="1" applyAlignment="1">
      <alignment horizontal="center" vertical="center" wrapText="1" readingOrder="1"/>
    </xf>
    <xf numFmtId="9" fontId="9" fillId="7" borderId="54" xfId="0" applyNumberFormat="1" applyFont="1" applyFill="1" applyBorder="1" applyAlignment="1">
      <alignment horizontal="center" vertical="center" wrapText="1" readingOrder="1"/>
    </xf>
    <xf numFmtId="9" fontId="9" fillId="7" borderId="39" xfId="0" applyNumberFormat="1" applyFont="1" applyFill="1" applyBorder="1" applyAlignment="1">
      <alignment horizontal="center" vertical="center" wrapText="1" readingOrder="1"/>
    </xf>
    <xf numFmtId="0" fontId="2" fillId="0" borderId="0" xfId="0" applyFont="1" applyAlignment="1">
      <alignment horizontal="center"/>
    </xf>
    <xf numFmtId="0" fontId="20" fillId="0" borderId="33" xfId="0" applyFont="1" applyBorder="1" applyAlignment="1">
      <alignment horizontal="center"/>
    </xf>
    <xf numFmtId="0" fontId="20" fillId="0" borderId="57" xfId="0" applyFont="1" applyBorder="1" applyAlignment="1">
      <alignment horizontal="center"/>
    </xf>
    <xf numFmtId="0" fontId="20" fillId="0" borderId="32" xfId="0" applyFont="1" applyBorder="1" applyAlignment="1">
      <alignment horizontal="center"/>
    </xf>
    <xf numFmtId="0" fontId="20" fillId="0" borderId="0" xfId="0" applyFont="1" applyBorder="1" applyAlignment="1">
      <alignment horizontal="center"/>
    </xf>
    <xf numFmtId="0" fontId="20" fillId="0" borderId="34" xfId="0" applyFont="1" applyBorder="1" applyAlignment="1">
      <alignment horizontal="center"/>
    </xf>
    <xf numFmtId="0" fontId="20" fillId="0" borderId="59" xfId="0" applyFont="1" applyBorder="1" applyAlignment="1">
      <alignment horizontal="center"/>
    </xf>
    <xf numFmtId="0" fontId="5" fillId="0" borderId="33" xfId="0" applyFont="1" applyBorder="1" applyAlignment="1">
      <alignment horizontal="center"/>
    </xf>
    <xf numFmtId="0" fontId="5" fillId="0" borderId="57" xfId="0" applyFont="1" applyBorder="1" applyAlignment="1">
      <alignment horizontal="center"/>
    </xf>
    <xf numFmtId="0" fontId="5" fillId="0" borderId="32" xfId="0" applyFont="1" applyBorder="1" applyAlignment="1">
      <alignment horizontal="center"/>
    </xf>
    <xf numFmtId="0" fontId="5" fillId="0" borderId="0" xfId="0" applyFont="1" applyBorder="1" applyAlignment="1">
      <alignment horizontal="center"/>
    </xf>
    <xf numFmtId="0" fontId="5" fillId="0" borderId="34" xfId="0" applyFont="1" applyBorder="1" applyAlignment="1">
      <alignment horizontal="center"/>
    </xf>
    <xf numFmtId="0" fontId="5" fillId="0" borderId="59" xfId="0" applyFont="1" applyBorder="1" applyAlignment="1">
      <alignment horizontal="center"/>
    </xf>
    <xf numFmtId="0" fontId="0" fillId="0" borderId="33" xfId="0" applyBorder="1" applyAlignment="1">
      <alignment horizontal="center"/>
    </xf>
    <xf numFmtId="0" fontId="0" fillId="0" borderId="57"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0" xfId="0" applyBorder="1" applyAlignment="1">
      <alignment horizontal="center"/>
    </xf>
    <xf numFmtId="0" fontId="0" fillId="0" borderId="41" xfId="0" applyBorder="1" applyAlignment="1">
      <alignment horizontal="center"/>
    </xf>
    <xf numFmtId="0" fontId="0" fillId="0" borderId="34" xfId="0" applyBorder="1" applyAlignment="1">
      <alignment horizontal="center"/>
    </xf>
    <xf numFmtId="0" fontId="0" fillId="0" borderId="59" xfId="0" applyBorder="1" applyAlignment="1">
      <alignment horizontal="center"/>
    </xf>
    <xf numFmtId="0" fontId="0" fillId="0" borderId="44" xfId="0" applyBorder="1" applyAlignment="1">
      <alignment horizontal="center"/>
    </xf>
    <xf numFmtId="0" fontId="5" fillId="0" borderId="46" xfId="0" applyFont="1" applyBorder="1" applyAlignment="1">
      <alignment horizontal="center"/>
    </xf>
    <xf numFmtId="0" fontId="5" fillId="0" borderId="38" xfId="0" applyFont="1" applyBorder="1" applyAlignment="1">
      <alignment horizontal="center"/>
    </xf>
    <xf numFmtId="0" fontId="5" fillId="0" borderId="53" xfId="0" applyFont="1" applyBorder="1" applyAlignment="1">
      <alignment horizontal="center"/>
    </xf>
    <xf numFmtId="0" fontId="5" fillId="0" borderId="62" xfId="0" applyFont="1" applyFill="1" applyBorder="1" applyAlignment="1">
      <alignment horizontal="center"/>
    </xf>
    <xf numFmtId="0" fontId="5" fillId="0" borderId="64" xfId="0" applyFont="1" applyFill="1" applyBorder="1" applyAlignment="1">
      <alignment horizontal="center"/>
    </xf>
    <xf numFmtId="0" fontId="5" fillId="0" borderId="65" xfId="0" applyFont="1" applyFill="1" applyBorder="1" applyAlignment="1">
      <alignment horizontal="center"/>
    </xf>
    <xf numFmtId="0" fontId="5" fillId="2" borderId="63" xfId="0" applyFont="1" applyFill="1" applyBorder="1" applyAlignment="1">
      <alignment horizontal="center" vertical="center"/>
    </xf>
    <xf numFmtId="0" fontId="5" fillId="2" borderId="61" xfId="0" applyFont="1" applyFill="1" applyBorder="1" applyAlignment="1">
      <alignment horizontal="center" vertical="center"/>
    </xf>
    <xf numFmtId="9" fontId="59" fillId="13" borderId="4" xfId="1" applyFont="1" applyFill="1" applyBorder="1" applyAlignment="1">
      <alignment horizontal="center" vertical="center"/>
    </xf>
    <xf numFmtId="9" fontId="59" fillId="13" borderId="17" xfId="1" applyFont="1" applyFill="1" applyBorder="1" applyAlignment="1">
      <alignment horizontal="center" vertical="center"/>
    </xf>
    <xf numFmtId="9" fontId="59" fillId="13" borderId="18" xfId="1" applyFont="1" applyFill="1" applyBorder="1" applyAlignment="1">
      <alignment horizontal="center" vertical="center"/>
    </xf>
    <xf numFmtId="9" fontId="59" fillId="13" borderId="12" xfId="1" applyFont="1" applyFill="1" applyBorder="1" applyAlignment="1">
      <alignment horizontal="center" vertical="center"/>
    </xf>
    <xf numFmtId="9" fontId="59" fillId="13" borderId="58" xfId="1" applyFont="1" applyFill="1" applyBorder="1" applyAlignment="1">
      <alignment horizontal="center" vertical="center"/>
    </xf>
    <xf numFmtId="9" fontId="59" fillId="13" borderId="16" xfId="1" applyFont="1" applyFill="1" applyBorder="1" applyAlignment="1">
      <alignment horizontal="center" vertical="center"/>
    </xf>
    <xf numFmtId="9" fontId="59" fillId="18" borderId="4" xfId="1" applyFont="1" applyFill="1" applyBorder="1" applyAlignment="1">
      <alignment horizontal="center" vertical="center"/>
    </xf>
    <xf numFmtId="9" fontId="59" fillId="18" borderId="17" xfId="1" applyFont="1" applyFill="1" applyBorder="1" applyAlignment="1">
      <alignment horizontal="center" vertical="center"/>
    </xf>
    <xf numFmtId="9" fontId="59" fillId="18" borderId="18" xfId="1" applyFont="1" applyFill="1" applyBorder="1" applyAlignment="1">
      <alignment horizontal="center" vertical="center"/>
    </xf>
    <xf numFmtId="9" fontId="59" fillId="18" borderId="12" xfId="1" applyFont="1" applyFill="1" applyBorder="1" applyAlignment="1">
      <alignment horizontal="center" vertical="center"/>
    </xf>
    <xf numFmtId="9" fontId="59" fillId="18" borderId="58" xfId="1" applyFont="1" applyFill="1" applyBorder="1" applyAlignment="1">
      <alignment horizontal="center" vertical="center"/>
    </xf>
    <xf numFmtId="9" fontId="59" fillId="18" borderId="16" xfId="1" applyFont="1" applyFill="1" applyBorder="1" applyAlignment="1">
      <alignment horizontal="center" vertical="center"/>
    </xf>
    <xf numFmtId="0" fontId="44" fillId="0" borderId="26"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44" fillId="0" borderId="4"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18" xfId="0" applyFont="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justify" vertical="center" wrapText="1"/>
    </xf>
    <xf numFmtId="0" fontId="44" fillId="0" borderId="1" xfId="0" applyFont="1" applyBorder="1" applyAlignment="1">
      <alignment horizontal="justify" vertical="center" wrapText="1"/>
    </xf>
    <xf numFmtId="0" fontId="44" fillId="0" borderId="43" xfId="0" applyFont="1" applyBorder="1" applyAlignment="1">
      <alignment horizontal="center" vertical="center" wrapText="1"/>
    </xf>
    <xf numFmtId="0" fontId="44" fillId="0" borderId="4" xfId="0" applyFont="1" applyFill="1" applyBorder="1" applyAlignment="1">
      <alignment horizontal="justify" vertical="center" wrapText="1"/>
    </xf>
    <xf numFmtId="0" fontId="44" fillId="0" borderId="17" xfId="0" applyFont="1" applyFill="1" applyBorder="1" applyAlignment="1">
      <alignment horizontal="justify" vertical="center" wrapText="1"/>
    </xf>
    <xf numFmtId="0" fontId="44" fillId="0" borderId="18" xfId="0" applyFont="1" applyFill="1" applyBorder="1" applyAlignment="1">
      <alignment horizontal="justify" vertical="center" wrapText="1"/>
    </xf>
    <xf numFmtId="0" fontId="44" fillId="0" borderId="4" xfId="0" applyFont="1" applyFill="1" applyBorder="1" applyAlignment="1">
      <alignment horizontal="center" vertical="center" wrapText="1"/>
    </xf>
    <xf numFmtId="0" fontId="44" fillId="0" borderId="26" xfId="0" applyFont="1" applyFill="1" applyBorder="1" applyAlignment="1">
      <alignment horizontal="justify" vertical="center" wrapText="1"/>
    </xf>
    <xf numFmtId="0" fontId="64" fillId="0" borderId="12" xfId="0" applyFont="1" applyBorder="1" applyAlignment="1">
      <alignment horizontal="center" vertical="center" wrapText="1"/>
    </xf>
    <xf numFmtId="0" fontId="64" fillId="0" borderId="58" xfId="0" applyFont="1" applyBorder="1" applyAlignment="1">
      <alignment horizontal="center" vertical="center" wrapText="1"/>
    </xf>
    <xf numFmtId="0" fontId="64" fillId="0" borderId="16" xfId="0" applyFont="1" applyBorder="1" applyAlignment="1">
      <alignment horizontal="center" vertical="center" wrapText="1"/>
    </xf>
    <xf numFmtId="0" fontId="44" fillId="0" borderId="43" xfId="0" applyFont="1" applyFill="1" applyBorder="1" applyAlignment="1">
      <alignment horizontal="center" vertical="center" wrapText="1"/>
    </xf>
    <xf numFmtId="0" fontId="48" fillId="17" borderId="35" xfId="0" applyFont="1" applyFill="1" applyBorder="1" applyAlignment="1">
      <alignment horizontal="center" vertical="center"/>
    </xf>
    <xf numFmtId="0" fontId="48" fillId="17" borderId="26" xfId="0" applyFont="1" applyFill="1" applyBorder="1" applyAlignment="1">
      <alignment horizontal="center" vertical="center"/>
    </xf>
    <xf numFmtId="0" fontId="48" fillId="17" borderId="42" xfId="0" applyFont="1" applyFill="1" applyBorder="1" applyAlignment="1">
      <alignment horizontal="center" vertical="center"/>
    </xf>
    <xf numFmtId="0" fontId="48" fillId="17" borderId="68" xfId="0" applyFont="1" applyFill="1" applyBorder="1" applyAlignment="1">
      <alignment horizontal="center" vertical="center"/>
    </xf>
    <xf numFmtId="0" fontId="48" fillId="17" borderId="36" xfId="0" applyFont="1" applyFill="1" applyBorder="1" applyAlignment="1">
      <alignment horizontal="center" vertical="center"/>
    </xf>
    <xf numFmtId="0" fontId="58" fillId="0" borderId="70" xfId="0" applyFont="1" applyBorder="1" applyAlignment="1">
      <alignment horizontal="center" vertical="center" wrapText="1"/>
    </xf>
    <xf numFmtId="0" fontId="58" fillId="0" borderId="46" xfId="0" applyFont="1" applyBorder="1" applyAlignment="1">
      <alignment horizontal="center" vertical="center" wrapText="1"/>
    </xf>
    <xf numFmtId="0" fontId="58" fillId="0" borderId="47" xfId="0" applyFont="1" applyBorder="1" applyAlignment="1">
      <alignment horizontal="center" vertical="center" wrapText="1"/>
    </xf>
    <xf numFmtId="0" fontId="63" fillId="0" borderId="4" xfId="0" applyFont="1" applyBorder="1" applyAlignment="1">
      <alignment horizontal="justify" vertical="center" wrapText="1"/>
    </xf>
    <xf numFmtId="0" fontId="63" fillId="0" borderId="17" xfId="0" applyFont="1" applyBorder="1" applyAlignment="1">
      <alignment horizontal="justify" vertical="center" wrapText="1"/>
    </xf>
    <xf numFmtId="0" fontId="63" fillId="0" borderId="18" xfId="0" applyFont="1" applyBorder="1" applyAlignment="1">
      <alignment horizontal="justify" vertical="center" wrapText="1"/>
    </xf>
    <xf numFmtId="0" fontId="33" fillId="0" borderId="4" xfId="0" applyFont="1" applyBorder="1" applyAlignment="1">
      <alignment horizontal="justify" vertical="center" wrapText="1"/>
    </xf>
    <xf numFmtId="0" fontId="33" fillId="0" borderId="17" xfId="0" applyFont="1" applyBorder="1" applyAlignment="1">
      <alignment horizontal="justify" vertical="center" wrapText="1"/>
    </xf>
    <xf numFmtId="0" fontId="33" fillId="0" borderId="43" xfId="0" applyFont="1" applyBorder="1" applyAlignment="1">
      <alignment horizontal="justify" vertical="center" wrapText="1"/>
    </xf>
    <xf numFmtId="0" fontId="63" fillId="0" borderId="43" xfId="0" applyFont="1" applyBorder="1" applyAlignment="1">
      <alignment horizontal="justify" vertical="center" wrapText="1"/>
    </xf>
    <xf numFmtId="9" fontId="59" fillId="18" borderId="12" xfId="1" applyFont="1" applyFill="1" applyBorder="1" applyAlignment="1">
      <alignment horizontal="right" vertical="center"/>
    </xf>
    <xf numFmtId="9" fontId="59" fillId="18" borderId="16" xfId="1" applyFont="1" applyFill="1" applyBorder="1" applyAlignment="1">
      <alignment horizontal="right" vertical="center"/>
    </xf>
    <xf numFmtId="9" fontId="59" fillId="13" borderId="4" xfId="1" applyFont="1" applyFill="1" applyBorder="1" applyAlignment="1">
      <alignment horizontal="right" vertical="center"/>
    </xf>
    <xf numFmtId="9" fontId="59" fillId="13" borderId="17" xfId="1" applyFont="1" applyFill="1" applyBorder="1" applyAlignment="1">
      <alignment horizontal="right" vertical="center"/>
    </xf>
    <xf numFmtId="9" fontId="59" fillId="13" borderId="18" xfId="1" applyFont="1" applyFill="1" applyBorder="1" applyAlignment="1">
      <alignment horizontal="right" vertical="center"/>
    </xf>
    <xf numFmtId="9" fontId="59" fillId="18" borderId="4" xfId="1" applyFont="1" applyFill="1" applyBorder="1" applyAlignment="1">
      <alignment horizontal="right" vertical="center"/>
    </xf>
    <xf numFmtId="9" fontId="59" fillId="18" borderId="17" xfId="1" applyFont="1" applyFill="1" applyBorder="1" applyAlignment="1">
      <alignment horizontal="right" vertical="center"/>
    </xf>
    <xf numFmtId="9" fontId="59" fillId="18" borderId="18" xfId="1" applyFont="1" applyFill="1" applyBorder="1" applyAlignment="1">
      <alignment horizontal="right" vertical="center"/>
    </xf>
    <xf numFmtId="9" fontId="59" fillId="13" borderId="12" xfId="1" applyFont="1" applyFill="1" applyBorder="1" applyAlignment="1">
      <alignment horizontal="right" vertical="center"/>
    </xf>
    <xf numFmtId="9" fontId="59" fillId="13" borderId="58" xfId="1" applyFont="1" applyFill="1" applyBorder="1" applyAlignment="1">
      <alignment horizontal="right" vertical="center"/>
    </xf>
    <xf numFmtId="9" fontId="59" fillId="13" borderId="16" xfId="1" applyFont="1" applyFill="1" applyBorder="1" applyAlignment="1">
      <alignment horizontal="right" vertical="center"/>
    </xf>
    <xf numFmtId="0" fontId="63" fillId="0" borderId="1" xfId="0" applyFont="1" applyBorder="1" applyAlignment="1">
      <alignment horizontal="justify" vertical="center" wrapText="1"/>
    </xf>
    <xf numFmtId="0" fontId="44" fillId="0" borderId="26" xfId="0" applyFont="1" applyBorder="1" applyAlignment="1">
      <alignment horizontal="justify" vertical="center" wrapText="1"/>
    </xf>
    <xf numFmtId="0" fontId="44" fillId="0" borderId="26" xfId="0" applyFont="1" applyBorder="1" applyAlignment="1">
      <alignment horizontal="center" vertical="center" wrapText="1"/>
    </xf>
    <xf numFmtId="9" fontId="60" fillId="13" borderId="11" xfId="1" applyFont="1" applyFill="1" applyBorder="1" applyAlignment="1">
      <alignment horizontal="right" vertical="center"/>
    </xf>
    <xf numFmtId="9" fontId="60" fillId="13" borderId="14" xfId="1" applyFont="1" applyFill="1" applyBorder="1" applyAlignment="1">
      <alignment horizontal="right" vertical="center"/>
    </xf>
    <xf numFmtId="9" fontId="60" fillId="13" borderId="37" xfId="1" applyFont="1" applyFill="1" applyBorder="1" applyAlignment="1">
      <alignment horizontal="right" vertical="center"/>
    </xf>
    <xf numFmtId="0" fontId="55" fillId="0" borderId="41" xfId="0" applyFont="1" applyBorder="1" applyAlignment="1">
      <alignment horizontal="center" vertical="center" wrapText="1"/>
    </xf>
    <xf numFmtId="0" fontId="55" fillId="0" borderId="44"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23" xfId="0" applyNumberFormat="1" applyFont="1" applyFill="1" applyBorder="1" applyAlignment="1">
      <alignment horizontal="center" vertical="center"/>
    </xf>
    <xf numFmtId="0" fontId="63" fillId="0" borderId="26" xfId="0" applyFont="1" applyBorder="1" applyAlignment="1">
      <alignment horizontal="justify" vertical="center" wrapText="1"/>
    </xf>
    <xf numFmtId="0" fontId="64" fillId="0" borderId="28" xfId="0" applyFont="1" applyFill="1" applyBorder="1" applyAlignment="1">
      <alignment horizontal="center" vertical="center" wrapText="1"/>
    </xf>
    <xf numFmtId="0" fontId="64" fillId="0" borderId="58" xfId="0" applyFont="1" applyFill="1" applyBorder="1" applyAlignment="1">
      <alignment horizontal="center" vertical="center" wrapText="1"/>
    </xf>
    <xf numFmtId="0" fontId="64" fillId="0" borderId="16" xfId="0" applyFont="1" applyFill="1" applyBorder="1" applyAlignment="1">
      <alignment horizontal="center" vertical="center" wrapText="1"/>
    </xf>
    <xf numFmtId="0" fontId="44" fillId="0" borderId="4" xfId="0" applyFont="1" applyFill="1" applyBorder="1" applyAlignment="1">
      <alignment horizontal="center" vertical="center"/>
    </xf>
    <xf numFmtId="0" fontId="44" fillId="0" borderId="17" xfId="0" applyFont="1" applyFill="1" applyBorder="1" applyAlignment="1">
      <alignment horizontal="center" vertical="center"/>
    </xf>
    <xf numFmtId="0" fontId="44" fillId="0" borderId="18" xfId="0" applyFont="1" applyFill="1" applyBorder="1" applyAlignment="1">
      <alignment horizontal="center" vertical="center"/>
    </xf>
    <xf numFmtId="9" fontId="56" fillId="13" borderId="21" xfId="0" applyNumberFormat="1" applyFont="1" applyFill="1" applyBorder="1" applyAlignment="1">
      <alignment horizontal="center" vertical="center"/>
    </xf>
    <xf numFmtId="9" fontId="56" fillId="13" borderId="33"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1" xfId="1" applyFont="1" applyFill="1" applyBorder="1" applyAlignment="1">
      <alignment horizontal="center" vertical="center"/>
    </xf>
    <xf numFmtId="9" fontId="56" fillId="13" borderId="22" xfId="1" applyFont="1" applyFill="1" applyBorder="1" applyAlignment="1">
      <alignment horizontal="center" vertical="center"/>
    </xf>
    <xf numFmtId="9" fontId="56" fillId="13" borderId="23" xfId="1" applyFont="1" applyFill="1" applyBorder="1" applyAlignment="1">
      <alignment horizontal="center" vertical="center"/>
    </xf>
    <xf numFmtId="0" fontId="55" fillId="0" borderId="40" xfId="0" applyFont="1" applyBorder="1" applyAlignment="1">
      <alignment horizontal="center" vertical="center" wrapText="1"/>
    </xf>
    <xf numFmtId="0" fontId="55" fillId="0" borderId="21"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3" xfId="0" applyFont="1" applyBorder="1" applyAlignment="1">
      <alignment horizontal="center" vertical="center" wrapText="1"/>
    </xf>
    <xf numFmtId="1" fontId="56" fillId="13" borderId="21" xfId="1"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1" fontId="56" fillId="13" borderId="23" xfId="1" applyNumberFormat="1" applyFont="1" applyFill="1" applyBorder="1" applyAlignment="1">
      <alignment horizontal="center" vertical="center"/>
    </xf>
    <xf numFmtId="9" fontId="59" fillId="18" borderId="58" xfId="1" applyFont="1" applyFill="1" applyBorder="1" applyAlignment="1">
      <alignment horizontal="right" vertical="center"/>
    </xf>
    <xf numFmtId="0" fontId="70" fillId="16" borderId="33" xfId="0" applyFont="1" applyFill="1" applyBorder="1" applyAlignment="1">
      <alignment horizontal="center" vertical="center" wrapText="1"/>
    </xf>
    <xf numFmtId="0" fontId="70" fillId="16" borderId="57" xfId="0" applyFont="1" applyFill="1" applyBorder="1" applyAlignment="1">
      <alignment horizontal="center" vertical="center" wrapText="1"/>
    </xf>
    <xf numFmtId="0" fontId="70" fillId="16" borderId="30" xfId="0" applyFont="1" applyFill="1" applyBorder="1" applyAlignment="1">
      <alignment horizontal="center" vertical="center" wrapText="1"/>
    </xf>
    <xf numFmtId="0" fontId="70" fillId="16" borderId="31" xfId="0" applyFont="1" applyFill="1" applyBorder="1" applyAlignment="1">
      <alignment horizontal="center" vertical="center" wrapText="1"/>
    </xf>
    <xf numFmtId="0" fontId="69" fillId="12" borderId="29" xfId="0" applyFont="1" applyFill="1" applyBorder="1" applyAlignment="1">
      <alignment horizontal="center" vertical="center" wrapText="1"/>
    </xf>
    <xf numFmtId="0" fontId="69" fillId="12" borderId="30" xfId="0" applyFont="1" applyFill="1" applyBorder="1" applyAlignment="1">
      <alignment horizontal="center" vertical="center" wrapText="1"/>
    </xf>
    <xf numFmtId="0" fontId="69" fillId="12" borderId="31" xfId="0" applyFont="1" applyFill="1" applyBorder="1" applyAlignment="1">
      <alignment horizontal="center" vertical="center" wrapText="1"/>
    </xf>
    <xf numFmtId="49" fontId="65" fillId="16" borderId="68" xfId="0" applyNumberFormat="1" applyFont="1" applyFill="1" applyBorder="1" applyAlignment="1">
      <alignment horizontal="center" vertical="center" wrapText="1"/>
    </xf>
    <xf numFmtId="49" fontId="65" fillId="16" borderId="30" xfId="0" applyNumberFormat="1" applyFont="1" applyFill="1" applyBorder="1" applyAlignment="1">
      <alignment horizontal="center" vertical="center" wrapText="1"/>
    </xf>
    <xf numFmtId="49" fontId="65" fillId="16" borderId="27" xfId="0" applyNumberFormat="1" applyFont="1" applyFill="1" applyBorder="1" applyAlignment="1">
      <alignment horizontal="center" vertical="center" wrapText="1"/>
    </xf>
    <xf numFmtId="49" fontId="65" fillId="16" borderId="69" xfId="0" applyNumberFormat="1" applyFont="1" applyFill="1" applyBorder="1" applyAlignment="1">
      <alignment horizontal="center" vertical="center" wrapText="1"/>
    </xf>
    <xf numFmtId="1" fontId="56" fillId="13" borderId="21" xfId="0" applyNumberFormat="1" applyFont="1" applyFill="1" applyBorder="1" applyAlignment="1">
      <alignment horizontal="center" vertical="center"/>
    </xf>
    <xf numFmtId="1" fontId="56" fillId="13" borderId="22" xfId="0" applyNumberFormat="1" applyFont="1" applyFill="1" applyBorder="1" applyAlignment="1">
      <alignment horizontal="center" vertical="center"/>
    </xf>
    <xf numFmtId="1" fontId="56" fillId="13" borderId="23" xfId="0" applyNumberFormat="1" applyFont="1" applyFill="1" applyBorder="1" applyAlignment="1">
      <alignment horizontal="center" vertical="center"/>
    </xf>
    <xf numFmtId="165" fontId="56" fillId="13" borderId="33" xfId="0" applyNumberFormat="1" applyFont="1" applyFill="1" applyBorder="1" applyAlignment="1">
      <alignment horizontal="center" vertical="center"/>
    </xf>
    <xf numFmtId="165" fontId="56" fillId="13" borderId="32" xfId="0" applyNumberFormat="1" applyFont="1" applyFill="1" applyBorder="1" applyAlignment="1">
      <alignment horizontal="center" vertical="center"/>
    </xf>
    <xf numFmtId="165" fontId="56" fillId="13" borderId="34" xfId="0" applyNumberFormat="1" applyFont="1" applyFill="1" applyBorder="1" applyAlignment="1">
      <alignment horizontal="center" vertical="center"/>
    </xf>
    <xf numFmtId="0" fontId="63" fillId="0" borderId="24" xfId="0" applyFont="1" applyFill="1" applyBorder="1" applyAlignment="1">
      <alignment horizontal="justify" vertical="center" wrapText="1"/>
    </xf>
    <xf numFmtId="0" fontId="63" fillId="0" borderId="1" xfId="0" applyFont="1" applyFill="1" applyBorder="1" applyAlignment="1">
      <alignment horizontal="justify" vertical="center" wrapText="1"/>
    </xf>
    <xf numFmtId="0" fontId="44" fillId="0" borderId="1" xfId="0" applyFont="1" applyFill="1" applyBorder="1" applyAlignment="1">
      <alignment horizontal="center" vertical="center" wrapText="1"/>
    </xf>
    <xf numFmtId="0" fontId="61" fillId="0" borderId="12" xfId="0" applyFont="1" applyFill="1" applyBorder="1" applyAlignment="1">
      <alignment horizontal="justify" vertical="center" wrapText="1"/>
    </xf>
    <xf numFmtId="0" fontId="61" fillId="0" borderId="16" xfId="0" applyFont="1" applyFill="1" applyBorder="1" applyAlignment="1">
      <alignment horizontal="justify" vertical="center" wrapText="1"/>
    </xf>
    <xf numFmtId="49" fontId="66" fillId="16" borderId="27" xfId="0" applyNumberFormat="1" applyFont="1" applyFill="1" applyBorder="1" applyAlignment="1">
      <alignment horizontal="center" vertical="center" wrapText="1"/>
    </xf>
    <xf numFmtId="49" fontId="66" fillId="16" borderId="57"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8" fillId="17" borderId="43" xfId="0" applyFont="1" applyFill="1" applyBorder="1" applyAlignment="1">
      <alignment horizontal="center" vertical="center"/>
    </xf>
    <xf numFmtId="49" fontId="66" fillId="16" borderId="29" xfId="0" applyNumberFormat="1" applyFont="1" applyFill="1" applyBorder="1" applyAlignment="1">
      <alignment horizontal="center" vertical="center" wrapText="1"/>
    </xf>
    <xf numFmtId="49" fontId="66" fillId="16" borderId="30" xfId="0" applyNumberFormat="1" applyFont="1" applyFill="1" applyBorder="1" applyAlignment="1">
      <alignment horizontal="center" vertical="center" wrapText="1"/>
    </xf>
    <xf numFmtId="49" fontId="66" fillId="16" borderId="31" xfId="0" applyNumberFormat="1" applyFont="1" applyFill="1" applyBorder="1" applyAlignment="1">
      <alignment horizontal="center" vertical="center" wrapText="1"/>
    </xf>
    <xf numFmtId="49" fontId="65" fillId="16" borderId="29" xfId="0" applyNumberFormat="1" applyFont="1" applyFill="1" applyBorder="1" applyAlignment="1">
      <alignment horizontal="center" vertical="center" wrapText="1"/>
    </xf>
    <xf numFmtId="49" fontId="65" fillId="16" borderId="31" xfId="0" applyNumberFormat="1" applyFont="1" applyFill="1" applyBorder="1" applyAlignment="1">
      <alignment horizontal="center" vertical="center" wrapText="1"/>
    </xf>
    <xf numFmtId="0" fontId="35" fillId="2" borderId="29" xfId="2" applyFont="1" applyFill="1" applyBorder="1" applyAlignment="1">
      <alignment horizontal="center" vertical="center"/>
    </xf>
    <xf numFmtId="0" fontId="35" fillId="2" borderId="31" xfId="2" applyFont="1" applyFill="1" applyBorder="1" applyAlignment="1">
      <alignment horizontal="center" vertical="center"/>
    </xf>
    <xf numFmtId="49" fontId="65" fillId="16" borderId="57" xfId="0" applyNumberFormat="1" applyFont="1" applyFill="1" applyBorder="1" applyAlignment="1">
      <alignment horizontal="center" vertical="center" wrapText="1"/>
    </xf>
    <xf numFmtId="49" fontId="66" fillId="16" borderId="33" xfId="0" applyNumberFormat="1" applyFont="1" applyFill="1" applyBorder="1" applyAlignment="1">
      <alignment horizontal="center" vertical="center" wrapText="1"/>
    </xf>
    <xf numFmtId="0" fontId="63" fillId="0" borderId="4" xfId="0" applyFont="1" applyBorder="1" applyAlignment="1">
      <alignment horizontal="center" vertical="center" wrapText="1"/>
    </xf>
    <xf numFmtId="0" fontId="63" fillId="0" borderId="17" xfId="0" applyFont="1" applyBorder="1" applyAlignment="1">
      <alignment horizontal="center" vertical="center" wrapText="1"/>
    </xf>
    <xf numFmtId="0" fontId="63" fillId="0" borderId="18" xfId="0" applyFont="1" applyBorder="1" applyAlignment="1">
      <alignment horizontal="center" vertical="center" wrapText="1"/>
    </xf>
    <xf numFmtId="0" fontId="58" fillId="0" borderId="13" xfId="0" applyFont="1" applyBorder="1" applyAlignment="1">
      <alignment horizontal="center" vertical="center"/>
    </xf>
    <xf numFmtId="0" fontId="58" fillId="0" borderId="14" xfId="0" applyFont="1" applyBorder="1" applyAlignment="1">
      <alignment horizontal="center" vertical="center"/>
    </xf>
    <xf numFmtId="0" fontId="58" fillId="0" borderId="15" xfId="0" applyFont="1" applyBorder="1" applyAlignment="1">
      <alignment horizontal="center" vertical="center"/>
    </xf>
    <xf numFmtId="0" fontId="20" fillId="0" borderId="52" xfId="0" applyFont="1" applyFill="1" applyBorder="1" applyAlignment="1">
      <alignment horizontal="center" wrapText="1"/>
    </xf>
    <xf numFmtId="0" fontId="20" fillId="0" borderId="48" xfId="0" applyFont="1" applyFill="1" applyBorder="1" applyAlignment="1">
      <alignment horizontal="center" wrapText="1"/>
    </xf>
    <xf numFmtId="0" fontId="20" fillId="0" borderId="49" xfId="0" applyFont="1" applyFill="1" applyBorder="1" applyAlignment="1">
      <alignment horizontal="center" wrapText="1"/>
    </xf>
    <xf numFmtId="0" fontId="5" fillId="0" borderId="62"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26" fillId="0" borderId="56" xfId="0" applyFont="1" applyBorder="1" applyAlignment="1">
      <alignment horizontal="center"/>
    </xf>
    <xf numFmtId="0" fontId="26" fillId="0" borderId="66" xfId="0" applyFont="1" applyBorder="1" applyAlignment="1">
      <alignment horizontal="center"/>
    </xf>
    <xf numFmtId="0" fontId="26" fillId="0" borderId="61" xfId="0" applyFont="1" applyBorder="1" applyAlignment="1">
      <alignment horizontal="center"/>
    </xf>
    <xf numFmtId="9" fontId="70" fillId="16" borderId="34" xfId="1" applyFont="1" applyFill="1" applyBorder="1" applyAlignment="1">
      <alignment horizontal="center" vertical="center" wrapText="1"/>
    </xf>
    <xf numFmtId="9" fontId="70" fillId="16" borderId="59" xfId="1" applyFont="1" applyFill="1" applyBorder="1" applyAlignment="1">
      <alignment horizontal="center" vertical="center" wrapText="1"/>
    </xf>
    <xf numFmtId="9" fontId="70" fillId="16" borderId="72" xfId="1" applyFont="1" applyFill="1" applyBorder="1" applyAlignment="1">
      <alignment horizontal="center" vertical="center" wrapText="1"/>
    </xf>
    <xf numFmtId="9" fontId="70" fillId="16" borderId="20" xfId="1" applyFont="1" applyFill="1" applyBorder="1" applyAlignment="1">
      <alignment horizontal="center" vertical="center" wrapText="1"/>
    </xf>
    <xf numFmtId="9" fontId="70" fillId="16" borderId="0" xfId="1" applyFont="1" applyFill="1" applyBorder="1" applyAlignment="1">
      <alignment horizontal="center" vertical="center" wrapText="1"/>
    </xf>
    <xf numFmtId="9" fontId="70" fillId="16" borderId="29" xfId="1" applyFont="1" applyFill="1" applyBorder="1" applyAlignment="1">
      <alignment horizontal="center" vertical="center" wrapText="1"/>
    </xf>
    <xf numFmtId="9" fontId="70" fillId="16" borderId="30" xfId="1" applyFont="1" applyFill="1" applyBorder="1" applyAlignment="1">
      <alignment horizontal="center" vertical="center" wrapText="1"/>
    </xf>
    <xf numFmtId="9" fontId="70" fillId="16" borderId="31" xfId="1" applyFont="1" applyFill="1" applyBorder="1" applyAlignment="1">
      <alignment horizontal="center" vertical="center" wrapText="1"/>
    </xf>
    <xf numFmtId="9" fontId="70" fillId="16" borderId="32" xfId="1" applyFont="1" applyFill="1" applyBorder="1" applyAlignment="1">
      <alignment horizontal="center" vertical="center" wrapText="1"/>
    </xf>
    <xf numFmtId="0" fontId="20" fillId="0" borderId="21" xfId="0" applyFont="1" applyFill="1" applyBorder="1" applyAlignment="1">
      <alignment horizontal="center" wrapText="1"/>
    </xf>
    <xf numFmtId="0" fontId="20" fillId="0" borderId="22" xfId="0" applyFont="1" applyFill="1" applyBorder="1" applyAlignment="1">
      <alignment horizontal="center" wrapText="1"/>
    </xf>
    <xf numFmtId="0" fontId="20" fillId="0" borderId="23" xfId="0" applyFont="1" applyFill="1" applyBorder="1" applyAlignment="1">
      <alignment horizontal="center" wrapText="1"/>
    </xf>
    <xf numFmtId="9" fontId="70" fillId="16" borderId="57" xfId="1" applyFont="1" applyFill="1" applyBorder="1" applyAlignment="1">
      <alignment horizontal="center" vertical="center" wrapText="1"/>
    </xf>
    <xf numFmtId="9" fontId="70" fillId="16" borderId="40" xfId="1"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73" xfId="0" applyFont="1" applyFill="1" applyBorder="1" applyAlignment="1">
      <alignment horizontal="center" vertical="center" wrapText="1"/>
    </xf>
    <xf numFmtId="9" fontId="70" fillId="16" borderId="74" xfId="1" applyFont="1" applyFill="1" applyBorder="1" applyAlignment="1">
      <alignment horizontal="center" vertical="center" wrapText="1"/>
    </xf>
    <xf numFmtId="0" fontId="71" fillId="0" borderId="1" xfId="0" applyFont="1" applyBorder="1" applyAlignment="1">
      <alignment horizontal="justify" vertical="center" wrapText="1"/>
    </xf>
    <xf numFmtId="0" fontId="5" fillId="0" borderId="1" xfId="0" applyFont="1" applyBorder="1" applyAlignment="1">
      <alignment horizontal="center"/>
    </xf>
    <xf numFmtId="0" fontId="0" fillId="0" borderId="54"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52" fillId="0" borderId="0" xfId="0" applyFont="1" applyAlignment="1">
      <alignment horizontal="center"/>
    </xf>
    <xf numFmtId="0" fontId="27" fillId="0" borderId="25" xfId="0" applyFont="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left"/>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5" fillId="0" borderId="0" xfId="0" applyFont="1" applyFill="1" applyBorder="1" applyAlignment="1">
      <alignment horizontal="center"/>
    </xf>
    <xf numFmtId="0" fontId="5" fillId="0" borderId="0" xfId="0" applyFont="1" applyAlignment="1">
      <alignment horizont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cellXfs>
  <cellStyles count="37">
    <cellStyle name="BodyStyle" xfId="14" xr:uid="{00000000-0005-0000-0000-000000000000}"/>
    <cellStyle name="Currency" xfId="20" xr:uid="{00000000-0005-0000-0000-000001000000}"/>
    <cellStyle name="HeaderStyle" xfId="4" xr:uid="{00000000-0005-0000-0000-000002000000}"/>
    <cellStyle name="Hipervínculo" xfId="13" builtinId="8"/>
    <cellStyle name="Hipervínculo 2" xfId="11" xr:uid="{00000000-0005-0000-0000-000004000000}"/>
    <cellStyle name="MainTitle" xfId="6" xr:uid="{00000000-0005-0000-0000-000005000000}"/>
    <cellStyle name="Millares [0]" xfId="3" builtinId="6"/>
    <cellStyle name="Millares [0] 2" xfId="10" xr:uid="{00000000-0005-0000-0000-000007000000}"/>
    <cellStyle name="Millares [0] 2 2" xfId="29" xr:uid="{00000000-0005-0000-0000-000008000000}"/>
    <cellStyle name="Millares [0] 2 3" xfId="34" xr:uid="{00000000-0005-0000-0000-000009000000}"/>
    <cellStyle name="Millares [0] 2 4" xfId="24" xr:uid="{00000000-0005-0000-0000-00000A000000}"/>
    <cellStyle name="Millares [0] 2 5" xfId="18" xr:uid="{00000000-0005-0000-0000-00000B000000}"/>
    <cellStyle name="Millares [0] 3" xfId="26" xr:uid="{00000000-0005-0000-0000-00000C000000}"/>
    <cellStyle name="Millares [0] 4" xfId="31" xr:uid="{00000000-0005-0000-0000-00000D000000}"/>
    <cellStyle name="Millares [0] 5" xfId="21" xr:uid="{00000000-0005-0000-0000-00000E000000}"/>
    <cellStyle name="Millares [0] 6" xfId="15" xr:uid="{00000000-0005-0000-0000-00000F000000}"/>
    <cellStyle name="Millares 2" xfId="12" xr:uid="{00000000-0005-0000-0000-000010000000}"/>
    <cellStyle name="Millares 2 2" xfId="30" xr:uid="{00000000-0005-0000-0000-000011000000}"/>
    <cellStyle name="Millares 2 3" xfId="35" xr:uid="{00000000-0005-0000-0000-000012000000}"/>
    <cellStyle name="Millares 2 4" xfId="25" xr:uid="{00000000-0005-0000-0000-000013000000}"/>
    <cellStyle name="Millares 2 5" xfId="19" xr:uid="{00000000-0005-0000-0000-000014000000}"/>
    <cellStyle name="Moneda [0]" xfId="5" builtinId="7"/>
    <cellStyle name="Moneda [0] 2" xfId="9" xr:uid="{00000000-0005-0000-0000-000016000000}"/>
    <cellStyle name="Moneda [0] 2 2" xfId="28" xr:uid="{00000000-0005-0000-0000-000017000000}"/>
    <cellStyle name="Moneda [0] 2 3" xfId="33" xr:uid="{00000000-0005-0000-0000-000018000000}"/>
    <cellStyle name="Moneda [0] 2 4" xfId="23" xr:uid="{00000000-0005-0000-0000-000019000000}"/>
    <cellStyle name="Moneda [0] 2 5" xfId="17" xr:uid="{00000000-0005-0000-0000-00001A000000}"/>
    <cellStyle name="Moneda [0] 3" xfId="27" xr:uid="{00000000-0005-0000-0000-00001B000000}"/>
    <cellStyle name="Moneda [0] 4" xfId="32" xr:uid="{00000000-0005-0000-0000-00001C000000}"/>
    <cellStyle name="Moneda [0] 5" xfId="22" xr:uid="{00000000-0005-0000-0000-00001D000000}"/>
    <cellStyle name="Moneda [0] 6" xfId="16" xr:uid="{00000000-0005-0000-0000-00001E000000}"/>
    <cellStyle name="Moneda 2" xfId="8" xr:uid="{00000000-0005-0000-0000-00001F000000}"/>
    <cellStyle name="Normal" xfId="0" builtinId="0"/>
    <cellStyle name="Normal 2" xfId="2" xr:uid="{00000000-0005-0000-0000-000021000000}"/>
    <cellStyle name="Normal 3" xfId="7" xr:uid="{00000000-0005-0000-0000-000022000000}"/>
    <cellStyle name="Numeric" xfId="36" xr:uid="{00000000-0005-0000-0000-000023000000}"/>
    <cellStyle name="Porcentaje" xfId="1" builtinId="5"/>
  </cellStyles>
  <dxfs count="11233">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00ACCA"/>
      <color rgb="FF3333FF"/>
      <color rgb="FF175099"/>
      <color rgb="FF33569D"/>
      <color rgb="FF1519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 Id="rId5" Type="http://schemas.openxmlformats.org/officeDocument/2006/relationships/image" Target="../media/image14.emf"/><Relationship Id="rId4" Type="http://schemas.openxmlformats.org/officeDocument/2006/relationships/image" Target="../media/image13.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gif"/><Relationship Id="rId13" Type="http://schemas.openxmlformats.org/officeDocument/2006/relationships/hyperlink" Target="#'Cumplimiento perspectivas Mejor'!A1"/><Relationship Id="rId18" Type="http://schemas.openxmlformats.org/officeDocument/2006/relationships/image" Target="../media/image9.png"/><Relationship Id="rId3" Type="http://schemas.openxmlformats.org/officeDocument/2006/relationships/hyperlink" Target="https://es.wikipedia.org/wiki/Perspectiva_c%C3%B3nica" TargetMode="External"/><Relationship Id="rId21" Type="http://schemas.openxmlformats.org/officeDocument/2006/relationships/hyperlink" Target="#'Cumplimiento Dependencias Mejor'!A1"/><Relationship Id="rId7" Type="http://schemas.openxmlformats.org/officeDocument/2006/relationships/hyperlink" Target="#'Cumplimiento act. relevantes'!A1"/><Relationship Id="rId12" Type="http://schemas.openxmlformats.org/officeDocument/2006/relationships/hyperlink" Target="http://confesionesdemau.blogspot.com/2013/08/clases-de-personas.html" TargetMode="External"/><Relationship Id="rId1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hyperlink" Target="#'Cumplimiento Planes'!A1"/><Relationship Id="rId20" Type="http://schemas.openxmlformats.org/officeDocument/2006/relationships/hyperlink" Target="#'Cumplimiento de objetivos Mejor'!A1"/><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6.gif"/><Relationship Id="rId5" Type="http://schemas.openxmlformats.org/officeDocument/2006/relationships/image" Target="../media/image4.gif"/><Relationship Id="rId15" Type="http://schemas.openxmlformats.org/officeDocument/2006/relationships/hyperlink" Target="http://nancynwilson.com/building-an-online-business-2/" TargetMode="External"/><Relationship Id="rId10" Type="http://schemas.openxmlformats.org/officeDocument/2006/relationships/hyperlink" Target="#'Cumplimiento Dependencias'!A1"/><Relationship Id="rId19" Type="http://schemas.openxmlformats.org/officeDocument/2006/relationships/image" Target="../media/image10.png"/><Relationship Id="rId4" Type="http://schemas.openxmlformats.org/officeDocument/2006/relationships/hyperlink" Target="#'Cumplimiento de objetivos'!A1"/><Relationship Id="rId9" Type="http://schemas.openxmlformats.org/officeDocument/2006/relationships/hyperlink" Target="https://fecla.wordpress.com/2010/05/22/el-monologo" TargetMode="External"/><Relationship Id="rId1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 Id="rId5" Type="http://schemas.openxmlformats.org/officeDocument/2006/relationships/image" Target="../media/image14.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 Id="rId5" Type="http://schemas.openxmlformats.org/officeDocument/2006/relationships/image" Target="../media/image14.emf"/><Relationship Id="rId4" Type="http://schemas.openxmlformats.org/officeDocument/2006/relationships/image" Target="../media/image13.emf"/></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537632</xdr:colOff>
      <xdr:row>0</xdr:row>
      <xdr:rowOff>21166</xdr:rowOff>
    </xdr:from>
    <xdr:to>
      <xdr:col>1</xdr:col>
      <xdr:colOff>1203854</xdr:colOff>
      <xdr:row>2</xdr:row>
      <xdr:rowOff>195791</xdr:rowOff>
    </xdr:to>
    <xdr:pic>
      <xdr:nvPicPr>
        <xdr:cNvPr id="2" name="Imagen 1">
          <a:extLst>
            <a:ext uri="{FF2B5EF4-FFF2-40B4-BE49-F238E27FC236}">
              <a16:creationId xmlns:a16="http://schemas.microsoft.com/office/drawing/2014/main" id="{1955A19F-C295-4364-8160-0870371A87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632" y="21166"/>
          <a:ext cx="1862139"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793749</xdr:colOff>
      <xdr:row>0</xdr:row>
      <xdr:rowOff>63501</xdr:rowOff>
    </xdr:from>
    <xdr:to>
      <xdr:col>76</xdr:col>
      <xdr:colOff>444499</xdr:colOff>
      <xdr:row>2</xdr:row>
      <xdr:rowOff>238126</xdr:rowOff>
    </xdr:to>
    <xdr:pic>
      <xdr:nvPicPr>
        <xdr:cNvPr id="3" name="Imagen 2">
          <a:extLst>
            <a:ext uri="{FF2B5EF4-FFF2-40B4-BE49-F238E27FC236}">
              <a16:creationId xmlns:a16="http://schemas.microsoft.com/office/drawing/2014/main" id="{86EC19D5-E8D2-4D51-9466-55CDF39C586B}"/>
            </a:ext>
          </a:extLst>
        </xdr:cNvPr>
        <xdr:cNvPicPr>
          <a:picLocks noChangeAspect="1"/>
        </xdr:cNvPicPr>
      </xdr:nvPicPr>
      <xdr:blipFill>
        <a:blip xmlns:r="http://schemas.openxmlformats.org/officeDocument/2006/relationships" r:embed="rId2"/>
        <a:stretch>
          <a:fillRect/>
        </a:stretch>
      </xdr:blipFill>
      <xdr:spPr>
        <a:xfrm>
          <a:off x="104637416" y="63501"/>
          <a:ext cx="2518833" cy="7672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D5AABE3F-D619-4793-BF5D-7493CF0A51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154781</xdr:colOff>
      <xdr:row>0</xdr:row>
      <xdr:rowOff>369093</xdr:rowOff>
    </xdr:from>
    <xdr:ext cx="1516855" cy="250031"/>
    <xdr:pic>
      <xdr:nvPicPr>
        <xdr:cNvPr id="3" name="Imagen 2" descr="Image result for LOGO MINSALUD">
          <a:extLst>
            <a:ext uri="{FF2B5EF4-FFF2-40B4-BE49-F238E27FC236}">
              <a16:creationId xmlns:a16="http://schemas.microsoft.com/office/drawing/2014/main" id="{57FCFC2B-9C97-4303-9477-0E379330753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79594" y="369093"/>
          <a:ext cx="1516855" cy="250031"/>
        </a:xfrm>
        <a:prstGeom prst="rect">
          <a:avLst/>
        </a:prstGeom>
        <a:noFill/>
        <a:ln>
          <a:noFill/>
        </a:ln>
      </xdr:spPr>
    </xdr:pic>
    <xdr:clientData/>
  </xdr:oneCellAnchor>
  <xdr:oneCellAnchor>
    <xdr:from>
      <xdr:col>55</xdr:col>
      <xdr:colOff>309563</xdr:colOff>
      <xdr:row>0</xdr:row>
      <xdr:rowOff>354124</xdr:rowOff>
    </xdr:from>
    <xdr:ext cx="1826422" cy="288814"/>
    <xdr:pic>
      <xdr:nvPicPr>
        <xdr:cNvPr id="4" name="Imagen 3" descr="Image result for LOGO GOBIERNO DE COLOMBIA">
          <a:extLst>
            <a:ext uri="{FF2B5EF4-FFF2-40B4-BE49-F238E27FC236}">
              <a16:creationId xmlns:a16="http://schemas.microsoft.com/office/drawing/2014/main" id="{21651F94-6610-479E-804F-CFE8534C415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58376" y="354124"/>
          <a:ext cx="1826422" cy="288814"/>
        </a:xfrm>
        <a:prstGeom prst="rect">
          <a:avLst/>
        </a:prstGeom>
        <a:noFill/>
        <a:ln>
          <a:noFill/>
        </a:ln>
      </xdr:spPr>
    </xdr:pic>
    <xdr:clientData/>
  </xdr:oneCellAnchor>
  <xdr:twoCellAnchor editAs="oneCell">
    <xdr:from>
      <xdr:col>28</xdr:col>
      <xdr:colOff>166686</xdr:colOff>
      <xdr:row>19</xdr:row>
      <xdr:rowOff>107156</xdr:rowOff>
    </xdr:from>
    <xdr:to>
      <xdr:col>57</xdr:col>
      <xdr:colOff>504824</xdr:colOff>
      <xdr:row>30</xdr:row>
      <xdr:rowOff>16969</xdr:rowOff>
    </xdr:to>
    <xdr:pic>
      <xdr:nvPicPr>
        <xdr:cNvPr id="5" name="Imagen 4">
          <a:extLst>
            <a:ext uri="{FF2B5EF4-FFF2-40B4-BE49-F238E27FC236}">
              <a16:creationId xmlns:a16="http://schemas.microsoft.com/office/drawing/2014/main" id="{06377FD1-1161-4CBC-AEF5-31A09B431820}"/>
            </a:ext>
          </a:extLst>
        </xdr:cNvPr>
        <xdr:cNvPicPr>
          <a:picLocks noChangeAspect="1"/>
        </xdr:cNvPicPr>
      </xdr:nvPicPr>
      <xdr:blipFill>
        <a:blip xmlns:r="http://schemas.openxmlformats.org/officeDocument/2006/relationships" r:embed="rId4"/>
        <a:stretch>
          <a:fillRect/>
        </a:stretch>
      </xdr:blipFill>
      <xdr:spPr>
        <a:xfrm>
          <a:off x="12149136" y="5441156"/>
          <a:ext cx="3583780" cy="2005313"/>
        </a:xfrm>
        <a:prstGeom prst="rect">
          <a:avLst/>
        </a:prstGeom>
      </xdr:spPr>
    </xdr:pic>
    <xdr:clientData/>
  </xdr:twoCellAnchor>
  <xdr:twoCellAnchor editAs="oneCell">
    <xdr:from>
      <xdr:col>37</xdr:col>
      <xdr:colOff>57147</xdr:colOff>
      <xdr:row>19</xdr:row>
      <xdr:rowOff>107156</xdr:rowOff>
    </xdr:from>
    <xdr:to>
      <xdr:col>57</xdr:col>
      <xdr:colOff>400050</xdr:colOff>
      <xdr:row>30</xdr:row>
      <xdr:rowOff>16969</xdr:rowOff>
    </xdr:to>
    <xdr:pic>
      <xdr:nvPicPr>
        <xdr:cNvPr id="6" name="Imagen 5">
          <a:extLst>
            <a:ext uri="{FF2B5EF4-FFF2-40B4-BE49-F238E27FC236}">
              <a16:creationId xmlns:a16="http://schemas.microsoft.com/office/drawing/2014/main" id="{B7CC5805-3090-4A8B-AC1C-9FDAA48018E4}"/>
            </a:ext>
          </a:extLst>
        </xdr:cNvPr>
        <xdr:cNvPicPr>
          <a:picLocks noChangeAspect="1"/>
        </xdr:cNvPicPr>
      </xdr:nvPicPr>
      <xdr:blipFill>
        <a:blip xmlns:r="http://schemas.openxmlformats.org/officeDocument/2006/relationships" r:embed="rId5"/>
        <a:stretch>
          <a:fillRect/>
        </a:stretch>
      </xdr:blipFill>
      <xdr:spPr>
        <a:xfrm>
          <a:off x="15582897" y="5441156"/>
          <a:ext cx="3481388" cy="20053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685800</xdr:colOff>
      <xdr:row>2</xdr:row>
      <xdr:rowOff>133350</xdr:rowOff>
    </xdr:to>
    <xdr:pic>
      <xdr:nvPicPr>
        <xdr:cNvPr id="2" name="Imagen 1">
          <a:extLst>
            <a:ext uri="{FF2B5EF4-FFF2-40B4-BE49-F238E27FC236}">
              <a16:creationId xmlns:a16="http://schemas.microsoft.com/office/drawing/2014/main" id="{98285E23-E9E2-4614-B9A3-ECD007B2D32D}"/>
            </a:ext>
          </a:extLst>
        </xdr:cNvPr>
        <xdr:cNvPicPr/>
      </xdr:nvPicPr>
      <xdr:blipFill>
        <a:blip xmlns:r="http://schemas.openxmlformats.org/officeDocument/2006/relationships" r:embed="rId1"/>
        <a:stretch>
          <a:fillRect/>
        </a:stretch>
      </xdr:blipFill>
      <xdr:spPr>
        <a:xfrm>
          <a:off x="0" y="209550"/>
          <a:ext cx="1447800" cy="504825"/>
        </a:xfrm>
        <a:prstGeom prst="rect">
          <a:avLst/>
        </a:prstGeom>
      </xdr:spPr>
    </xdr:pic>
    <xdr:clientData/>
  </xdr:twoCellAnchor>
  <xdr:twoCellAnchor editAs="oneCell">
    <xdr:from>
      <xdr:col>8</xdr:col>
      <xdr:colOff>161925</xdr:colOff>
      <xdr:row>0</xdr:row>
      <xdr:rowOff>140492</xdr:rowOff>
    </xdr:from>
    <xdr:to>
      <xdr:col>9</xdr:col>
      <xdr:colOff>740570</xdr:colOff>
      <xdr:row>1</xdr:row>
      <xdr:rowOff>161925</xdr:rowOff>
    </xdr:to>
    <xdr:pic>
      <xdr:nvPicPr>
        <xdr:cNvPr id="3" name="Imagen 2" descr="Image result for LOGO MINSALUD">
          <a:extLst>
            <a:ext uri="{FF2B5EF4-FFF2-40B4-BE49-F238E27FC236}">
              <a16:creationId xmlns:a16="http://schemas.microsoft.com/office/drawing/2014/main" id="{94BE5F75-0739-4B6F-ADBB-9962A12C6FC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57925" y="340517"/>
          <a:ext cx="1340645" cy="211933"/>
        </a:xfrm>
        <a:prstGeom prst="rect">
          <a:avLst/>
        </a:prstGeom>
        <a:noFill/>
        <a:ln>
          <a:noFill/>
        </a:ln>
      </xdr:spPr>
    </xdr:pic>
    <xdr:clientData/>
  </xdr:twoCellAnchor>
  <xdr:twoCellAnchor editAs="oneCell">
    <xdr:from>
      <xdr:col>10</xdr:col>
      <xdr:colOff>69056</xdr:colOff>
      <xdr:row>0</xdr:row>
      <xdr:rowOff>135731</xdr:rowOff>
    </xdr:from>
    <xdr:to>
      <xdr:col>11</xdr:col>
      <xdr:colOff>631031</xdr:colOff>
      <xdr:row>1</xdr:row>
      <xdr:rowOff>173037</xdr:rowOff>
    </xdr:to>
    <xdr:pic>
      <xdr:nvPicPr>
        <xdr:cNvPr id="4" name="Imagen 3" descr="Image result for LOGO GOBIERNO DE COLOMBIA">
          <a:extLst>
            <a:ext uri="{FF2B5EF4-FFF2-40B4-BE49-F238E27FC236}">
              <a16:creationId xmlns:a16="http://schemas.microsoft.com/office/drawing/2014/main" id="{243E06A3-65FE-405A-96C4-B6C5D422DDE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89056" y="335756"/>
          <a:ext cx="1323975" cy="227806"/>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1128032</xdr:colOff>
      <xdr:row>0</xdr:row>
      <xdr:rowOff>69273</xdr:rowOff>
    </xdr:from>
    <xdr:to>
      <xdr:col>2</xdr:col>
      <xdr:colOff>1469571</xdr:colOff>
      <xdr:row>2</xdr:row>
      <xdr:rowOff>310736</xdr:rowOff>
    </xdr:to>
    <xdr:pic>
      <xdr:nvPicPr>
        <xdr:cNvPr id="2" name="Imagen 1">
          <a:extLst>
            <a:ext uri="{FF2B5EF4-FFF2-40B4-BE49-F238E27FC236}">
              <a16:creationId xmlns:a16="http://schemas.microsoft.com/office/drawing/2014/main" id="{A213C821-4303-4355-8928-BCC6F45FEC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07" y="69273"/>
          <a:ext cx="1827439" cy="889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205837</xdr:rowOff>
    </xdr:from>
    <xdr:to>
      <xdr:col>19</xdr:col>
      <xdr:colOff>151412</xdr:colOff>
      <xdr:row>2</xdr:row>
      <xdr:rowOff>109598</xdr:rowOff>
    </xdr:to>
    <xdr:pic>
      <xdr:nvPicPr>
        <xdr:cNvPr id="3" name="Imagen 2" descr="Image result for LOGO MINSALUD">
          <a:extLst>
            <a:ext uri="{FF2B5EF4-FFF2-40B4-BE49-F238E27FC236}">
              <a16:creationId xmlns:a16="http://schemas.microsoft.com/office/drawing/2014/main" id="{A0E2BD13-98BC-4ACD-AB4F-208063A00D3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554588" y="205837"/>
          <a:ext cx="2038349" cy="551461"/>
        </a:xfrm>
        <a:prstGeom prst="rect">
          <a:avLst/>
        </a:prstGeom>
        <a:noFill/>
        <a:ln>
          <a:noFill/>
        </a:ln>
      </xdr:spPr>
    </xdr:pic>
    <xdr:clientData/>
  </xdr:twoCellAnchor>
  <xdr:twoCellAnchor editAs="oneCell">
    <xdr:from>
      <xdr:col>19</xdr:col>
      <xdr:colOff>801088</xdr:colOff>
      <xdr:row>0</xdr:row>
      <xdr:rowOff>193931</xdr:rowOff>
    </xdr:from>
    <xdr:to>
      <xdr:col>21</xdr:col>
      <xdr:colOff>988866</xdr:colOff>
      <xdr:row>2</xdr:row>
      <xdr:rowOff>109598</xdr:rowOff>
    </xdr:to>
    <xdr:pic>
      <xdr:nvPicPr>
        <xdr:cNvPr id="4" name="Imagen 3" descr="Image result for LOGO GOBIERNO DE COLOMBIA">
          <a:extLst>
            <a:ext uri="{FF2B5EF4-FFF2-40B4-BE49-F238E27FC236}">
              <a16:creationId xmlns:a16="http://schemas.microsoft.com/office/drawing/2014/main" id="{0D211692-1CF6-4D9A-8B27-7D57AA35FA8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242613" y="193931"/>
          <a:ext cx="2111828" cy="5633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822325</xdr:colOff>
      <xdr:row>0</xdr:row>
      <xdr:rowOff>0</xdr:rowOff>
    </xdr:from>
    <xdr:to>
      <xdr:col>1</xdr:col>
      <xdr:colOff>1246717</xdr:colOff>
      <xdr:row>2</xdr:row>
      <xdr:rowOff>133350</xdr:rowOff>
    </xdr:to>
    <xdr:pic>
      <xdr:nvPicPr>
        <xdr:cNvPr id="2" name="Imagen 1">
          <a:extLst>
            <a:ext uri="{FF2B5EF4-FFF2-40B4-BE49-F238E27FC236}">
              <a16:creationId xmlns:a16="http://schemas.microsoft.com/office/drawing/2014/main" id="{8559B60D-E9A9-491E-BD5B-C587CA20889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325" y="0"/>
          <a:ext cx="1616076"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624416</xdr:colOff>
      <xdr:row>0</xdr:row>
      <xdr:rowOff>52916</xdr:rowOff>
    </xdr:from>
    <xdr:to>
      <xdr:col>76</xdr:col>
      <xdr:colOff>391583</xdr:colOff>
      <xdr:row>2</xdr:row>
      <xdr:rowOff>227541</xdr:rowOff>
    </xdr:to>
    <xdr:pic>
      <xdr:nvPicPr>
        <xdr:cNvPr id="3" name="Imagen 2">
          <a:extLst>
            <a:ext uri="{FF2B5EF4-FFF2-40B4-BE49-F238E27FC236}">
              <a16:creationId xmlns:a16="http://schemas.microsoft.com/office/drawing/2014/main" id="{ABC16B91-72FE-427A-A4EC-C5977D86B961}"/>
            </a:ext>
          </a:extLst>
        </xdr:cNvPr>
        <xdr:cNvPicPr>
          <a:picLocks noChangeAspect="1"/>
        </xdr:cNvPicPr>
      </xdr:nvPicPr>
      <xdr:blipFill>
        <a:blip xmlns:r="http://schemas.openxmlformats.org/officeDocument/2006/relationships" r:embed="rId2"/>
        <a:stretch>
          <a:fillRect/>
        </a:stretch>
      </xdr:blipFill>
      <xdr:spPr>
        <a:xfrm>
          <a:off x="91006083" y="52916"/>
          <a:ext cx="2635250" cy="767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177799</xdr:colOff>
      <xdr:row>0</xdr:row>
      <xdr:rowOff>0</xdr:rowOff>
    </xdr:from>
    <xdr:to>
      <xdr:col>1</xdr:col>
      <xdr:colOff>847422</xdr:colOff>
      <xdr:row>2</xdr:row>
      <xdr:rowOff>174625</xdr:rowOff>
    </xdr:to>
    <xdr:pic>
      <xdr:nvPicPr>
        <xdr:cNvPr id="3" name="Imagen 2">
          <a:extLst>
            <a:ext uri="{FF2B5EF4-FFF2-40B4-BE49-F238E27FC236}">
              <a16:creationId xmlns:a16="http://schemas.microsoft.com/office/drawing/2014/main" id="{1BAE6F0F-F9E9-4B45-BEB2-C74D912AD5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799" y="0"/>
          <a:ext cx="1865540"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497416</xdr:colOff>
      <xdr:row>0</xdr:row>
      <xdr:rowOff>190501</xdr:rowOff>
    </xdr:from>
    <xdr:to>
      <xdr:col>89</xdr:col>
      <xdr:colOff>772582</xdr:colOff>
      <xdr:row>2</xdr:row>
      <xdr:rowOff>116417</xdr:rowOff>
    </xdr:to>
    <xdr:pic>
      <xdr:nvPicPr>
        <xdr:cNvPr id="4" name="Imagen 3">
          <a:extLst>
            <a:ext uri="{FF2B5EF4-FFF2-40B4-BE49-F238E27FC236}">
              <a16:creationId xmlns:a16="http://schemas.microsoft.com/office/drawing/2014/main" id="{F2EAFB5A-D265-4FE6-AE4D-E266D4A5EF86}"/>
            </a:ext>
          </a:extLst>
        </xdr:cNvPr>
        <xdr:cNvPicPr>
          <a:picLocks noChangeAspect="1"/>
        </xdr:cNvPicPr>
      </xdr:nvPicPr>
      <xdr:blipFill>
        <a:blip xmlns:r="http://schemas.openxmlformats.org/officeDocument/2006/relationships" r:embed="rId2"/>
        <a:stretch>
          <a:fillRect/>
        </a:stretch>
      </xdr:blipFill>
      <xdr:spPr>
        <a:xfrm>
          <a:off x="106267249" y="190501"/>
          <a:ext cx="3143250" cy="5185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812799</xdr:colOff>
      <xdr:row>0</xdr:row>
      <xdr:rowOff>31750</xdr:rowOff>
    </xdr:from>
    <xdr:to>
      <xdr:col>1</xdr:col>
      <xdr:colOff>1486958</xdr:colOff>
      <xdr:row>2</xdr:row>
      <xdr:rowOff>206375</xdr:rowOff>
    </xdr:to>
    <xdr:pic>
      <xdr:nvPicPr>
        <xdr:cNvPr id="2" name="Imagen 1">
          <a:extLst>
            <a:ext uri="{FF2B5EF4-FFF2-40B4-BE49-F238E27FC236}">
              <a16:creationId xmlns:a16="http://schemas.microsoft.com/office/drawing/2014/main" id="{E1F8ACED-9895-438B-89F1-B7A8A1E6E4D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799" y="31750"/>
          <a:ext cx="1866901" cy="76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719666</xdr:colOff>
      <xdr:row>0</xdr:row>
      <xdr:rowOff>63500</xdr:rowOff>
    </xdr:from>
    <xdr:to>
      <xdr:col>74</xdr:col>
      <xdr:colOff>550332</xdr:colOff>
      <xdr:row>2</xdr:row>
      <xdr:rowOff>238125</xdr:rowOff>
    </xdr:to>
    <xdr:pic>
      <xdr:nvPicPr>
        <xdr:cNvPr id="3" name="Imagen 2">
          <a:extLst>
            <a:ext uri="{FF2B5EF4-FFF2-40B4-BE49-F238E27FC236}">
              <a16:creationId xmlns:a16="http://schemas.microsoft.com/office/drawing/2014/main" id="{9FB0A39D-3CE1-4B43-869E-D1DD1A500C72}"/>
            </a:ext>
          </a:extLst>
        </xdr:cNvPr>
        <xdr:cNvPicPr>
          <a:picLocks noChangeAspect="1"/>
        </xdr:cNvPicPr>
      </xdr:nvPicPr>
      <xdr:blipFill>
        <a:blip xmlns:r="http://schemas.openxmlformats.org/officeDocument/2006/relationships" r:embed="rId2"/>
        <a:stretch>
          <a:fillRect/>
        </a:stretch>
      </xdr:blipFill>
      <xdr:spPr>
        <a:xfrm>
          <a:off x="104192916" y="63500"/>
          <a:ext cx="2698750" cy="7672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104775</xdr:rowOff>
    </xdr:from>
    <xdr:to>
      <xdr:col>1</xdr:col>
      <xdr:colOff>566587</xdr:colOff>
      <xdr:row>22</xdr:row>
      <xdr:rowOff>38099</xdr:rowOff>
    </xdr:to>
    <xdr:pic>
      <xdr:nvPicPr>
        <xdr:cNvPr id="9" name="Imagen 8">
          <a:hlinkClick xmlns:r="http://schemas.openxmlformats.org/officeDocument/2006/relationships" r:id="rId7"/>
          <a:extLst>
            <a:ext uri="{FF2B5EF4-FFF2-40B4-BE49-F238E27FC236}">
              <a16:creationId xmlns:a16="http://schemas.microsoft.com/office/drawing/2014/main" id="{B5B92B5E-1C9C-4D85-883C-7D74937637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2581275"/>
          <a:ext cx="1328587" cy="1076324"/>
        </a:xfrm>
        <a:prstGeom prst="rect">
          <a:avLst/>
        </a:prstGeom>
      </xdr:spPr>
    </xdr:pic>
    <xdr:clientData/>
  </xdr:twoCellAnchor>
  <xdr:twoCellAnchor editAs="oneCell">
    <xdr:from>
      <xdr:col>0</xdr:col>
      <xdr:colOff>0</xdr:colOff>
      <xdr:row>23</xdr:row>
      <xdr:rowOff>49529</xdr:rowOff>
    </xdr:from>
    <xdr:to>
      <xdr:col>1</xdr:col>
      <xdr:colOff>561975</xdr:colOff>
      <xdr:row>27</xdr:row>
      <xdr:rowOff>81914</xdr:rowOff>
    </xdr:to>
    <xdr:pic>
      <xdr:nvPicPr>
        <xdr:cNvPr id="15" name="Imagen 14">
          <a:hlinkClick xmlns:r="http://schemas.openxmlformats.org/officeDocument/2006/relationships" r:id="rId10"/>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0" y="3859529"/>
          <a:ext cx="1323975" cy="794385"/>
        </a:xfrm>
        <a:prstGeom prst="rect">
          <a:avLst/>
        </a:prstGeom>
      </xdr:spPr>
    </xdr:pic>
    <xdr:clientData/>
  </xdr:twoCellAnchor>
  <xdr:twoCellAnchor editAs="oneCell">
    <xdr:from>
      <xdr:col>8</xdr:col>
      <xdr:colOff>571500</xdr:colOff>
      <xdr:row>4</xdr:row>
      <xdr:rowOff>9525</xdr:rowOff>
    </xdr:from>
    <xdr:to>
      <xdr:col>10</xdr:col>
      <xdr:colOff>210939</xdr:colOff>
      <xdr:row>9</xdr:row>
      <xdr:rowOff>8000</xdr:rowOff>
    </xdr:to>
    <xdr:pic>
      <xdr:nvPicPr>
        <xdr:cNvPr id="20" name="Imagen 19">
          <a:hlinkClick xmlns:r="http://schemas.openxmlformats.org/officeDocument/2006/relationships" r:id="rId13"/>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67500" y="1190625"/>
          <a:ext cx="1163439" cy="950975"/>
        </a:xfrm>
        <a:prstGeom prst="rect">
          <a:avLst/>
        </a:prstGeom>
      </xdr:spPr>
    </xdr:pic>
    <xdr:clientData/>
  </xdr:twoCellAnchor>
  <xdr:twoCellAnchor editAs="oneCell">
    <xdr:from>
      <xdr:col>7</xdr:col>
      <xdr:colOff>542925</xdr:colOff>
      <xdr:row>15</xdr:row>
      <xdr:rowOff>9525</xdr:rowOff>
    </xdr:from>
    <xdr:to>
      <xdr:col>9</xdr:col>
      <xdr:colOff>182364</xdr:colOff>
      <xdr:row>20</xdr:row>
      <xdr:rowOff>8000</xdr:rowOff>
    </xdr:to>
    <xdr:pic>
      <xdr:nvPicPr>
        <xdr:cNvPr id="22" name="Imagen 21">
          <a:hlinkClick xmlns:r="http://schemas.openxmlformats.org/officeDocument/2006/relationships" r:id="rId16"/>
          <a:extLst>
            <a:ext uri="{FF2B5EF4-FFF2-40B4-BE49-F238E27FC236}">
              <a16:creationId xmlns:a16="http://schemas.microsoft.com/office/drawing/2014/main" id="{D6445E78-7497-483B-BE28-840188C707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38925" y="288607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133350</xdr:rowOff>
    </xdr:to>
    <xdr:pic>
      <xdr:nvPicPr>
        <xdr:cNvPr id="10" name="Imagen 9">
          <a:extLst>
            <a:ext uri="{FF2B5EF4-FFF2-40B4-BE49-F238E27FC236}">
              <a16:creationId xmlns:a16="http://schemas.microsoft.com/office/drawing/2014/main" id="{6905A910-806C-4767-98E1-A728A3536C20}"/>
            </a:ext>
          </a:extLst>
        </xdr:cNvPr>
        <xdr:cNvPicPr/>
      </xdr:nvPicPr>
      <xdr:blipFill>
        <a:blip xmlns:r="http://schemas.openxmlformats.org/officeDocument/2006/relationships" r:embed="rId17"/>
        <a:stretch>
          <a:fillRect/>
        </a:stretch>
      </xdr:blipFill>
      <xdr:spPr>
        <a:xfrm>
          <a:off x="0" y="628650"/>
          <a:ext cx="1447800" cy="504825"/>
        </a:xfrm>
        <a:prstGeom prst="rect">
          <a:avLst/>
        </a:prstGeom>
      </xdr:spPr>
    </xdr:pic>
    <xdr:clientData/>
  </xdr:twoCellAnchor>
  <xdr:twoCellAnchor editAs="oneCell">
    <xdr:from>
      <xdr:col>8</xdr:col>
      <xdr:colOff>161925</xdr:colOff>
      <xdr:row>1</xdr:row>
      <xdr:rowOff>140492</xdr:rowOff>
    </xdr:from>
    <xdr:to>
      <xdr:col>9</xdr:col>
      <xdr:colOff>740570</xdr:colOff>
      <xdr:row>2</xdr:row>
      <xdr:rowOff>161925</xdr:rowOff>
    </xdr:to>
    <xdr:pic>
      <xdr:nvPicPr>
        <xdr:cNvPr id="11" name="Imagen 10" descr="Image result for LOGO MINSALUD">
          <a:extLst>
            <a:ext uri="{FF2B5EF4-FFF2-40B4-BE49-F238E27FC236}">
              <a16:creationId xmlns:a16="http://schemas.microsoft.com/office/drawing/2014/main" id="{C310DCF5-FEA8-427D-B532-44235DC8707D}"/>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257925" y="759617"/>
          <a:ext cx="1340645" cy="211933"/>
        </a:xfrm>
        <a:prstGeom prst="rect">
          <a:avLst/>
        </a:prstGeom>
        <a:noFill/>
        <a:ln>
          <a:noFill/>
        </a:ln>
      </xdr:spPr>
    </xdr:pic>
    <xdr:clientData/>
  </xdr:twoCellAnchor>
  <xdr:twoCellAnchor editAs="oneCell">
    <xdr:from>
      <xdr:col>10</xdr:col>
      <xdr:colOff>69056</xdr:colOff>
      <xdr:row>1</xdr:row>
      <xdr:rowOff>135731</xdr:rowOff>
    </xdr:from>
    <xdr:to>
      <xdr:col>11</xdr:col>
      <xdr:colOff>631031</xdr:colOff>
      <xdr:row>2</xdr:row>
      <xdr:rowOff>173037</xdr:rowOff>
    </xdr:to>
    <xdr:pic>
      <xdr:nvPicPr>
        <xdr:cNvPr id="12" name="Imagen 11" descr="Image result for LOGO GOBIERNO DE COLOMBIA">
          <a:extLst>
            <a:ext uri="{FF2B5EF4-FFF2-40B4-BE49-F238E27FC236}">
              <a16:creationId xmlns:a16="http://schemas.microsoft.com/office/drawing/2014/main" id="{5CE29068-95C9-455F-967B-28C241951BA1}"/>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89056" y="754856"/>
          <a:ext cx="1323975" cy="227806"/>
        </a:xfrm>
        <a:prstGeom prst="rect">
          <a:avLst/>
        </a:prstGeom>
        <a:noFill/>
        <a:ln>
          <a:noFill/>
        </a:ln>
      </xdr:spPr>
    </xdr:pic>
    <xdr:clientData/>
  </xdr:twoCellAnchor>
  <xdr:oneCellAnchor>
    <xdr:from>
      <xdr:col>8</xdr:col>
      <xdr:colOff>523875</xdr:colOff>
      <xdr:row>9</xdr:row>
      <xdr:rowOff>0</xdr:rowOff>
    </xdr:from>
    <xdr:ext cx="1163439" cy="950975"/>
    <xdr:pic>
      <xdr:nvPicPr>
        <xdr:cNvPr id="14" name="Imagen 13">
          <a:hlinkClick xmlns:r="http://schemas.openxmlformats.org/officeDocument/2006/relationships" r:id="rId20"/>
          <a:extLst>
            <a:ext uri="{FF2B5EF4-FFF2-40B4-BE49-F238E27FC236}">
              <a16:creationId xmlns:a16="http://schemas.microsoft.com/office/drawing/2014/main" id="{4348A799-28B7-4C5F-BBEB-1F61FBAAAA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19875" y="1733550"/>
          <a:ext cx="1163439" cy="950975"/>
        </a:xfrm>
        <a:prstGeom prst="rect">
          <a:avLst/>
        </a:prstGeom>
      </xdr:spPr>
    </xdr:pic>
    <xdr:clientData/>
  </xdr:oneCellAnchor>
  <xdr:oneCellAnchor>
    <xdr:from>
      <xdr:col>7</xdr:col>
      <xdr:colOff>514350</xdr:colOff>
      <xdr:row>22</xdr:row>
      <xdr:rowOff>0</xdr:rowOff>
    </xdr:from>
    <xdr:ext cx="1163439" cy="950975"/>
    <xdr:pic>
      <xdr:nvPicPr>
        <xdr:cNvPr id="17" name="Imagen 16">
          <a:hlinkClick xmlns:r="http://schemas.openxmlformats.org/officeDocument/2006/relationships" r:id="rId21"/>
          <a:extLst>
            <a:ext uri="{FF2B5EF4-FFF2-40B4-BE49-F238E27FC236}">
              <a16:creationId xmlns:a16="http://schemas.microsoft.com/office/drawing/2014/main" id="{50EA3651-267B-4C72-8FEF-EA2A9B4442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5848350" y="4210050"/>
          <a:ext cx="1163439" cy="9509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937532</xdr:colOff>
      <xdr:row>0</xdr:row>
      <xdr:rowOff>0</xdr:rowOff>
    </xdr:from>
    <xdr:ext cx="1827439" cy="793750"/>
    <xdr:pic>
      <xdr:nvPicPr>
        <xdr:cNvPr id="2" name="Imagen 1">
          <a:extLst>
            <a:ext uri="{FF2B5EF4-FFF2-40B4-BE49-F238E27FC236}">
              <a16:creationId xmlns:a16="http://schemas.microsoft.com/office/drawing/2014/main" id="{54D06206-40D8-4675-93C5-8576632709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657" y="0"/>
          <a:ext cx="1827439" cy="793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360963</xdr:colOff>
      <xdr:row>0</xdr:row>
      <xdr:rowOff>101928</xdr:rowOff>
    </xdr:from>
    <xdr:ext cx="2049604" cy="560120"/>
    <xdr:pic>
      <xdr:nvPicPr>
        <xdr:cNvPr id="3" name="Imagen 2" descr="Image result for LOGO MINSALUD">
          <a:extLst>
            <a:ext uri="{FF2B5EF4-FFF2-40B4-BE49-F238E27FC236}">
              <a16:creationId xmlns:a16="http://schemas.microsoft.com/office/drawing/2014/main" id="{0C5480AC-898E-4AC8-8465-E214D0A9324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496313" y="101928"/>
          <a:ext cx="2049604" cy="560120"/>
        </a:xfrm>
        <a:prstGeom prst="rect">
          <a:avLst/>
        </a:prstGeom>
        <a:noFill/>
        <a:ln>
          <a:noFill/>
        </a:ln>
      </xdr:spPr>
    </xdr:pic>
    <xdr:clientData/>
  </xdr:oneCellAnchor>
  <xdr:oneCellAnchor>
    <xdr:from>
      <xdr:col>94</xdr:col>
      <xdr:colOff>428625</xdr:colOff>
      <xdr:row>0</xdr:row>
      <xdr:rowOff>75590</xdr:rowOff>
    </xdr:from>
    <xdr:ext cx="2111830" cy="572026"/>
    <xdr:pic>
      <xdr:nvPicPr>
        <xdr:cNvPr id="4" name="Imagen 3" descr="Image result for LOGO GOBIERNO DE COLOMBIA">
          <a:extLst>
            <a:ext uri="{FF2B5EF4-FFF2-40B4-BE49-F238E27FC236}">
              <a16:creationId xmlns:a16="http://schemas.microsoft.com/office/drawing/2014/main" id="{20C6E87D-A853-4540-AF81-344431D4719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61875" y="75590"/>
          <a:ext cx="2111830" cy="57202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2" name="Imagen 1">
          <a:extLst>
            <a:ext uri="{FF2B5EF4-FFF2-40B4-BE49-F238E27FC236}">
              <a16:creationId xmlns:a16="http://schemas.microsoft.com/office/drawing/2014/main" id="{ED97033B-92D3-4F73-B1D1-7CAC2F7AD9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114300</xdr:colOff>
      <xdr:row>1</xdr:row>
      <xdr:rowOff>1</xdr:rowOff>
    </xdr:from>
    <xdr:to>
      <xdr:col>59</xdr:col>
      <xdr:colOff>276226</xdr:colOff>
      <xdr:row>2</xdr:row>
      <xdr:rowOff>76200</xdr:rowOff>
    </xdr:to>
    <xdr:pic>
      <xdr:nvPicPr>
        <xdr:cNvPr id="3" name="Imagen 2" descr="Image result for LOGO MINSALUD">
          <a:extLst>
            <a:ext uri="{FF2B5EF4-FFF2-40B4-BE49-F238E27FC236}">
              <a16:creationId xmlns:a16="http://schemas.microsoft.com/office/drawing/2014/main" id="{17E4C6FC-CE3B-48F5-B838-2F438DC1BBD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82325" y="190501"/>
          <a:ext cx="1685926" cy="266699"/>
        </a:xfrm>
        <a:prstGeom prst="rect">
          <a:avLst/>
        </a:prstGeom>
        <a:noFill/>
        <a:ln>
          <a:noFill/>
        </a:ln>
      </xdr:spPr>
    </xdr:pic>
    <xdr:clientData/>
  </xdr:twoCellAnchor>
  <xdr:twoCellAnchor editAs="oneCell">
    <xdr:from>
      <xdr:col>59</xdr:col>
      <xdr:colOff>419100</xdr:colOff>
      <xdr:row>1</xdr:row>
      <xdr:rowOff>11223</xdr:rowOff>
    </xdr:from>
    <xdr:to>
      <xdr:col>62</xdr:col>
      <xdr:colOff>304800</xdr:colOff>
      <xdr:row>2</xdr:row>
      <xdr:rowOff>76200</xdr:rowOff>
    </xdr:to>
    <xdr:pic>
      <xdr:nvPicPr>
        <xdr:cNvPr id="4" name="Imagen 3" descr="Image result for LOGO GOBIERNO DE COLOMBIA">
          <a:extLst>
            <a:ext uri="{FF2B5EF4-FFF2-40B4-BE49-F238E27FC236}">
              <a16:creationId xmlns:a16="http://schemas.microsoft.com/office/drawing/2014/main" id="{690413C5-98D6-4EE0-B06A-3BA2CA80D86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811125" y="201723"/>
          <a:ext cx="2171700" cy="255477"/>
        </a:xfrm>
        <a:prstGeom prst="rect">
          <a:avLst/>
        </a:prstGeom>
        <a:noFill/>
        <a:ln>
          <a:noFill/>
        </a:ln>
      </xdr:spPr>
    </xdr:pic>
    <xdr:clientData/>
  </xdr:twoCellAnchor>
  <xdr:twoCellAnchor editAs="oneCell">
    <xdr:from>
      <xdr:col>0</xdr:col>
      <xdr:colOff>38101</xdr:colOff>
      <xdr:row>15</xdr:row>
      <xdr:rowOff>28575</xdr:rowOff>
    </xdr:from>
    <xdr:to>
      <xdr:col>0</xdr:col>
      <xdr:colOff>3590925</xdr:colOff>
      <xdr:row>25</xdr:row>
      <xdr:rowOff>128888</xdr:rowOff>
    </xdr:to>
    <xdr:pic>
      <xdr:nvPicPr>
        <xdr:cNvPr id="5" name="Imagen 4">
          <a:extLst>
            <a:ext uri="{FF2B5EF4-FFF2-40B4-BE49-F238E27FC236}">
              <a16:creationId xmlns:a16="http://schemas.microsoft.com/office/drawing/2014/main" id="{6C2744C2-E754-4075-983C-6313A591B4E6}"/>
            </a:ext>
          </a:extLst>
        </xdr:cNvPr>
        <xdr:cNvPicPr>
          <a:picLocks noChangeAspect="1"/>
        </xdr:cNvPicPr>
      </xdr:nvPicPr>
      <xdr:blipFill>
        <a:blip xmlns:r="http://schemas.openxmlformats.org/officeDocument/2006/relationships" r:embed="rId4"/>
        <a:stretch>
          <a:fillRect/>
        </a:stretch>
      </xdr:blipFill>
      <xdr:spPr>
        <a:xfrm>
          <a:off x="38101" y="3543300"/>
          <a:ext cx="3552824" cy="2005313"/>
        </a:xfrm>
        <a:prstGeom prst="rect">
          <a:avLst/>
        </a:prstGeom>
      </xdr:spPr>
    </xdr:pic>
    <xdr:clientData/>
  </xdr:twoCellAnchor>
  <xdr:twoCellAnchor editAs="oneCell">
    <xdr:from>
      <xdr:col>0</xdr:col>
      <xdr:colOff>3638550</xdr:colOff>
      <xdr:row>15</xdr:row>
      <xdr:rowOff>28575</xdr:rowOff>
    </xdr:from>
    <xdr:to>
      <xdr:col>8</xdr:col>
      <xdr:colOff>9525</xdr:colOff>
      <xdr:row>25</xdr:row>
      <xdr:rowOff>128888</xdr:rowOff>
    </xdr:to>
    <xdr:pic>
      <xdr:nvPicPr>
        <xdr:cNvPr id="6" name="Imagen 5">
          <a:extLst>
            <a:ext uri="{FF2B5EF4-FFF2-40B4-BE49-F238E27FC236}">
              <a16:creationId xmlns:a16="http://schemas.microsoft.com/office/drawing/2014/main" id="{3302B0FE-3EB6-42E8-8F12-5BA71A021F10}"/>
            </a:ext>
          </a:extLst>
        </xdr:cNvPr>
        <xdr:cNvPicPr>
          <a:picLocks noChangeAspect="1"/>
        </xdr:cNvPicPr>
      </xdr:nvPicPr>
      <xdr:blipFill>
        <a:blip xmlns:r="http://schemas.openxmlformats.org/officeDocument/2006/relationships" r:embed="rId5"/>
        <a:stretch>
          <a:fillRect/>
        </a:stretch>
      </xdr:blipFill>
      <xdr:spPr>
        <a:xfrm>
          <a:off x="3638550" y="3543300"/>
          <a:ext cx="3448050" cy="20053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182F02A2-4DB0-417C-A825-13326FF0B3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123825</xdr:colOff>
      <xdr:row>0</xdr:row>
      <xdr:rowOff>266701</xdr:rowOff>
    </xdr:from>
    <xdr:ext cx="1619251" cy="257174"/>
    <xdr:pic>
      <xdr:nvPicPr>
        <xdr:cNvPr id="3" name="Imagen 2" descr="Image result for LOGO MINSALUD">
          <a:extLst>
            <a:ext uri="{FF2B5EF4-FFF2-40B4-BE49-F238E27FC236}">
              <a16:creationId xmlns:a16="http://schemas.microsoft.com/office/drawing/2014/main" id="{22244999-65A8-42E3-BBDB-13C752C5A50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7175" y="266701"/>
          <a:ext cx="1619251" cy="257174"/>
        </a:xfrm>
        <a:prstGeom prst="rect">
          <a:avLst/>
        </a:prstGeom>
        <a:noFill/>
        <a:ln>
          <a:noFill/>
        </a:ln>
      </xdr:spPr>
    </xdr:pic>
    <xdr:clientData/>
  </xdr:oneCellAnchor>
  <xdr:oneCellAnchor>
    <xdr:from>
      <xdr:col>55</xdr:col>
      <xdr:colOff>342900</xdr:colOff>
      <xdr:row>0</xdr:row>
      <xdr:rowOff>249348</xdr:rowOff>
    </xdr:from>
    <xdr:ext cx="1743075" cy="265002"/>
    <xdr:pic>
      <xdr:nvPicPr>
        <xdr:cNvPr id="4" name="Imagen 3" descr="Image result for LOGO GOBIERNO DE COLOMBIA">
          <a:extLst>
            <a:ext uri="{FF2B5EF4-FFF2-40B4-BE49-F238E27FC236}">
              <a16:creationId xmlns:a16="http://schemas.microsoft.com/office/drawing/2014/main" id="{32E4BBA5-4744-408C-891E-4A82B0CCD2C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20250" y="249348"/>
          <a:ext cx="1743075" cy="265002"/>
        </a:xfrm>
        <a:prstGeom prst="rect">
          <a:avLst/>
        </a:prstGeom>
        <a:noFill/>
        <a:ln>
          <a:noFill/>
        </a:ln>
      </xdr:spPr>
    </xdr:pic>
    <xdr:clientData/>
  </xdr:oneCellAnchor>
  <xdr:twoCellAnchor editAs="oneCell">
    <xdr:from>
      <xdr:col>0</xdr:col>
      <xdr:colOff>352425</xdr:colOff>
      <xdr:row>16</xdr:row>
      <xdr:rowOff>95250</xdr:rowOff>
    </xdr:from>
    <xdr:to>
      <xdr:col>2</xdr:col>
      <xdr:colOff>485774</xdr:colOff>
      <xdr:row>27</xdr:row>
      <xdr:rowOff>5063</xdr:rowOff>
    </xdr:to>
    <xdr:pic>
      <xdr:nvPicPr>
        <xdr:cNvPr id="5" name="Imagen 4">
          <a:extLst>
            <a:ext uri="{FF2B5EF4-FFF2-40B4-BE49-F238E27FC236}">
              <a16:creationId xmlns:a16="http://schemas.microsoft.com/office/drawing/2014/main" id="{95C2BD70-D235-41B0-8E60-5C9A1551E39A}"/>
            </a:ext>
          </a:extLst>
        </xdr:cNvPr>
        <xdr:cNvPicPr>
          <a:picLocks noChangeAspect="1"/>
        </xdr:cNvPicPr>
      </xdr:nvPicPr>
      <xdr:blipFill>
        <a:blip xmlns:r="http://schemas.openxmlformats.org/officeDocument/2006/relationships" r:embed="rId4"/>
        <a:stretch>
          <a:fillRect/>
        </a:stretch>
      </xdr:blipFill>
      <xdr:spPr>
        <a:xfrm>
          <a:off x="352425" y="8629650"/>
          <a:ext cx="3552824" cy="2005313"/>
        </a:xfrm>
        <a:prstGeom prst="rect">
          <a:avLst/>
        </a:prstGeom>
      </xdr:spPr>
    </xdr:pic>
    <xdr:clientData/>
  </xdr:twoCellAnchor>
  <xdr:twoCellAnchor editAs="oneCell">
    <xdr:from>
      <xdr:col>2</xdr:col>
      <xdr:colOff>561975</xdr:colOff>
      <xdr:row>16</xdr:row>
      <xdr:rowOff>95250</xdr:rowOff>
    </xdr:from>
    <xdr:to>
      <xdr:col>12</xdr:col>
      <xdr:colOff>114300</xdr:colOff>
      <xdr:row>27</xdr:row>
      <xdr:rowOff>5063</xdr:rowOff>
    </xdr:to>
    <xdr:pic>
      <xdr:nvPicPr>
        <xdr:cNvPr id="6" name="Imagen 5">
          <a:extLst>
            <a:ext uri="{FF2B5EF4-FFF2-40B4-BE49-F238E27FC236}">
              <a16:creationId xmlns:a16="http://schemas.microsoft.com/office/drawing/2014/main" id="{803CCDA0-5A2E-4334-9FE6-DA947BECD412}"/>
            </a:ext>
          </a:extLst>
        </xdr:cNvPr>
        <xdr:cNvPicPr>
          <a:picLocks noChangeAspect="1"/>
        </xdr:cNvPicPr>
      </xdr:nvPicPr>
      <xdr:blipFill>
        <a:blip xmlns:r="http://schemas.openxmlformats.org/officeDocument/2006/relationships" r:embed="rId5"/>
        <a:stretch>
          <a:fillRect/>
        </a:stretch>
      </xdr:blipFill>
      <xdr:spPr>
        <a:xfrm>
          <a:off x="3981450" y="8629650"/>
          <a:ext cx="3448050" cy="20053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32A6FA74-CC19-41B4-ADD3-76067F3039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130969</xdr:colOff>
      <xdr:row>0</xdr:row>
      <xdr:rowOff>321468</xdr:rowOff>
    </xdr:from>
    <xdr:ext cx="1516855" cy="250031"/>
    <xdr:pic>
      <xdr:nvPicPr>
        <xdr:cNvPr id="3" name="Imagen 2" descr="Image result for LOGO MINSALUD">
          <a:extLst>
            <a:ext uri="{FF2B5EF4-FFF2-40B4-BE49-F238E27FC236}">
              <a16:creationId xmlns:a16="http://schemas.microsoft.com/office/drawing/2014/main" id="{54788C10-9AFB-4181-AA03-DD90390D49E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29563" y="321468"/>
          <a:ext cx="1516855" cy="250031"/>
        </a:xfrm>
        <a:prstGeom prst="rect">
          <a:avLst/>
        </a:prstGeom>
        <a:noFill/>
        <a:ln>
          <a:noFill/>
        </a:ln>
      </xdr:spPr>
    </xdr:pic>
    <xdr:clientData/>
  </xdr:oneCellAnchor>
  <xdr:oneCellAnchor>
    <xdr:from>
      <xdr:col>55</xdr:col>
      <xdr:colOff>261937</xdr:colOff>
      <xdr:row>0</xdr:row>
      <xdr:rowOff>306500</xdr:rowOff>
    </xdr:from>
    <xdr:ext cx="1826422" cy="288814"/>
    <xdr:pic>
      <xdr:nvPicPr>
        <xdr:cNvPr id="4" name="Imagen 3" descr="Image result for LOGO GOBIERNO DE COLOMBIA">
          <a:extLst>
            <a:ext uri="{FF2B5EF4-FFF2-40B4-BE49-F238E27FC236}">
              <a16:creationId xmlns:a16="http://schemas.microsoft.com/office/drawing/2014/main" id="{C36734A2-8BF1-40FA-806B-893A262D16D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84531" y="306500"/>
          <a:ext cx="1826422" cy="288814"/>
        </a:xfrm>
        <a:prstGeom prst="rect">
          <a:avLst/>
        </a:prstGeom>
        <a:noFill/>
        <a:ln>
          <a:noFill/>
        </a:ln>
      </xdr:spPr>
    </xdr:pic>
    <xdr:clientData/>
  </xdr:oneCellAnchor>
  <xdr:twoCellAnchor editAs="oneCell">
    <xdr:from>
      <xdr:col>0</xdr:col>
      <xdr:colOff>119105</xdr:colOff>
      <xdr:row>15</xdr:row>
      <xdr:rowOff>107156</xdr:rowOff>
    </xdr:from>
    <xdr:to>
      <xdr:col>2</xdr:col>
      <xdr:colOff>254835</xdr:colOff>
      <xdr:row>26</xdr:row>
      <xdr:rowOff>16969</xdr:rowOff>
    </xdr:to>
    <xdr:pic>
      <xdr:nvPicPr>
        <xdr:cNvPr id="5" name="Imagen 4">
          <a:extLst>
            <a:ext uri="{FF2B5EF4-FFF2-40B4-BE49-F238E27FC236}">
              <a16:creationId xmlns:a16="http://schemas.microsoft.com/office/drawing/2014/main" id="{99754AFC-2ECA-48DD-934E-0631CBB0DBB3}"/>
            </a:ext>
          </a:extLst>
        </xdr:cNvPr>
        <xdr:cNvPicPr>
          <a:picLocks noChangeAspect="1"/>
        </xdr:cNvPicPr>
      </xdr:nvPicPr>
      <xdr:blipFill>
        <a:blip xmlns:r="http://schemas.openxmlformats.org/officeDocument/2006/relationships" r:embed="rId4"/>
        <a:stretch>
          <a:fillRect/>
        </a:stretch>
      </xdr:blipFill>
      <xdr:spPr>
        <a:xfrm>
          <a:off x="119105" y="5429250"/>
          <a:ext cx="3552824" cy="2005313"/>
        </a:xfrm>
        <a:prstGeom prst="rect">
          <a:avLst/>
        </a:prstGeom>
      </xdr:spPr>
    </xdr:pic>
    <xdr:clientData/>
  </xdr:twoCellAnchor>
  <xdr:twoCellAnchor editAs="oneCell">
    <xdr:from>
      <xdr:col>2</xdr:col>
      <xdr:colOff>807285</xdr:colOff>
      <xdr:row>15</xdr:row>
      <xdr:rowOff>107156</xdr:rowOff>
    </xdr:from>
    <xdr:to>
      <xdr:col>13</xdr:col>
      <xdr:colOff>88148</xdr:colOff>
      <xdr:row>26</xdr:row>
      <xdr:rowOff>16969</xdr:rowOff>
    </xdr:to>
    <xdr:pic>
      <xdr:nvPicPr>
        <xdr:cNvPr id="6" name="Imagen 5">
          <a:extLst>
            <a:ext uri="{FF2B5EF4-FFF2-40B4-BE49-F238E27FC236}">
              <a16:creationId xmlns:a16="http://schemas.microsoft.com/office/drawing/2014/main" id="{3D092D7F-315B-43B9-91D9-0F8E1FE1808B}"/>
            </a:ext>
          </a:extLst>
        </xdr:cNvPr>
        <xdr:cNvPicPr>
          <a:picLocks noChangeAspect="1"/>
        </xdr:cNvPicPr>
      </xdr:nvPicPr>
      <xdr:blipFill>
        <a:blip xmlns:r="http://schemas.openxmlformats.org/officeDocument/2006/relationships" r:embed="rId5"/>
        <a:stretch>
          <a:fillRect/>
        </a:stretch>
      </xdr:blipFill>
      <xdr:spPr>
        <a:xfrm>
          <a:off x="4224379" y="5429250"/>
          <a:ext cx="3448050" cy="20053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ES-F07-08_Plan_Accion_con_Cuadro_de_Mando_V03%20Preliminar%20con%20ajustes%20PA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Users\norela.briceno\Documents\Plan%20de%20acci&#243;n\Plan%20Accion%202018\Plan%20Accion%20Integrado%20ADRES%20Vigencia%202018%20con%20Cuadro%20de%20Mando%20V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Avances%204&#176;%20Trimestre%20Plan%20Accion%20Integrado%20ADRES%202018%20con%20Cuadro%20de%20Mando%20Publicac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Copia%20de%20Plan%20Accion%20ADRES%20Vigencia%202018%20con%20Cuadro%20de%20Man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tha.serna/ADRES/DIANA%20FERNANDA%20FORERO%20CORREDOR%20-%20GRUPO%20GESTI&#211;N%20DE%20SERVICIO%20AL%20CIUDADANO/Plan%20Accion%20Integrado%20ADRES%20Vigencia%202018%20%20con%20cuadro%20de%20mando%20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ES-F07-08_Plan_Accion_con_Cuadro_de_Mando_V04%20Otros%20planes%20T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lan_Accion_2019_OCI_V02%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con%20Cuadro%20de%20Mando%20V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IES-F07-08_Plan_Accion_con_Cuadro_de_Mando_V03%20Preliminar%20DGT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23KQLUMF/DIES-F07-08_Plan_Accion_2019_V01%20aprobado%20publicac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IES-F07-08_Plan_Accion_con_Cuadro_de_Mando_V03%20public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TAB. REF. PA"/>
      <sheetName val="Estadística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 val="TAB. REF. PA"/>
    </sheetNames>
    <sheetDataSet>
      <sheetData sheetId="0"/>
      <sheetData sheetId="1"/>
      <sheetData sheetId="2">
        <row r="326">
          <cell r="L326">
            <v>42726949922000</v>
          </cell>
        </row>
        <row r="327">
          <cell r="L327">
            <v>123940944854</v>
          </cell>
          <cell r="AC327">
            <v>10741284867605.9</v>
          </cell>
        </row>
        <row r="328">
          <cell r="AC328">
            <v>17235928559.849998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apoyo transversa"/>
      <sheetName val="Resumen"/>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TAB. REF. PA"/>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
      <sheetName val="Plan de Accion"/>
      <sheetName val="TAB.REF.PA"/>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 val="TAB. REF. PA"/>
    </sheetNames>
    <sheetDataSet>
      <sheetData sheetId="0"/>
      <sheetData sheetId="1"/>
      <sheetData sheetId="2">
        <row r="283">
          <cell r="B283" t="str">
            <v xml:space="preserve">Dirección de Otras Prestaciones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apoyo transversa"/>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TAB. REF. PA"/>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Proyectos estrat"/>
      <sheetName val="Plan de Accion Misional"/>
      <sheetName val="Plan de Accion apoyo transversa"/>
      <sheetName val="Plan de Accion ajustes normativ"/>
      <sheetName val="Control de Cambios"/>
      <sheetName val="TAB. REF. PA"/>
    </sheetNames>
    <sheetDataSet>
      <sheetData sheetId="0"/>
      <sheetData sheetId="1"/>
      <sheetData sheetId="2"/>
      <sheetData sheetId="3"/>
      <sheetData sheetId="4"/>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TAB. REF. PA"/>
      <sheetName val="Estadísticas"/>
      <sheetName val="Actividades relevantes Detalle"/>
      <sheetName val="PLAN DE ADQUISIONES COMPILADO"/>
    </sheetNames>
    <sheetDataSet>
      <sheetData sheetId="0"/>
      <sheetData sheetId="1"/>
      <sheetData sheetId="2">
        <row r="37">
          <cell r="P37">
            <v>42159994067.800003</v>
          </cell>
        </row>
      </sheetData>
      <sheetData sheetId="3">
        <row r="21">
          <cell r="N21">
            <v>909976656</v>
          </cell>
        </row>
      </sheetData>
      <sheetData sheetId="4">
        <row r="179">
          <cell r="AC179">
            <v>6693994995.0797157</v>
          </cell>
        </row>
      </sheetData>
      <sheetData sheetId="5">
        <row r="11">
          <cell r="N11">
            <v>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43"/>
  <sheetViews>
    <sheetView showGridLines="0" tabSelected="1" zoomScale="70" zoomScaleNormal="70" workbookViewId="0">
      <pane ySplit="8" topLeftCell="A9" activePane="bottomLeft" state="frozen"/>
      <selection pane="bottomLeft" activeCell="B9" sqref="B9"/>
    </sheetView>
  </sheetViews>
  <sheetFormatPr baseColWidth="10" defaultRowHeight="14.25" x14ac:dyDescent="0.2"/>
  <cols>
    <col min="1" max="1" width="17.85546875" style="159" customWidth="1"/>
    <col min="2" max="2" width="30.42578125" style="159" bestFit="1" customWidth="1"/>
    <col min="3" max="3" width="10.28515625" style="161" customWidth="1"/>
    <col min="4" max="5" width="7.85546875" style="161" customWidth="1"/>
    <col min="6" max="6" width="17.5703125" style="159" customWidth="1"/>
    <col min="7" max="7" width="38.28515625" style="159" customWidth="1"/>
    <col min="8" max="8" width="18.5703125" style="159" customWidth="1"/>
    <col min="9" max="9" width="29.140625" style="159" customWidth="1"/>
    <col min="10" max="10" width="15.7109375" style="159" customWidth="1"/>
    <col min="11" max="11" width="26.140625" style="159" customWidth="1"/>
    <col min="12" max="12" width="12.85546875" style="161" customWidth="1"/>
    <col min="13" max="13" width="12.7109375" style="159" customWidth="1"/>
    <col min="14" max="14" width="14.5703125" style="159" customWidth="1"/>
    <col min="15" max="15" width="29.85546875" style="159" customWidth="1"/>
    <col min="16" max="16" width="23.5703125" style="159" customWidth="1"/>
    <col min="17" max="17" width="17.28515625" style="159" customWidth="1"/>
    <col min="18" max="18" width="21.42578125" style="159" customWidth="1"/>
    <col min="19" max="19" width="23.7109375" style="159" customWidth="1"/>
    <col min="20" max="20" width="25.7109375" style="159" customWidth="1"/>
    <col min="21" max="21" width="35" style="159" customWidth="1"/>
    <col min="22" max="22" width="19.85546875" style="159" customWidth="1"/>
    <col min="23" max="23" width="33.7109375" style="159" customWidth="1"/>
    <col min="24" max="24" width="26.5703125" style="159" customWidth="1"/>
    <col min="25" max="25" width="28.28515625" style="159" customWidth="1"/>
    <col min="26" max="26" width="13.140625" style="159" customWidth="1"/>
    <col min="27" max="27" width="35.7109375" style="159" customWidth="1"/>
    <col min="28" max="28" width="27.7109375" style="159" customWidth="1"/>
    <col min="29" max="29" width="18" style="159" customWidth="1"/>
    <col min="30" max="30" width="13.85546875" style="158" customWidth="1"/>
    <col min="31" max="31" width="35.7109375" style="158" customWidth="1"/>
    <col min="32" max="32" width="27.7109375" style="158" customWidth="1"/>
    <col min="33" max="33" width="13.5703125" style="158" customWidth="1"/>
    <col min="34" max="34" width="27.7109375" style="158" customWidth="1"/>
    <col min="35" max="35" width="11.42578125" style="158" customWidth="1"/>
    <col min="36" max="36" width="15.7109375" style="158" customWidth="1"/>
    <col min="37" max="37" width="11.42578125" style="158" customWidth="1"/>
    <col min="38" max="38" width="15.7109375" style="158" customWidth="1"/>
    <col min="39" max="39" width="50.7109375" style="158" customWidth="1"/>
    <col min="40" max="40" width="13.7109375" style="158" hidden="1" customWidth="1"/>
    <col min="41" max="41" width="35.7109375" style="158" hidden="1" customWidth="1"/>
    <col min="42" max="42" width="27.7109375" style="158" hidden="1" customWidth="1"/>
    <col min="43" max="43" width="17.140625" style="158" hidden="1" customWidth="1"/>
    <col min="44" max="44" width="27.7109375" style="158" hidden="1" customWidth="1"/>
    <col min="45" max="45" width="13.7109375" style="158" hidden="1" customWidth="1"/>
    <col min="46" max="46" width="15.7109375" style="158" hidden="1" customWidth="1"/>
    <col min="47" max="47" width="13.7109375" style="158" hidden="1" customWidth="1"/>
    <col min="48" max="48" width="15.7109375" style="158" hidden="1" customWidth="1"/>
    <col min="49" max="49" width="50.7109375" style="158" hidden="1" customWidth="1"/>
    <col min="50" max="50" width="13.7109375" style="158" hidden="1" customWidth="1"/>
    <col min="51" max="51" width="35.7109375" style="158" hidden="1" customWidth="1"/>
    <col min="52" max="52" width="27.7109375" style="158" hidden="1" customWidth="1"/>
    <col min="53" max="53" width="18" style="158" hidden="1" customWidth="1"/>
    <col min="54" max="54" width="27.7109375" style="158" hidden="1" customWidth="1"/>
    <col min="55" max="55" width="13.7109375" style="158" hidden="1" customWidth="1"/>
    <col min="56" max="56" width="15.7109375" style="158" hidden="1" customWidth="1"/>
    <col min="57" max="57" width="13.7109375" style="158" hidden="1" customWidth="1"/>
    <col min="58" max="58" width="15.7109375" style="158" hidden="1" customWidth="1"/>
    <col min="59" max="59" width="50.7109375" style="158" hidden="1" customWidth="1"/>
    <col min="60" max="60" width="13.7109375" style="158" hidden="1" customWidth="1"/>
    <col min="61" max="61" width="35.7109375" style="158" hidden="1" customWidth="1"/>
    <col min="62" max="62" width="27.7109375" style="158" hidden="1" customWidth="1"/>
    <col min="63" max="63" width="13.7109375" style="158" hidden="1" customWidth="1"/>
    <col min="64" max="64" width="27.7109375" style="158" hidden="1" customWidth="1"/>
    <col min="65" max="65" width="13.7109375" style="158" hidden="1" customWidth="1"/>
    <col min="66" max="66" width="15.7109375" style="158" hidden="1" customWidth="1"/>
    <col min="67" max="67" width="13.7109375" style="158" hidden="1" customWidth="1"/>
    <col min="68" max="68" width="15.7109375" style="158" hidden="1" customWidth="1"/>
    <col min="69" max="69" width="50.7109375" style="158" hidden="1" customWidth="1"/>
    <col min="70" max="70" width="13.7109375" style="158" customWidth="1"/>
    <col min="71" max="71" width="15.7109375" style="158" customWidth="1"/>
    <col min="72" max="72" width="15.42578125" style="158" customWidth="1"/>
    <col min="73" max="73" width="15.7109375" style="158" customWidth="1"/>
    <col min="74" max="74" width="13.7109375" style="158" customWidth="1"/>
    <col min="75" max="75" width="15.7109375" style="158" customWidth="1"/>
    <col min="76" max="76" width="13.7109375" style="158" customWidth="1"/>
    <col min="77" max="77" width="15.7109375" style="158" customWidth="1"/>
    <col min="78" max="78" width="17.5703125" style="158" hidden="1" customWidth="1"/>
    <col min="79" max="16384" width="11.42578125" style="158"/>
  </cols>
  <sheetData>
    <row r="1" spans="1:78" ht="22.5" customHeight="1" x14ac:dyDescent="0.2">
      <c r="A1" s="734"/>
      <c r="B1" s="735"/>
      <c r="C1" s="740" t="s">
        <v>248</v>
      </c>
      <c r="D1" s="741"/>
      <c r="E1" s="741"/>
      <c r="F1" s="741"/>
      <c r="G1" s="741"/>
      <c r="H1" s="741"/>
      <c r="I1" s="741"/>
      <c r="J1" s="742"/>
      <c r="K1" s="743" t="s">
        <v>249</v>
      </c>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4"/>
      <c r="BV1" s="755"/>
      <c r="BW1" s="756"/>
      <c r="BX1" s="756"/>
      <c r="BY1" s="756"/>
    </row>
    <row r="2" spans="1:78" ht="24" customHeight="1" x14ac:dyDescent="0.2">
      <c r="A2" s="736"/>
      <c r="B2" s="737"/>
      <c r="C2" s="761" t="s">
        <v>250</v>
      </c>
      <c r="D2" s="762"/>
      <c r="E2" s="762"/>
      <c r="F2" s="762"/>
      <c r="G2" s="762"/>
      <c r="H2" s="762"/>
      <c r="I2" s="762"/>
      <c r="J2" s="763"/>
      <c r="K2" s="764" t="s">
        <v>256</v>
      </c>
      <c r="L2" s="766" t="s">
        <v>252</v>
      </c>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t="s">
        <v>251</v>
      </c>
      <c r="BU2" s="768">
        <v>2</v>
      </c>
      <c r="BV2" s="757"/>
      <c r="BW2" s="758"/>
      <c r="BX2" s="758"/>
      <c r="BY2" s="758"/>
    </row>
    <row r="3" spans="1:78" ht="25.5" customHeight="1" thickBot="1" x14ac:dyDescent="0.25">
      <c r="A3" s="738"/>
      <c r="B3" s="739"/>
      <c r="C3" s="770" t="s">
        <v>244</v>
      </c>
      <c r="D3" s="771"/>
      <c r="E3" s="771"/>
      <c r="F3" s="771"/>
      <c r="G3" s="771"/>
      <c r="H3" s="771"/>
      <c r="I3" s="771"/>
      <c r="J3" s="772"/>
      <c r="K3" s="765"/>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c r="BF3" s="767"/>
      <c r="BG3" s="767"/>
      <c r="BH3" s="767"/>
      <c r="BI3" s="767"/>
      <c r="BJ3" s="767"/>
      <c r="BK3" s="767"/>
      <c r="BL3" s="767"/>
      <c r="BM3" s="767"/>
      <c r="BN3" s="767"/>
      <c r="BO3" s="767"/>
      <c r="BP3" s="767"/>
      <c r="BQ3" s="767"/>
      <c r="BR3" s="767"/>
      <c r="BS3" s="767"/>
      <c r="BT3" s="767"/>
      <c r="BU3" s="769"/>
      <c r="BV3" s="759"/>
      <c r="BW3" s="760"/>
      <c r="BX3" s="760"/>
      <c r="BY3" s="760"/>
    </row>
    <row r="4" spans="1:78" ht="15" x14ac:dyDescent="0.2">
      <c r="C4" s="159"/>
      <c r="D4" s="159"/>
      <c r="E4" s="159"/>
      <c r="G4" s="160"/>
      <c r="H4" s="160"/>
      <c r="I4" s="160"/>
      <c r="J4" s="160"/>
      <c r="K4" s="160"/>
      <c r="L4" s="160"/>
      <c r="M4" s="160"/>
      <c r="N4" s="160"/>
      <c r="O4" s="160"/>
      <c r="P4" s="160"/>
      <c r="Q4" s="160"/>
      <c r="R4" s="160"/>
    </row>
    <row r="5" spans="1:78" s="86" customFormat="1" ht="12.75" x14ac:dyDescent="0.2">
      <c r="A5" s="166" t="s">
        <v>348</v>
      </c>
      <c r="B5" s="22"/>
      <c r="C5" s="22"/>
      <c r="D5" s="22"/>
      <c r="E5" s="22"/>
      <c r="F5" s="22"/>
      <c r="G5" s="751"/>
      <c r="H5" s="751"/>
      <c r="I5" s="751"/>
      <c r="J5" s="751"/>
      <c r="K5" s="751"/>
      <c r="L5" s="751"/>
      <c r="M5" s="751"/>
      <c r="N5" s="751"/>
      <c r="O5" s="751"/>
      <c r="P5" s="751"/>
      <c r="Q5" s="751"/>
      <c r="R5" s="751"/>
      <c r="S5" s="22"/>
      <c r="T5" s="167"/>
      <c r="U5" s="22"/>
      <c r="V5" s="22"/>
      <c r="W5" s="22"/>
      <c r="X5" s="22"/>
      <c r="Y5" s="22"/>
      <c r="Z5" s="22"/>
      <c r="AA5" s="22"/>
      <c r="AB5" s="22"/>
      <c r="AC5" s="22"/>
    </row>
    <row r="6" spans="1:78" s="86" customFormat="1" ht="13.5" thickBot="1" x14ac:dyDescent="0.25">
      <c r="A6" s="166"/>
      <c r="B6" s="22"/>
      <c r="C6" s="22"/>
      <c r="D6" s="22"/>
      <c r="E6" s="22"/>
      <c r="F6" s="22"/>
      <c r="G6" s="210"/>
      <c r="H6" s="210"/>
      <c r="I6" s="210"/>
      <c r="J6" s="210"/>
      <c r="K6" s="210"/>
      <c r="L6" s="210"/>
      <c r="M6" s="210"/>
      <c r="N6" s="210"/>
      <c r="O6" s="210"/>
      <c r="P6" s="210"/>
      <c r="Q6" s="210"/>
      <c r="R6" s="210"/>
      <c r="S6" s="22"/>
      <c r="T6" s="167"/>
      <c r="U6" s="22"/>
      <c r="V6" s="22"/>
      <c r="W6" s="22"/>
      <c r="X6" s="22"/>
      <c r="Y6" s="22"/>
      <c r="Z6" s="22"/>
      <c r="AA6" s="22"/>
      <c r="AB6" s="22"/>
      <c r="AC6" s="22"/>
    </row>
    <row r="7" spans="1:78" s="86" customFormat="1" ht="30" customHeight="1" thickBot="1" x14ac:dyDescent="0.25">
      <c r="A7" s="774" t="s">
        <v>30</v>
      </c>
      <c r="B7" s="706" t="s">
        <v>31</v>
      </c>
      <c r="C7" s="706" t="s">
        <v>257</v>
      </c>
      <c r="D7" s="773" t="s">
        <v>257</v>
      </c>
      <c r="E7" s="773"/>
      <c r="F7" s="706" t="s">
        <v>57</v>
      </c>
      <c r="G7" s="706" t="s">
        <v>259</v>
      </c>
      <c r="H7" s="706" t="s">
        <v>258</v>
      </c>
      <c r="I7" s="706" t="s">
        <v>260</v>
      </c>
      <c r="J7" s="706" t="s">
        <v>32</v>
      </c>
      <c r="K7" s="706" t="s">
        <v>49</v>
      </c>
      <c r="L7" s="706" t="s">
        <v>35</v>
      </c>
      <c r="M7" s="706" t="s">
        <v>8</v>
      </c>
      <c r="N7" s="706" t="s">
        <v>33</v>
      </c>
      <c r="O7" s="706" t="s">
        <v>50</v>
      </c>
      <c r="P7" s="706" t="s">
        <v>152</v>
      </c>
      <c r="Q7" s="706" t="s">
        <v>5</v>
      </c>
      <c r="R7" s="706" t="s">
        <v>37</v>
      </c>
      <c r="S7" s="706" t="s">
        <v>36</v>
      </c>
      <c r="T7" s="706" t="s">
        <v>38</v>
      </c>
      <c r="U7" s="706" t="s">
        <v>39</v>
      </c>
      <c r="V7" s="706" t="s">
        <v>6</v>
      </c>
      <c r="W7" s="797" t="s">
        <v>1375</v>
      </c>
      <c r="X7" s="706" t="s">
        <v>0</v>
      </c>
      <c r="Y7" s="706" t="s">
        <v>34</v>
      </c>
      <c r="Z7" s="706" t="s">
        <v>8</v>
      </c>
      <c r="AA7" s="706" t="s">
        <v>190</v>
      </c>
      <c r="AB7" s="706" t="s">
        <v>152</v>
      </c>
      <c r="AC7" s="708" t="s">
        <v>9</v>
      </c>
      <c r="AD7" s="746" t="s">
        <v>192</v>
      </c>
      <c r="AE7" s="746"/>
      <c r="AF7" s="746"/>
      <c r="AG7" s="746"/>
      <c r="AH7" s="746"/>
      <c r="AI7" s="746"/>
      <c r="AJ7" s="746"/>
      <c r="AK7" s="746"/>
      <c r="AL7" s="746"/>
      <c r="AM7" s="747"/>
      <c r="AN7" s="748" t="s">
        <v>194</v>
      </c>
      <c r="AO7" s="749"/>
      <c r="AP7" s="749"/>
      <c r="AQ7" s="749"/>
      <c r="AR7" s="749"/>
      <c r="AS7" s="749"/>
      <c r="AT7" s="749"/>
      <c r="AU7" s="749"/>
      <c r="AV7" s="749"/>
      <c r="AW7" s="750"/>
      <c r="AX7" s="745" t="s">
        <v>193</v>
      </c>
      <c r="AY7" s="746"/>
      <c r="AZ7" s="746"/>
      <c r="BA7" s="746"/>
      <c r="BB7" s="746"/>
      <c r="BC7" s="746"/>
      <c r="BD7" s="746"/>
      <c r="BE7" s="746"/>
      <c r="BF7" s="746"/>
      <c r="BG7" s="747"/>
      <c r="BH7" s="748" t="s">
        <v>195</v>
      </c>
      <c r="BI7" s="749"/>
      <c r="BJ7" s="749"/>
      <c r="BK7" s="749"/>
      <c r="BL7" s="749"/>
      <c r="BM7" s="749"/>
      <c r="BN7" s="749"/>
      <c r="BO7" s="749"/>
      <c r="BP7" s="749"/>
      <c r="BQ7" s="750"/>
      <c r="BR7" s="752" t="s">
        <v>1262</v>
      </c>
      <c r="BS7" s="753"/>
      <c r="BT7" s="753"/>
      <c r="BU7" s="753"/>
      <c r="BV7" s="753"/>
      <c r="BW7" s="753"/>
      <c r="BX7" s="753"/>
      <c r="BY7" s="754"/>
    </row>
    <row r="8" spans="1:78" s="199" customFormat="1" ht="39.75" customHeight="1" thickBot="1" x14ac:dyDescent="0.25">
      <c r="A8" s="775"/>
      <c r="B8" s="707"/>
      <c r="C8" s="707"/>
      <c r="D8" s="223">
        <v>2</v>
      </c>
      <c r="E8" s="223">
        <v>3</v>
      </c>
      <c r="F8" s="707"/>
      <c r="G8" s="707"/>
      <c r="H8" s="707"/>
      <c r="I8" s="707"/>
      <c r="J8" s="707"/>
      <c r="K8" s="707"/>
      <c r="L8" s="707"/>
      <c r="M8" s="707"/>
      <c r="N8" s="707"/>
      <c r="O8" s="707"/>
      <c r="P8" s="707"/>
      <c r="Q8" s="707"/>
      <c r="R8" s="707"/>
      <c r="S8" s="707"/>
      <c r="T8" s="707"/>
      <c r="U8" s="707"/>
      <c r="V8" s="707"/>
      <c r="W8" s="798"/>
      <c r="X8" s="707"/>
      <c r="Y8" s="707"/>
      <c r="Z8" s="707"/>
      <c r="AA8" s="707"/>
      <c r="AB8" s="707"/>
      <c r="AC8" s="709"/>
      <c r="AD8" s="222" t="s">
        <v>8</v>
      </c>
      <c r="AE8" s="173" t="s">
        <v>50</v>
      </c>
      <c r="AF8" s="173" t="s">
        <v>152</v>
      </c>
      <c r="AG8" s="173" t="s">
        <v>8</v>
      </c>
      <c r="AH8" s="173" t="s">
        <v>152</v>
      </c>
      <c r="AI8" s="173" t="s">
        <v>7</v>
      </c>
      <c r="AJ8" s="173" t="s">
        <v>10</v>
      </c>
      <c r="AK8" s="173" t="s">
        <v>7</v>
      </c>
      <c r="AL8" s="173" t="s">
        <v>10</v>
      </c>
      <c r="AM8" s="173" t="s">
        <v>191</v>
      </c>
      <c r="AN8" s="170" t="s">
        <v>8</v>
      </c>
      <c r="AO8" s="170" t="s">
        <v>50</v>
      </c>
      <c r="AP8" s="170" t="s">
        <v>152</v>
      </c>
      <c r="AQ8" s="170" t="s">
        <v>8</v>
      </c>
      <c r="AR8" s="170" t="s">
        <v>152</v>
      </c>
      <c r="AS8" s="170" t="s">
        <v>7</v>
      </c>
      <c r="AT8" s="170" t="s">
        <v>10</v>
      </c>
      <c r="AU8" s="170" t="s">
        <v>7</v>
      </c>
      <c r="AV8" s="170" t="s">
        <v>10</v>
      </c>
      <c r="AW8" s="170" t="s">
        <v>191</v>
      </c>
      <c r="AX8" s="173" t="s">
        <v>8</v>
      </c>
      <c r="AY8" s="173" t="s">
        <v>50</v>
      </c>
      <c r="AZ8" s="173" t="s">
        <v>152</v>
      </c>
      <c r="BA8" s="173" t="s">
        <v>8</v>
      </c>
      <c r="BB8" s="173" t="s">
        <v>152</v>
      </c>
      <c r="BC8" s="173" t="s">
        <v>7</v>
      </c>
      <c r="BD8" s="173" t="s">
        <v>10</v>
      </c>
      <c r="BE8" s="173" t="s">
        <v>7</v>
      </c>
      <c r="BF8" s="173" t="s">
        <v>10</v>
      </c>
      <c r="BG8" s="173" t="s">
        <v>191</v>
      </c>
      <c r="BH8" s="170" t="s">
        <v>8</v>
      </c>
      <c r="BI8" s="170" t="s">
        <v>50</v>
      </c>
      <c r="BJ8" s="170" t="s">
        <v>152</v>
      </c>
      <c r="BK8" s="170" t="s">
        <v>8</v>
      </c>
      <c r="BL8" s="170" t="s">
        <v>152</v>
      </c>
      <c r="BM8" s="170" t="s">
        <v>7</v>
      </c>
      <c r="BN8" s="170" t="s">
        <v>10</v>
      </c>
      <c r="BO8" s="170" t="s">
        <v>7</v>
      </c>
      <c r="BP8" s="170" t="s">
        <v>10</v>
      </c>
      <c r="BQ8" s="170" t="s">
        <v>191</v>
      </c>
      <c r="BR8" s="174" t="s">
        <v>7</v>
      </c>
      <c r="BS8" s="174" t="s">
        <v>10</v>
      </c>
      <c r="BT8" s="174" t="s">
        <v>7</v>
      </c>
      <c r="BU8" s="174" t="s">
        <v>10</v>
      </c>
      <c r="BV8" s="174" t="s">
        <v>7</v>
      </c>
      <c r="BW8" s="174" t="s">
        <v>10</v>
      </c>
      <c r="BX8" s="174" t="s">
        <v>7</v>
      </c>
      <c r="BY8" s="174" t="s">
        <v>10</v>
      </c>
    </row>
    <row r="9" spans="1:78" s="86" customFormat="1" ht="96" customHeight="1" x14ac:dyDescent="0.2">
      <c r="A9" s="201">
        <v>11500</v>
      </c>
      <c r="B9" s="200" t="s">
        <v>13</v>
      </c>
      <c r="C9" s="200" t="s">
        <v>332</v>
      </c>
      <c r="D9" s="215" t="s">
        <v>1108</v>
      </c>
      <c r="E9" s="215" t="s">
        <v>1108</v>
      </c>
      <c r="F9" s="211" t="s">
        <v>95</v>
      </c>
      <c r="G9" s="208" t="s">
        <v>346</v>
      </c>
      <c r="H9" s="211" t="s">
        <v>110</v>
      </c>
      <c r="I9" s="208" t="s">
        <v>341</v>
      </c>
      <c r="J9" s="711" t="s">
        <v>601</v>
      </c>
      <c r="K9" s="714" t="s">
        <v>1164</v>
      </c>
      <c r="L9" s="212" t="s">
        <v>51</v>
      </c>
      <c r="M9" s="209">
        <v>1</v>
      </c>
      <c r="N9" s="711" t="s">
        <v>109</v>
      </c>
      <c r="O9" s="714" t="s">
        <v>1166</v>
      </c>
      <c r="P9" s="719">
        <v>40053470870</v>
      </c>
      <c r="Q9" s="788">
        <v>1</v>
      </c>
      <c r="R9" s="714" t="s">
        <v>17</v>
      </c>
      <c r="S9" s="714" t="s">
        <v>26</v>
      </c>
      <c r="T9" s="714" t="s">
        <v>674</v>
      </c>
      <c r="U9" s="714" t="s">
        <v>677</v>
      </c>
      <c r="V9" s="714" t="s">
        <v>71</v>
      </c>
      <c r="W9" s="799" t="s">
        <v>1382</v>
      </c>
      <c r="X9" s="200" t="s">
        <v>1167</v>
      </c>
      <c r="Y9" s="714" t="s">
        <v>206</v>
      </c>
      <c r="Z9" s="537">
        <v>1</v>
      </c>
      <c r="AA9" s="714" t="str">
        <f>+O9</f>
        <v>Entregar resultados del rezago de 2018 de la Auditoría Integral de Salud, jurídica y financiera a los recobros y las reclamaciones; y normalización de entrega de resultados a partir de enero de 2019</v>
      </c>
      <c r="AB9" s="782">
        <f>+P9</f>
        <v>40053470870</v>
      </c>
      <c r="AC9" s="214" t="s">
        <v>46</v>
      </c>
      <c r="AD9" s="112">
        <v>0.25</v>
      </c>
      <c r="AE9" s="713" t="str">
        <f>+AA9</f>
        <v>Entregar resultados del rezago de 2018 de la Auditoría Integral de Salud, jurídica y financiera a los recobros y las reclamaciones; y normalización de entrega de resultados a partir de enero de 2019</v>
      </c>
      <c r="AF9" s="778">
        <f>+AB9/4</f>
        <v>10013367717.5</v>
      </c>
      <c r="AG9" s="578">
        <f>(109/7949088)*AD9</f>
        <v>3.4280662133819627E-6</v>
      </c>
      <c r="AH9" s="730">
        <v>0</v>
      </c>
      <c r="AI9" s="71">
        <f>+(AG9/AD9)</f>
        <v>1.3712264853527851E-5</v>
      </c>
      <c r="AJ9" s="732">
        <f>+(AH9/AF9)</f>
        <v>0</v>
      </c>
      <c r="AK9" s="71">
        <f>+(AG9/Z9)</f>
        <v>3.4280662133819627E-6</v>
      </c>
      <c r="AL9" s="732">
        <f>+(AH9/AB9)</f>
        <v>0</v>
      </c>
      <c r="AM9" s="584" t="s">
        <v>1443</v>
      </c>
      <c r="AN9" s="112">
        <v>0.25</v>
      </c>
      <c r="AO9" s="713" t="str">
        <f>+AA9</f>
        <v>Entregar resultados del rezago de 2018 de la Auditoría Integral de Salud, jurídica y financiera a los recobros y las reclamaciones; y normalización de entrega de resultados a partir de enero de 2019</v>
      </c>
      <c r="AP9" s="778">
        <f>+AB9/4</f>
        <v>10013367717.5</v>
      </c>
      <c r="AQ9" s="155"/>
      <c r="AR9" s="780"/>
      <c r="AS9" s="71">
        <f>+(AQ9/AN9)</f>
        <v>0</v>
      </c>
      <c r="AT9" s="732">
        <f>+(AR9/AP9)</f>
        <v>0</v>
      </c>
      <c r="AU9" s="71">
        <f>+(AQ9+AG9)/Z9</f>
        <v>3.4280662133819627E-6</v>
      </c>
      <c r="AV9" s="732">
        <f>+(AR9+AH9)/AB9</f>
        <v>0</v>
      </c>
      <c r="AW9" s="71"/>
      <c r="AX9" s="112">
        <v>0.25</v>
      </c>
      <c r="AY9" s="713" t="str">
        <f>+AA9</f>
        <v>Entregar resultados del rezago de 2018 de la Auditoría Integral de Salud, jurídica y financiera a los recobros y las reclamaciones; y normalización de entrega de resultados a partir de enero de 2019</v>
      </c>
      <c r="AZ9" s="778">
        <f>+AB9/4</f>
        <v>10013367717.5</v>
      </c>
      <c r="BA9" s="155"/>
      <c r="BB9" s="155"/>
      <c r="BC9" s="71">
        <f>+(BA9/AX9)</f>
        <v>0</v>
      </c>
      <c r="BD9" s="732">
        <f>+(BB9/AZ9)</f>
        <v>0</v>
      </c>
      <c r="BE9" s="71">
        <f>+(AQ9+AG9+BA9)/Z9</f>
        <v>3.4280662133819627E-6</v>
      </c>
      <c r="BF9" s="732">
        <f>+(AR9+AH9+BB9)/AB9</f>
        <v>0</v>
      </c>
      <c r="BG9" s="71"/>
      <c r="BH9" s="112">
        <v>0.25</v>
      </c>
      <c r="BI9" s="713" t="str">
        <f>+AA9</f>
        <v>Entregar resultados del rezago de 2018 de la Auditoría Integral de Salud, jurídica y financiera a los recobros y las reclamaciones; y normalización de entrega de resultados a partir de enero de 2019</v>
      </c>
      <c r="BJ9" s="778">
        <f>+AB9/4</f>
        <v>10013367717.5</v>
      </c>
      <c r="BK9" s="155"/>
      <c r="BL9" s="155"/>
      <c r="BM9" s="71">
        <f>+(BK9/BH9)</f>
        <v>0</v>
      </c>
      <c r="BN9" s="732">
        <f>+(BL9/BJ9)</f>
        <v>0</v>
      </c>
      <c r="BO9" s="71">
        <f>+(AQ9+AG9+BA9+BK9)/Z9</f>
        <v>3.4280662133819627E-6</v>
      </c>
      <c r="BP9" s="732">
        <f>+(AR9+AH9+BB9+BL9)/AB9</f>
        <v>0</v>
      </c>
      <c r="BQ9" s="72"/>
      <c r="BR9" s="74">
        <f>IF(AND(AD9=0,AG9=0),"No Prog ni Ejec",IF(AD9=0,CONCATENATE("No Prog, Ejec=  ",AG9),AG9/AD9))</f>
        <v>1.3712264853527851E-5</v>
      </c>
      <c r="BS9" s="776">
        <f>IF(AND(AF9=0,AH9=0),"No Prog ni Ejec",IF(AF9=0,CONCATENATE("No Prog, Ejec=  ",AH9),AH9/AF9))</f>
        <v>0</v>
      </c>
      <c r="BT9" s="74">
        <f>IF(AND(AN9=0,AQ9=0),"No Prog ni Ejec",IF(AN9=0,CONCATENATE("No Prog, Ejec=  ",AQ9),AQ9/AN9))</f>
        <v>0</v>
      </c>
      <c r="BU9" s="776">
        <f>IF(AND(AP9=0,AR9=0),"No Prog ni Ejec",IF(AP9=0,CONCATENATE("No Prog, Ejec=  ",AR9),AR9/AP9))</f>
        <v>0</v>
      </c>
      <c r="BV9" s="74">
        <f>IF(AND(AX9=0,BA9=0),"No Prog ni Ejec",IF(AX9=0,CONCATENATE("No Prog, Ejec=  ",BA9),BA9/AX9))</f>
        <v>0</v>
      </c>
      <c r="BW9" s="776">
        <f>IF(AND(AZ9=0,BB9=0),"No Prog ni Ejec",IF(AZ9=0,CONCATENATE("No Prog, Ejec=  ",BB9),BB9/AZ9))</f>
        <v>0</v>
      </c>
      <c r="BX9" s="74">
        <f>IF(AND(BH9=0,BK9=0),"No Prog ni Ejec",IF(BH9=0,CONCATENATE("No Prog, Ejec=  ",BK9),BK9/BH9))</f>
        <v>0</v>
      </c>
      <c r="BY9" s="776">
        <f>IF(AND(BJ9=0,BL9=0),"No Prog ni Ejec",IF(BJ9=0,CONCATENATE("No Prog, Ejec=  ",BL9),BL9/BJ9))</f>
        <v>0</v>
      </c>
      <c r="BZ9" s="181">
        <f>+AB9-AF9-AP9-AZ9-BJ9</f>
        <v>0</v>
      </c>
    </row>
    <row r="10" spans="1:78" s="86" customFormat="1" ht="121.5" customHeight="1" x14ac:dyDescent="0.2">
      <c r="A10" s="148">
        <v>11500</v>
      </c>
      <c r="B10" s="144" t="s">
        <v>13</v>
      </c>
      <c r="C10" s="144" t="s">
        <v>332</v>
      </c>
      <c r="D10" s="145" t="s">
        <v>1108</v>
      </c>
      <c r="E10" s="145" t="s">
        <v>1108</v>
      </c>
      <c r="F10" s="148" t="s">
        <v>95</v>
      </c>
      <c r="G10" s="144" t="s">
        <v>346</v>
      </c>
      <c r="H10" s="148" t="s">
        <v>110</v>
      </c>
      <c r="I10" s="144" t="s">
        <v>341</v>
      </c>
      <c r="J10" s="712"/>
      <c r="K10" s="715"/>
      <c r="L10" s="149" t="s">
        <v>1165</v>
      </c>
      <c r="M10" s="105" t="s">
        <v>1168</v>
      </c>
      <c r="N10" s="712"/>
      <c r="O10" s="715"/>
      <c r="P10" s="720"/>
      <c r="Q10" s="789"/>
      <c r="R10" s="715"/>
      <c r="S10" s="715"/>
      <c r="T10" s="715"/>
      <c r="U10" s="715"/>
      <c r="V10" s="715"/>
      <c r="W10" s="715"/>
      <c r="X10" s="144" t="s">
        <v>1263</v>
      </c>
      <c r="Y10" s="715"/>
      <c r="Z10" s="536" t="s">
        <v>1168</v>
      </c>
      <c r="AA10" s="715"/>
      <c r="AB10" s="729"/>
      <c r="AC10" s="69" t="s">
        <v>46</v>
      </c>
      <c r="AD10" s="386" t="s">
        <v>1338</v>
      </c>
      <c r="AE10" s="715"/>
      <c r="AF10" s="779"/>
      <c r="AG10" s="579">
        <f>(1/60283)</f>
        <v>1.6588424597315994E-5</v>
      </c>
      <c r="AH10" s="731"/>
      <c r="AI10" s="71" t="e">
        <f>+(AG10/AD10)</f>
        <v>#VALUE!</v>
      </c>
      <c r="AJ10" s="733"/>
      <c r="AK10" s="71" t="e">
        <f>+(AG10/Z10)</f>
        <v>#VALUE!</v>
      </c>
      <c r="AL10" s="733"/>
      <c r="AM10" s="584" t="s">
        <v>1444</v>
      </c>
      <c r="AN10" s="148" t="s">
        <v>1168</v>
      </c>
      <c r="AO10" s="715"/>
      <c r="AP10" s="779"/>
      <c r="AQ10" s="155"/>
      <c r="AR10" s="781"/>
      <c r="AS10" s="71" t="e">
        <f>+(AQ10/AN10)</f>
        <v>#VALUE!</v>
      </c>
      <c r="AT10" s="733"/>
      <c r="AU10" s="71" t="e">
        <f>+(AQ10+AG10)/Z10</f>
        <v>#VALUE!</v>
      </c>
      <c r="AV10" s="733"/>
      <c r="AW10" s="71"/>
      <c r="AX10" s="148" t="s">
        <v>1168</v>
      </c>
      <c r="AY10" s="715"/>
      <c r="AZ10" s="779"/>
      <c r="BA10" s="155"/>
      <c r="BB10" s="155"/>
      <c r="BC10" s="71" t="e">
        <f>+(BA10/AX10)</f>
        <v>#VALUE!</v>
      </c>
      <c r="BD10" s="733"/>
      <c r="BE10" s="71" t="e">
        <f>+(AQ10+AG10+BA10)/Z10</f>
        <v>#VALUE!</v>
      </c>
      <c r="BF10" s="733"/>
      <c r="BG10" s="71"/>
      <c r="BH10" s="148" t="s">
        <v>1168</v>
      </c>
      <c r="BI10" s="715"/>
      <c r="BJ10" s="779"/>
      <c r="BK10" s="155"/>
      <c r="BL10" s="155"/>
      <c r="BM10" s="71" t="e">
        <f>+(BK10/BH10)</f>
        <v>#VALUE!</v>
      </c>
      <c r="BN10" s="733"/>
      <c r="BO10" s="71" t="e">
        <f>+(AQ10+AG10+BA10+BK10)/Z10</f>
        <v>#VALUE!</v>
      </c>
      <c r="BP10" s="733"/>
      <c r="BQ10" s="72"/>
      <c r="BR10" s="74" t="e">
        <f>IF(AND(AD10=0,AG10=0),"No Prog ni Ejec",IF(AD10=0,CONCATENATE("No Prog, Ejec=  ",AG10),AG10/AD10))</f>
        <v>#VALUE!</v>
      </c>
      <c r="BS10" s="777"/>
      <c r="BT10" s="74" t="e">
        <f>IF(AND(AN10=0,AQ10=0),"No Prog ni Ejec",IF(AN10=0,CONCATENATE("No Prog, Ejec=  ",AQ10),AQ10/AN10))</f>
        <v>#VALUE!</v>
      </c>
      <c r="BU10" s="777"/>
      <c r="BV10" s="74" t="e">
        <f>IF(AND(AX10=0,BA10=0),"No Prog ni Ejec",IF(AX10=0,CONCATENATE("No Prog, Ejec=  ",BA10),BA10/AX10))</f>
        <v>#VALUE!</v>
      </c>
      <c r="BW10" s="777"/>
      <c r="BX10" s="74" t="e">
        <f>IF(AND(BH10=0,BK10=0),"No Prog ni Ejec",IF(BH10=0,CONCATENATE("No Prog, Ejec=  ",BK10),BK10/BH10))</f>
        <v>#VALUE!</v>
      </c>
      <c r="BY10" s="777"/>
      <c r="BZ10" s="181">
        <f t="shared" ref="BZ10:BZ36" si="0">+AB10-AF10-AP10-AZ10-BJ10</f>
        <v>0</v>
      </c>
    </row>
    <row r="11" spans="1:78" s="75" customFormat="1" ht="153" x14ac:dyDescent="0.2">
      <c r="A11" s="148">
        <v>11500</v>
      </c>
      <c r="B11" s="144" t="s">
        <v>13</v>
      </c>
      <c r="C11" s="144" t="s">
        <v>332</v>
      </c>
      <c r="D11" s="145" t="s">
        <v>1108</v>
      </c>
      <c r="E11" s="145" t="s">
        <v>1108</v>
      </c>
      <c r="F11" s="148" t="s">
        <v>95</v>
      </c>
      <c r="G11" s="144" t="s">
        <v>347</v>
      </c>
      <c r="H11" s="148" t="s">
        <v>110</v>
      </c>
      <c r="I11" s="144" t="s">
        <v>341</v>
      </c>
      <c r="J11" s="148" t="s">
        <v>603</v>
      </c>
      <c r="K11" s="144" t="s">
        <v>160</v>
      </c>
      <c r="L11" s="149" t="s">
        <v>51</v>
      </c>
      <c r="M11" s="105">
        <v>1</v>
      </c>
      <c r="N11" s="148" t="s">
        <v>602</v>
      </c>
      <c r="O11" s="144" t="s">
        <v>361</v>
      </c>
      <c r="P11" s="152">
        <f>48960000*2</f>
        <v>97920000</v>
      </c>
      <c r="Q11" s="112">
        <v>1</v>
      </c>
      <c r="R11" s="144" t="s">
        <v>18</v>
      </c>
      <c r="S11" s="144" t="s">
        <v>24</v>
      </c>
      <c r="T11" s="144" t="s">
        <v>674</v>
      </c>
      <c r="U11" s="144" t="s">
        <v>677</v>
      </c>
      <c r="V11" s="144" t="s">
        <v>71</v>
      </c>
      <c r="W11" s="530" t="s">
        <v>206</v>
      </c>
      <c r="X11" s="144" t="s">
        <v>423</v>
      </c>
      <c r="Y11" s="144" t="s">
        <v>206</v>
      </c>
      <c r="Z11" s="71">
        <v>1</v>
      </c>
      <c r="AA11" s="144" t="str">
        <f t="shared" ref="AA11:AA18" si="1">+O11</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B11" s="68">
        <f t="shared" ref="AB11:AB18" si="2">+P11</f>
        <v>97920000</v>
      </c>
      <c r="AC11" s="69" t="s">
        <v>46</v>
      </c>
      <c r="AD11" s="112">
        <v>0.25</v>
      </c>
      <c r="AE11" s="144" t="str">
        <f>+AA11</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F11" s="111">
        <f>+AB11/4</f>
        <v>24480000</v>
      </c>
      <c r="AG11" s="580">
        <f>(236/236)*25%</f>
        <v>0.25</v>
      </c>
      <c r="AH11" s="581">
        <v>16864000</v>
      </c>
      <c r="AI11" s="71">
        <f t="shared" ref="AI11:AI19" si="3">+(AG11/AD11)</f>
        <v>1</v>
      </c>
      <c r="AJ11" s="71">
        <f t="shared" ref="AJ11:AJ18" si="4">+(AH11/AF11)</f>
        <v>0.68888888888888888</v>
      </c>
      <c r="AK11" s="71">
        <f t="shared" ref="AK11:AK18" si="5">+(AG11/Z11)</f>
        <v>0.25</v>
      </c>
      <c r="AL11" s="71">
        <f t="shared" ref="AL11:AL18" si="6">+(AH11/AB11)</f>
        <v>0.17222222222222222</v>
      </c>
      <c r="AM11" s="585" t="s">
        <v>1445</v>
      </c>
      <c r="AN11" s="112">
        <v>0.25</v>
      </c>
      <c r="AO11" s="144" t="str">
        <f>+AA11</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P11" s="111">
        <f>+AB11/4</f>
        <v>24480000</v>
      </c>
      <c r="AQ11" s="155"/>
      <c r="AR11" s="155"/>
      <c r="AS11" s="71">
        <f t="shared" ref="AS11:AS18" si="7">+(AQ11/AN11)</f>
        <v>0</v>
      </c>
      <c r="AT11" s="71">
        <f t="shared" ref="AT11:AT18" si="8">+(AR11/AP11)</f>
        <v>0</v>
      </c>
      <c r="AU11" s="71">
        <f t="shared" ref="AU11:AU18" si="9">+(AQ11+AG11)/Z11</f>
        <v>0.25</v>
      </c>
      <c r="AV11" s="71">
        <f t="shared" ref="AV11:AV18" si="10">+(AR11+AH11)/AB11</f>
        <v>0.17222222222222222</v>
      </c>
      <c r="AW11" s="71"/>
      <c r="AX11" s="112">
        <v>0.25</v>
      </c>
      <c r="AY11" s="144" t="str">
        <f>+AA11</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Z11" s="111">
        <f>+AB11/4</f>
        <v>24480000</v>
      </c>
      <c r="BA11" s="155"/>
      <c r="BB11" s="155"/>
      <c r="BC11" s="71">
        <f t="shared" ref="BC11:BC18" si="11">+(BA11/AX11)</f>
        <v>0</v>
      </c>
      <c r="BD11" s="71">
        <f t="shared" ref="BD11:BD18" si="12">+(BB11/AZ11)</f>
        <v>0</v>
      </c>
      <c r="BE11" s="71">
        <f t="shared" ref="BE11:BE18" si="13">+(AQ11+AG11+BA11)/Z11</f>
        <v>0.25</v>
      </c>
      <c r="BF11" s="71">
        <f t="shared" ref="BF11:BF18" si="14">+(AR11+AH11+BB11)/AB11</f>
        <v>0.17222222222222222</v>
      </c>
      <c r="BG11" s="71"/>
      <c r="BH11" s="112">
        <v>0.25</v>
      </c>
      <c r="BI11" s="144" t="str">
        <f>+AA11</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BJ11" s="111">
        <f>+AB11/4</f>
        <v>24480000</v>
      </c>
      <c r="BK11" s="155"/>
      <c r="BL11" s="155"/>
      <c r="BM11" s="71">
        <f t="shared" ref="BM11:BM18" si="15">+(BK11/BH11)</f>
        <v>0</v>
      </c>
      <c r="BN11" s="71">
        <f t="shared" ref="BN11:BN18" si="16">+(BL11/BJ11)</f>
        <v>0</v>
      </c>
      <c r="BO11" s="71">
        <f t="shared" ref="BO11:BO18" si="17">+(AQ11+AG11+BA11+BK11)/Z11</f>
        <v>0.25</v>
      </c>
      <c r="BP11" s="71">
        <f t="shared" ref="BP11:BP18" si="18">+(AR11+AH11+BB11+BL11)/AB11</f>
        <v>0.17222222222222222</v>
      </c>
      <c r="BQ11" s="72"/>
      <c r="BR11" s="74">
        <f t="shared" ref="BR11:BR18" si="19">IF(AND(AD11=0,AG11=0),"No Prog ni Ejec",IF(AD11=0,CONCATENATE("No Prog, Ejec=  ",AG11),AG11/AD11))</f>
        <v>1</v>
      </c>
      <c r="BS11" s="74">
        <f t="shared" ref="BS11:BS18" si="20">IF(AND(AF11=0,AH11=0),"No Prog ni Ejec",IF(AF11=0,CONCATENATE("No Prog, Ejec=  ",AH11),AH11/AF11))</f>
        <v>0.68888888888888888</v>
      </c>
      <c r="BT11" s="74">
        <f t="shared" ref="BT11:BT18" si="21">IF(AND(AN11=0,AQ11=0),"No Prog ni Ejec",IF(AN11=0,CONCATENATE("No Prog, Ejec=  ",AQ11),AQ11/AN11))</f>
        <v>0</v>
      </c>
      <c r="BU11" s="74">
        <f t="shared" ref="BU11:BU18" si="22">IF(AND(AP11=0,AR11=0),"No Prog ni Ejec",IF(AP11=0,CONCATENATE("No Prog, Ejec=  ",AR11),AR11/AP11))</f>
        <v>0</v>
      </c>
      <c r="BV11" s="74">
        <f t="shared" ref="BV11:BV18" si="23">IF(AND(AX11=0,BA11=0),"No Prog ni Ejec",IF(AX11=0,CONCATENATE("No Prog, Ejec=  ",BA11),BA11/AX11))</f>
        <v>0</v>
      </c>
      <c r="BW11" s="74">
        <f t="shared" ref="BW11:BW18" si="24">IF(AND(AZ11=0,BB11=0),"No Prog ni Ejec",IF(AZ11=0,CONCATENATE("No Prog, Ejec=  ",BB11),BB11/AZ11))</f>
        <v>0</v>
      </c>
      <c r="BX11" s="74">
        <f t="shared" ref="BX11:BX18" si="25">IF(AND(BH11=0,BK11=0),"No Prog ni Ejec",IF(BH11=0,CONCATENATE("No Prog, Ejec=  ",BK11),BK11/BH11))</f>
        <v>0</v>
      </c>
      <c r="BY11" s="74">
        <f t="shared" ref="BY11:BY18" si="26">IF(AND(BJ11=0,BL11=0),"No Prog ni Ejec",IF(BJ11=0,CONCATENATE("No Prog, Ejec=  ",BL11),BL11/BJ11))</f>
        <v>0</v>
      </c>
      <c r="BZ11" s="181">
        <f t="shared" si="0"/>
        <v>0</v>
      </c>
    </row>
    <row r="12" spans="1:78" s="75" customFormat="1" ht="51" customHeight="1" x14ac:dyDescent="0.2">
      <c r="A12" s="148">
        <v>11500</v>
      </c>
      <c r="B12" s="144" t="s">
        <v>13</v>
      </c>
      <c r="C12" s="144" t="s">
        <v>332</v>
      </c>
      <c r="D12" s="224" t="s">
        <v>1108</v>
      </c>
      <c r="E12" s="224" t="s">
        <v>1108</v>
      </c>
      <c r="F12" s="110" t="s">
        <v>95</v>
      </c>
      <c r="G12" s="143" t="s">
        <v>347</v>
      </c>
      <c r="H12" s="110" t="s">
        <v>110</v>
      </c>
      <c r="I12" s="143" t="s">
        <v>341</v>
      </c>
      <c r="J12" s="148" t="s">
        <v>605</v>
      </c>
      <c r="K12" s="144" t="s">
        <v>639</v>
      </c>
      <c r="L12" s="149" t="s">
        <v>171</v>
      </c>
      <c r="M12" s="67">
        <v>4</v>
      </c>
      <c r="N12" s="110" t="s">
        <v>604</v>
      </c>
      <c r="O12" s="143" t="s">
        <v>640</v>
      </c>
      <c r="P12" s="153">
        <f>143990000</f>
        <v>143990000</v>
      </c>
      <c r="Q12" s="112">
        <v>1</v>
      </c>
      <c r="R12" s="144" t="s">
        <v>17</v>
      </c>
      <c r="S12" s="144" t="s">
        <v>297</v>
      </c>
      <c r="T12" s="144" t="s">
        <v>674</v>
      </c>
      <c r="U12" s="144" t="s">
        <v>677</v>
      </c>
      <c r="V12" s="144" t="s">
        <v>71</v>
      </c>
      <c r="W12" s="530" t="s">
        <v>1388</v>
      </c>
      <c r="X12" s="144" t="s">
        <v>987</v>
      </c>
      <c r="Y12" s="144" t="s">
        <v>206</v>
      </c>
      <c r="Z12" s="67">
        <v>4</v>
      </c>
      <c r="AA12" s="143" t="str">
        <f>+O12</f>
        <v>Optimizar y sistematizar el proceso de auditoría integral en salud, jurídica y financiera de recbros y reclamaciones</v>
      </c>
      <c r="AB12" s="109">
        <f>+P12</f>
        <v>143990000</v>
      </c>
      <c r="AC12" s="69" t="s">
        <v>46</v>
      </c>
      <c r="AD12" s="67">
        <v>1</v>
      </c>
      <c r="AE12" s="143" t="str">
        <f>+AA12</f>
        <v>Optimizar y sistematizar el proceso de auditoría integral en salud, jurídica y financiera de recbros y reclamaciones</v>
      </c>
      <c r="AF12" s="116">
        <f>(AB12/11)*2</f>
        <v>26180000</v>
      </c>
      <c r="AG12" s="579">
        <v>1</v>
      </c>
      <c r="AH12" s="582">
        <v>11272713.4</v>
      </c>
      <c r="AI12" s="71">
        <f>+(AG12/AD12)</f>
        <v>1</v>
      </c>
      <c r="AJ12" s="142">
        <f>+(AH12/AF12)</f>
        <v>0.43058492742551568</v>
      </c>
      <c r="AK12" s="71">
        <f>+(AG12/Z12)</f>
        <v>0.25</v>
      </c>
      <c r="AL12" s="142">
        <f>+(AH12/AB12)</f>
        <v>7.8288168622821036E-2</v>
      </c>
      <c r="AM12" s="584" t="s">
        <v>1446</v>
      </c>
      <c r="AN12" s="67">
        <v>1</v>
      </c>
      <c r="AO12" s="143" t="str">
        <f>+AA12</f>
        <v>Optimizar y sistematizar el proceso de auditoría integral en salud, jurídica y financiera de recbros y reclamaciones</v>
      </c>
      <c r="AP12" s="116">
        <f>(AB12/11)*3</f>
        <v>39270000</v>
      </c>
      <c r="AQ12" s="155"/>
      <c r="AR12" s="155"/>
      <c r="AS12" s="71">
        <f>+(AQ12/AN12)</f>
        <v>0</v>
      </c>
      <c r="AT12" s="142">
        <f>+(AR12/AP12)</f>
        <v>0</v>
      </c>
      <c r="AU12" s="71">
        <f>+(AQ12+AG12)/Z12</f>
        <v>0.25</v>
      </c>
      <c r="AV12" s="142">
        <f>+(AR12+AH12)/AB12</f>
        <v>7.8288168622821036E-2</v>
      </c>
      <c r="AW12" s="71"/>
      <c r="AX12" s="67">
        <v>1</v>
      </c>
      <c r="AY12" s="143" t="str">
        <f>+AA12</f>
        <v>Optimizar y sistematizar el proceso de auditoría integral en salud, jurídica y financiera de recbros y reclamaciones</v>
      </c>
      <c r="AZ12" s="116">
        <f>(AB12/11)*3</f>
        <v>39270000</v>
      </c>
      <c r="BA12" s="155"/>
      <c r="BB12" s="155"/>
      <c r="BC12" s="71">
        <f>+(BA12/AX12)</f>
        <v>0</v>
      </c>
      <c r="BD12" s="142">
        <f>+(BB12/AZ12)</f>
        <v>0</v>
      </c>
      <c r="BE12" s="71">
        <f>+(AQ12+AG12+BA12)/Z12</f>
        <v>0.25</v>
      </c>
      <c r="BF12" s="142">
        <f>+(AR12+AH12+BB12)/AB12</f>
        <v>7.8288168622821036E-2</v>
      </c>
      <c r="BG12" s="71"/>
      <c r="BH12" s="67">
        <v>1</v>
      </c>
      <c r="BI12" s="143" t="str">
        <f>+AA12</f>
        <v>Optimizar y sistematizar el proceso de auditoría integral en salud, jurídica y financiera de recbros y reclamaciones</v>
      </c>
      <c r="BJ12" s="116">
        <f>(AB12/11)*3</f>
        <v>39270000</v>
      </c>
      <c r="BK12" s="155"/>
      <c r="BL12" s="155"/>
      <c r="BM12" s="71">
        <f>+(BK12/BH12)</f>
        <v>0</v>
      </c>
      <c r="BN12" s="142">
        <f>+(BL12/BJ12)</f>
        <v>0</v>
      </c>
      <c r="BO12" s="71">
        <f>+(AQ12+AG12+BA12+BK12)/Z12</f>
        <v>0.25</v>
      </c>
      <c r="BP12" s="142">
        <f>+(AR12+AH12+BB12+BL12)/AB12</f>
        <v>7.8288168622821036E-2</v>
      </c>
      <c r="BQ12" s="72"/>
      <c r="BR12" s="74">
        <f>IF(AND(AD12=0,AG12=0),"No Prog ni Ejec",IF(AD12=0,CONCATENATE("No Prog, Ejec=  ",AG12),AG12/AD12))</f>
        <v>1</v>
      </c>
      <c r="BS12" s="146">
        <f>IF(AND(AF12=0,AH12=0),"No Prog ni Ejec",IF(AF12=0,CONCATENATE("No Prog, Ejec=  ",AH12),AH12/AF12))</f>
        <v>0.43058492742551568</v>
      </c>
      <c r="BT12" s="74">
        <f>IF(AND(AN12=0,AQ12=0),"No Prog ni Ejec",IF(AN12=0,CONCATENATE("No Prog, Ejec=  ",AQ12),AQ12/AN12))</f>
        <v>0</v>
      </c>
      <c r="BU12" s="146">
        <f>IF(AND(AP12=0,AR12=0),"No Prog ni Ejec",IF(AP12=0,CONCATENATE("No Prog, Ejec=  ",AR12),AR12/AP12))</f>
        <v>0</v>
      </c>
      <c r="BV12" s="74">
        <f>IF(AND(AX12=0,BA12=0),"No Prog ni Ejec",IF(AX12=0,CONCATENATE("No Prog, Ejec=  ",BA12),BA12/AX12))</f>
        <v>0</v>
      </c>
      <c r="BW12" s="146">
        <f>IF(AND(AZ12=0,BB12=0),"No Prog ni Ejec",IF(AZ12=0,CONCATENATE("No Prog, Ejec=  ",BB12),BB12/AZ12))</f>
        <v>0</v>
      </c>
      <c r="BX12" s="74">
        <f>IF(AND(BH12=0,BK12=0),"No Prog ni Ejec",IF(BH12=0,CONCATENATE("No Prog, Ejec=  ",BK12),BK12/BH12))</f>
        <v>0</v>
      </c>
      <c r="BY12" s="146">
        <f>IF(AND(BJ12=0,BL12=0),"No Prog ni Ejec",IF(BJ12=0,CONCATENATE("No Prog, Ejec=  ",BL12),BL12/BJ12))</f>
        <v>0</v>
      </c>
      <c r="BZ12" s="181">
        <f t="shared" si="0"/>
        <v>0</v>
      </c>
    </row>
    <row r="13" spans="1:78" s="75" customFormat="1" ht="127.5" x14ac:dyDescent="0.2">
      <c r="A13" s="148">
        <v>11500</v>
      </c>
      <c r="B13" s="144" t="s">
        <v>13</v>
      </c>
      <c r="C13" s="144" t="s">
        <v>332</v>
      </c>
      <c r="D13" s="145" t="s">
        <v>1108</v>
      </c>
      <c r="E13" s="145"/>
      <c r="F13" s="148" t="s">
        <v>95</v>
      </c>
      <c r="G13" s="144" t="s">
        <v>347</v>
      </c>
      <c r="H13" s="148" t="s">
        <v>110</v>
      </c>
      <c r="I13" s="144" t="s">
        <v>341</v>
      </c>
      <c r="J13" s="148" t="s">
        <v>607</v>
      </c>
      <c r="K13" s="144" t="s">
        <v>412</v>
      </c>
      <c r="L13" s="149" t="s">
        <v>394</v>
      </c>
      <c r="M13" s="67">
        <v>12</v>
      </c>
      <c r="N13" s="148" t="s">
        <v>606</v>
      </c>
      <c r="O13" s="65" t="s">
        <v>417</v>
      </c>
      <c r="P13" s="152">
        <v>0</v>
      </c>
      <c r="Q13" s="112">
        <v>1</v>
      </c>
      <c r="R13" s="144" t="s">
        <v>17</v>
      </c>
      <c r="S13" s="144" t="s">
        <v>26</v>
      </c>
      <c r="T13" s="144" t="s">
        <v>674</v>
      </c>
      <c r="U13" s="144" t="s">
        <v>677</v>
      </c>
      <c r="V13" s="144" t="s">
        <v>71</v>
      </c>
      <c r="W13" s="530" t="s">
        <v>1381</v>
      </c>
      <c r="X13" s="144" t="s">
        <v>424</v>
      </c>
      <c r="Y13" s="144" t="s">
        <v>286</v>
      </c>
      <c r="Z13" s="67">
        <v>12</v>
      </c>
      <c r="AA13" s="144" t="str">
        <f t="shared" si="1"/>
        <v>Ordenar el giro previo a favor de las entidades recobrantes y proveedores de servicios y tecnologías no incluidas en el PB con cargo a la UPC</v>
      </c>
      <c r="AB13" s="68">
        <f t="shared" si="2"/>
        <v>0</v>
      </c>
      <c r="AC13" s="69" t="s">
        <v>48</v>
      </c>
      <c r="AD13" s="67">
        <v>3</v>
      </c>
      <c r="AE13" s="144" t="str">
        <f t="shared" ref="AE13:AE19" si="27">+AA13</f>
        <v>Ordenar el giro previo a favor de las entidades recobrantes y proveedores de servicios y tecnologías no incluidas en el PB con cargo a la UPC</v>
      </c>
      <c r="AF13" s="111">
        <v>0</v>
      </c>
      <c r="AG13" s="579">
        <v>3</v>
      </c>
      <c r="AH13" s="604">
        <v>0</v>
      </c>
      <c r="AI13" s="71">
        <f t="shared" si="3"/>
        <v>1</v>
      </c>
      <c r="AJ13" s="71" t="e">
        <f t="shared" si="4"/>
        <v>#DIV/0!</v>
      </c>
      <c r="AK13" s="71">
        <f t="shared" si="5"/>
        <v>0.25</v>
      </c>
      <c r="AL13" s="71" t="e">
        <f t="shared" si="6"/>
        <v>#DIV/0!</v>
      </c>
      <c r="AM13" s="586" t="s">
        <v>1447</v>
      </c>
      <c r="AN13" s="67">
        <v>3</v>
      </c>
      <c r="AO13" s="144" t="str">
        <f t="shared" ref="AO13:AO19" si="28">+AA13</f>
        <v>Ordenar el giro previo a favor de las entidades recobrantes y proveedores de servicios y tecnologías no incluidas en el PB con cargo a la UPC</v>
      </c>
      <c r="AP13" s="111">
        <v>0</v>
      </c>
      <c r="AQ13" s="155"/>
      <c r="AR13" s="155"/>
      <c r="AS13" s="71">
        <f t="shared" si="7"/>
        <v>0</v>
      </c>
      <c r="AT13" s="71" t="e">
        <f t="shared" si="8"/>
        <v>#DIV/0!</v>
      </c>
      <c r="AU13" s="71">
        <f t="shared" si="9"/>
        <v>0.25</v>
      </c>
      <c r="AV13" s="71" t="e">
        <f t="shared" si="10"/>
        <v>#DIV/0!</v>
      </c>
      <c r="AW13" s="71"/>
      <c r="AX13" s="67">
        <v>3</v>
      </c>
      <c r="AY13" s="144" t="str">
        <f t="shared" ref="AY13:AY19" si="29">+AA13</f>
        <v>Ordenar el giro previo a favor de las entidades recobrantes y proveedores de servicios y tecnologías no incluidas en el PB con cargo a la UPC</v>
      </c>
      <c r="AZ13" s="111">
        <v>0</v>
      </c>
      <c r="BA13" s="155"/>
      <c r="BB13" s="155"/>
      <c r="BC13" s="71">
        <f t="shared" si="11"/>
        <v>0</v>
      </c>
      <c r="BD13" s="71" t="e">
        <f t="shared" si="12"/>
        <v>#DIV/0!</v>
      </c>
      <c r="BE13" s="71">
        <f t="shared" si="13"/>
        <v>0.25</v>
      </c>
      <c r="BF13" s="71" t="e">
        <f t="shared" si="14"/>
        <v>#DIV/0!</v>
      </c>
      <c r="BG13" s="71"/>
      <c r="BH13" s="67">
        <v>3</v>
      </c>
      <c r="BI13" s="144" t="str">
        <f t="shared" ref="BI13:BI19" si="30">+AA13</f>
        <v>Ordenar el giro previo a favor de las entidades recobrantes y proveedores de servicios y tecnologías no incluidas en el PB con cargo a la UPC</v>
      </c>
      <c r="BJ13" s="111">
        <v>0</v>
      </c>
      <c r="BK13" s="155"/>
      <c r="BL13" s="155"/>
      <c r="BM13" s="71">
        <f t="shared" si="15"/>
        <v>0</v>
      </c>
      <c r="BN13" s="71" t="e">
        <f>+(BL13/BJ13)</f>
        <v>#DIV/0!</v>
      </c>
      <c r="BO13" s="71">
        <f t="shared" si="17"/>
        <v>0.25</v>
      </c>
      <c r="BP13" s="71" t="e">
        <f t="shared" si="18"/>
        <v>#DIV/0!</v>
      </c>
      <c r="BQ13" s="72"/>
      <c r="BR13" s="74">
        <f t="shared" si="19"/>
        <v>1</v>
      </c>
      <c r="BS13" s="74" t="str">
        <f t="shared" si="20"/>
        <v>No Prog ni Ejec</v>
      </c>
      <c r="BT13" s="74">
        <f t="shared" si="21"/>
        <v>0</v>
      </c>
      <c r="BU13" s="74" t="str">
        <f t="shared" si="22"/>
        <v>No Prog ni Ejec</v>
      </c>
      <c r="BV13" s="74">
        <f t="shared" si="23"/>
        <v>0</v>
      </c>
      <c r="BW13" s="74" t="str">
        <f t="shared" si="24"/>
        <v>No Prog ni Ejec</v>
      </c>
      <c r="BX13" s="74">
        <f t="shared" si="25"/>
        <v>0</v>
      </c>
      <c r="BY13" s="74" t="str">
        <f t="shared" si="26"/>
        <v>No Prog ni Ejec</v>
      </c>
      <c r="BZ13" s="181">
        <f t="shared" si="0"/>
        <v>0</v>
      </c>
    </row>
    <row r="14" spans="1:78" s="75" customFormat="1" ht="114.75" customHeight="1" x14ac:dyDescent="0.2">
      <c r="A14" s="148">
        <v>11500</v>
      </c>
      <c r="B14" s="144" t="s">
        <v>13</v>
      </c>
      <c r="C14" s="144" t="s">
        <v>332</v>
      </c>
      <c r="D14" s="145" t="s">
        <v>1108</v>
      </c>
      <c r="E14" s="145"/>
      <c r="F14" s="148" t="s">
        <v>95</v>
      </c>
      <c r="G14" s="144" t="s">
        <v>347</v>
      </c>
      <c r="H14" s="148" t="s">
        <v>110</v>
      </c>
      <c r="I14" s="144" t="s">
        <v>341</v>
      </c>
      <c r="J14" s="148" t="s">
        <v>625</v>
      </c>
      <c r="K14" s="713" t="s">
        <v>413</v>
      </c>
      <c r="L14" s="149" t="s">
        <v>171</v>
      </c>
      <c r="M14" s="105">
        <v>1</v>
      </c>
      <c r="N14" s="710" t="s">
        <v>622</v>
      </c>
      <c r="O14" s="725" t="s">
        <v>418</v>
      </c>
      <c r="P14" s="728">
        <v>0</v>
      </c>
      <c r="Q14" s="112">
        <v>1</v>
      </c>
      <c r="R14" s="713" t="s">
        <v>17</v>
      </c>
      <c r="S14" s="713" t="s">
        <v>26</v>
      </c>
      <c r="T14" s="713" t="s">
        <v>674</v>
      </c>
      <c r="U14" s="713" t="s">
        <v>677</v>
      </c>
      <c r="V14" s="713" t="s">
        <v>71</v>
      </c>
      <c r="W14" s="713" t="s">
        <v>1380</v>
      </c>
      <c r="X14" s="144" t="s">
        <v>425</v>
      </c>
      <c r="Y14" s="713" t="s">
        <v>286</v>
      </c>
      <c r="Z14" s="71">
        <v>1</v>
      </c>
      <c r="AA14" s="725" t="str">
        <f t="shared" si="1"/>
        <v>Ordenar el pago de los paquetes de recobros cuyo trámite de auditoría haya culminado, para el trámite de reconocimiento y pago por parte de ADRES</v>
      </c>
      <c r="AB14" s="728">
        <f t="shared" si="2"/>
        <v>0</v>
      </c>
      <c r="AC14" s="69" t="s">
        <v>48</v>
      </c>
      <c r="AD14" s="71">
        <v>0.25</v>
      </c>
      <c r="AE14" s="725" t="str">
        <f t="shared" si="27"/>
        <v>Ordenar el pago de los paquetes de recobros cuyo trámite de auditoría haya culminado, para el trámite de reconocimiento y pago por parte de ADRES</v>
      </c>
      <c r="AF14" s="778">
        <v>0</v>
      </c>
      <c r="AG14" s="579">
        <v>0</v>
      </c>
      <c r="AH14" s="730">
        <v>0</v>
      </c>
      <c r="AI14" s="71">
        <f t="shared" si="3"/>
        <v>0</v>
      </c>
      <c r="AJ14" s="732" t="e">
        <f t="shared" si="4"/>
        <v>#DIV/0!</v>
      </c>
      <c r="AK14" s="71">
        <f t="shared" si="5"/>
        <v>0</v>
      </c>
      <c r="AL14" s="732" t="e">
        <f t="shared" si="6"/>
        <v>#DIV/0!</v>
      </c>
      <c r="AM14" s="586" t="s">
        <v>1448</v>
      </c>
      <c r="AN14" s="71">
        <v>0.25</v>
      </c>
      <c r="AO14" s="725" t="str">
        <f t="shared" si="28"/>
        <v>Ordenar el pago de los paquetes de recobros cuyo trámite de auditoría haya culminado, para el trámite de reconocimiento y pago por parte de ADRES</v>
      </c>
      <c r="AP14" s="778">
        <v>0</v>
      </c>
      <c r="AQ14" s="155"/>
      <c r="AR14" s="780"/>
      <c r="AS14" s="71">
        <f t="shared" si="7"/>
        <v>0</v>
      </c>
      <c r="AT14" s="732" t="e">
        <f t="shared" si="8"/>
        <v>#DIV/0!</v>
      </c>
      <c r="AU14" s="71">
        <f t="shared" si="9"/>
        <v>0</v>
      </c>
      <c r="AV14" s="732" t="e">
        <f t="shared" si="10"/>
        <v>#DIV/0!</v>
      </c>
      <c r="AW14" s="71"/>
      <c r="AX14" s="71">
        <v>0.25</v>
      </c>
      <c r="AY14" s="725" t="str">
        <f t="shared" si="29"/>
        <v>Ordenar el pago de los paquetes de recobros cuyo trámite de auditoría haya culminado, para el trámite de reconocimiento y pago por parte de ADRES</v>
      </c>
      <c r="AZ14" s="778">
        <v>0</v>
      </c>
      <c r="BA14" s="155"/>
      <c r="BB14" s="780"/>
      <c r="BC14" s="71">
        <f t="shared" si="11"/>
        <v>0</v>
      </c>
      <c r="BD14" s="732" t="e">
        <f t="shared" si="12"/>
        <v>#DIV/0!</v>
      </c>
      <c r="BE14" s="71">
        <f t="shared" si="13"/>
        <v>0</v>
      </c>
      <c r="BF14" s="732" t="e">
        <f t="shared" si="14"/>
        <v>#DIV/0!</v>
      </c>
      <c r="BG14" s="71"/>
      <c r="BH14" s="71">
        <v>0.25</v>
      </c>
      <c r="BI14" s="725" t="str">
        <f t="shared" si="30"/>
        <v>Ordenar el pago de los paquetes de recobros cuyo trámite de auditoría haya culminado, para el trámite de reconocimiento y pago por parte de ADRES</v>
      </c>
      <c r="BJ14" s="778">
        <v>0</v>
      </c>
      <c r="BK14" s="155"/>
      <c r="BL14" s="780"/>
      <c r="BM14" s="71">
        <f t="shared" si="15"/>
        <v>0</v>
      </c>
      <c r="BN14" s="732" t="e">
        <f t="shared" si="16"/>
        <v>#DIV/0!</v>
      </c>
      <c r="BO14" s="71">
        <f t="shared" si="17"/>
        <v>0</v>
      </c>
      <c r="BP14" s="732" t="e">
        <f t="shared" si="18"/>
        <v>#DIV/0!</v>
      </c>
      <c r="BQ14" s="72"/>
      <c r="BR14" s="74">
        <f t="shared" si="19"/>
        <v>0</v>
      </c>
      <c r="BS14" s="776" t="str">
        <f t="shared" si="20"/>
        <v>No Prog ni Ejec</v>
      </c>
      <c r="BT14" s="74">
        <f t="shared" si="21"/>
        <v>0</v>
      </c>
      <c r="BU14" s="776" t="str">
        <f t="shared" si="22"/>
        <v>No Prog ni Ejec</v>
      </c>
      <c r="BV14" s="74">
        <f t="shared" si="23"/>
        <v>0</v>
      </c>
      <c r="BW14" s="776" t="str">
        <f t="shared" si="24"/>
        <v>No Prog ni Ejec</v>
      </c>
      <c r="BX14" s="74">
        <f t="shared" si="25"/>
        <v>0</v>
      </c>
      <c r="BY14" s="776" t="str">
        <f t="shared" si="26"/>
        <v>No Prog ni Ejec</v>
      </c>
      <c r="BZ14" s="181">
        <f t="shared" si="0"/>
        <v>0</v>
      </c>
    </row>
    <row r="15" spans="1:78" s="75" customFormat="1" ht="114.75" x14ac:dyDescent="0.2">
      <c r="A15" s="148">
        <v>11500</v>
      </c>
      <c r="B15" s="144" t="s">
        <v>13</v>
      </c>
      <c r="C15" s="144" t="s">
        <v>332</v>
      </c>
      <c r="D15" s="145" t="s">
        <v>1108</v>
      </c>
      <c r="E15" s="145"/>
      <c r="F15" s="148" t="s">
        <v>95</v>
      </c>
      <c r="G15" s="144" t="s">
        <v>347</v>
      </c>
      <c r="H15" s="148" t="s">
        <v>110</v>
      </c>
      <c r="I15" s="144" t="s">
        <v>341</v>
      </c>
      <c r="J15" s="148" t="s">
        <v>641</v>
      </c>
      <c r="K15" s="715"/>
      <c r="L15" s="149" t="s">
        <v>171</v>
      </c>
      <c r="M15" s="105">
        <v>1</v>
      </c>
      <c r="N15" s="712"/>
      <c r="O15" s="726"/>
      <c r="P15" s="729"/>
      <c r="Q15" s="112">
        <v>1</v>
      </c>
      <c r="R15" s="715"/>
      <c r="S15" s="715"/>
      <c r="T15" s="715"/>
      <c r="U15" s="715"/>
      <c r="V15" s="715"/>
      <c r="W15" s="715"/>
      <c r="X15" s="144" t="s">
        <v>426</v>
      </c>
      <c r="Y15" s="715"/>
      <c r="Z15" s="71">
        <v>1</v>
      </c>
      <c r="AA15" s="726">
        <f t="shared" si="1"/>
        <v>0</v>
      </c>
      <c r="AB15" s="729"/>
      <c r="AC15" s="69" t="s">
        <v>48</v>
      </c>
      <c r="AD15" s="71">
        <v>0.25</v>
      </c>
      <c r="AE15" s="726">
        <f t="shared" si="27"/>
        <v>0</v>
      </c>
      <c r="AF15" s="779"/>
      <c r="AG15" s="579">
        <v>0</v>
      </c>
      <c r="AH15" s="731"/>
      <c r="AI15" s="71">
        <f t="shared" si="3"/>
        <v>0</v>
      </c>
      <c r="AJ15" s="733"/>
      <c r="AK15" s="71">
        <f t="shared" si="5"/>
        <v>0</v>
      </c>
      <c r="AL15" s="733"/>
      <c r="AM15" s="586" t="s">
        <v>1449</v>
      </c>
      <c r="AN15" s="71">
        <v>0.25</v>
      </c>
      <c r="AO15" s="726">
        <f t="shared" si="28"/>
        <v>0</v>
      </c>
      <c r="AP15" s="779"/>
      <c r="AQ15" s="155"/>
      <c r="AR15" s="781"/>
      <c r="AS15" s="71">
        <f t="shared" si="7"/>
        <v>0</v>
      </c>
      <c r="AT15" s="733"/>
      <c r="AU15" s="71">
        <f t="shared" si="9"/>
        <v>0</v>
      </c>
      <c r="AV15" s="733"/>
      <c r="AW15" s="71"/>
      <c r="AX15" s="71">
        <v>0.25</v>
      </c>
      <c r="AY15" s="726">
        <f t="shared" si="29"/>
        <v>0</v>
      </c>
      <c r="AZ15" s="779"/>
      <c r="BA15" s="155"/>
      <c r="BB15" s="781"/>
      <c r="BC15" s="71">
        <f t="shared" si="11"/>
        <v>0</v>
      </c>
      <c r="BD15" s="733"/>
      <c r="BE15" s="71">
        <f t="shared" si="13"/>
        <v>0</v>
      </c>
      <c r="BF15" s="733"/>
      <c r="BG15" s="71"/>
      <c r="BH15" s="71">
        <v>0.25</v>
      </c>
      <c r="BI15" s="726">
        <f t="shared" si="30"/>
        <v>0</v>
      </c>
      <c r="BJ15" s="779"/>
      <c r="BK15" s="155"/>
      <c r="BL15" s="781"/>
      <c r="BM15" s="71">
        <f t="shared" si="15"/>
        <v>0</v>
      </c>
      <c r="BN15" s="733"/>
      <c r="BO15" s="71">
        <f t="shared" si="17"/>
        <v>0</v>
      </c>
      <c r="BP15" s="733"/>
      <c r="BQ15" s="72"/>
      <c r="BR15" s="74">
        <f t="shared" si="19"/>
        <v>0</v>
      </c>
      <c r="BS15" s="777"/>
      <c r="BT15" s="74">
        <f t="shared" si="21"/>
        <v>0</v>
      </c>
      <c r="BU15" s="777"/>
      <c r="BV15" s="74">
        <f t="shared" si="23"/>
        <v>0</v>
      </c>
      <c r="BW15" s="777"/>
      <c r="BX15" s="74">
        <f t="shared" si="25"/>
        <v>0</v>
      </c>
      <c r="BY15" s="777"/>
      <c r="BZ15" s="181">
        <f t="shared" si="0"/>
        <v>0</v>
      </c>
    </row>
    <row r="16" spans="1:78" s="75" customFormat="1" ht="76.5" x14ac:dyDescent="0.2">
      <c r="A16" s="148">
        <v>11500</v>
      </c>
      <c r="B16" s="144" t="s">
        <v>13</v>
      </c>
      <c r="C16" s="144" t="s">
        <v>332</v>
      </c>
      <c r="D16" s="145" t="s">
        <v>1108</v>
      </c>
      <c r="E16" s="145"/>
      <c r="F16" s="148" t="s">
        <v>95</v>
      </c>
      <c r="G16" s="144" t="s">
        <v>347</v>
      </c>
      <c r="H16" s="148" t="s">
        <v>110</v>
      </c>
      <c r="I16" s="144" t="s">
        <v>341</v>
      </c>
      <c r="J16" s="148" t="s">
        <v>624</v>
      </c>
      <c r="K16" s="144" t="s">
        <v>414</v>
      </c>
      <c r="L16" s="149" t="s">
        <v>171</v>
      </c>
      <c r="M16" s="105">
        <v>1</v>
      </c>
      <c r="N16" s="148" t="s">
        <v>623</v>
      </c>
      <c r="O16" s="65" t="s">
        <v>419</v>
      </c>
      <c r="P16" s="152">
        <v>0</v>
      </c>
      <c r="Q16" s="112">
        <v>1</v>
      </c>
      <c r="R16" s="144" t="s">
        <v>18</v>
      </c>
      <c r="S16" s="144" t="s">
        <v>24</v>
      </c>
      <c r="T16" s="144" t="s">
        <v>674</v>
      </c>
      <c r="U16" s="144" t="s">
        <v>677</v>
      </c>
      <c r="V16" s="144" t="s">
        <v>71</v>
      </c>
      <c r="W16" s="530" t="s">
        <v>206</v>
      </c>
      <c r="X16" s="144" t="s">
        <v>427</v>
      </c>
      <c r="Y16" s="144" t="s">
        <v>40</v>
      </c>
      <c r="Z16" s="105">
        <v>1</v>
      </c>
      <c r="AA16" s="144" t="str">
        <f t="shared" si="1"/>
        <v xml:space="preserve">Solicitar la publicación del los giros ordenados por recobros </v>
      </c>
      <c r="AB16" s="68">
        <f t="shared" si="2"/>
        <v>0</v>
      </c>
      <c r="AC16" s="69" t="s">
        <v>48</v>
      </c>
      <c r="AD16" s="71">
        <v>0.25</v>
      </c>
      <c r="AE16" s="144" t="str">
        <f t="shared" si="27"/>
        <v xml:space="preserve">Solicitar la publicación del los giros ordenados por recobros </v>
      </c>
      <c r="AF16" s="111">
        <v>0</v>
      </c>
      <c r="AG16" s="580">
        <f>(3/3)*25%</f>
        <v>0.25</v>
      </c>
      <c r="AH16" s="633">
        <v>0</v>
      </c>
      <c r="AI16" s="71">
        <f t="shared" si="3"/>
        <v>1</v>
      </c>
      <c r="AJ16" s="71" t="e">
        <f t="shared" si="4"/>
        <v>#DIV/0!</v>
      </c>
      <c r="AK16" s="71">
        <f t="shared" si="5"/>
        <v>0.25</v>
      </c>
      <c r="AL16" s="71" t="e">
        <f t="shared" si="6"/>
        <v>#DIV/0!</v>
      </c>
      <c r="AM16" s="585" t="s">
        <v>1450</v>
      </c>
      <c r="AN16" s="71">
        <v>0.25</v>
      </c>
      <c r="AO16" s="144" t="str">
        <f t="shared" si="28"/>
        <v xml:space="preserve">Solicitar la publicación del los giros ordenados por recobros </v>
      </c>
      <c r="AP16" s="111">
        <v>0</v>
      </c>
      <c r="AQ16" s="155"/>
      <c r="AR16" s="155"/>
      <c r="AS16" s="71">
        <f t="shared" si="7"/>
        <v>0</v>
      </c>
      <c r="AT16" s="71" t="e">
        <f t="shared" si="8"/>
        <v>#DIV/0!</v>
      </c>
      <c r="AU16" s="71">
        <f t="shared" si="9"/>
        <v>0.25</v>
      </c>
      <c r="AV16" s="71" t="e">
        <f t="shared" si="10"/>
        <v>#DIV/0!</v>
      </c>
      <c r="AW16" s="71"/>
      <c r="AX16" s="71">
        <v>0.25</v>
      </c>
      <c r="AY16" s="144" t="str">
        <f t="shared" si="29"/>
        <v xml:space="preserve">Solicitar la publicación del los giros ordenados por recobros </v>
      </c>
      <c r="AZ16" s="111">
        <v>0</v>
      </c>
      <c r="BA16" s="155"/>
      <c r="BB16" s="155"/>
      <c r="BC16" s="71">
        <f t="shared" si="11"/>
        <v>0</v>
      </c>
      <c r="BD16" s="71" t="e">
        <f t="shared" si="12"/>
        <v>#DIV/0!</v>
      </c>
      <c r="BE16" s="71">
        <f t="shared" si="13"/>
        <v>0.25</v>
      </c>
      <c r="BF16" s="71" t="e">
        <f t="shared" si="14"/>
        <v>#DIV/0!</v>
      </c>
      <c r="BG16" s="71"/>
      <c r="BH16" s="71">
        <v>0.25</v>
      </c>
      <c r="BI16" s="144" t="str">
        <f t="shared" si="30"/>
        <v xml:space="preserve">Solicitar la publicación del los giros ordenados por recobros </v>
      </c>
      <c r="BJ16" s="111">
        <v>0</v>
      </c>
      <c r="BK16" s="155"/>
      <c r="BL16" s="155"/>
      <c r="BM16" s="71">
        <f t="shared" si="15"/>
        <v>0</v>
      </c>
      <c r="BN16" s="71" t="e">
        <f t="shared" si="16"/>
        <v>#DIV/0!</v>
      </c>
      <c r="BO16" s="71">
        <f t="shared" si="17"/>
        <v>0.25</v>
      </c>
      <c r="BP16" s="71" t="e">
        <f t="shared" si="18"/>
        <v>#DIV/0!</v>
      </c>
      <c r="BQ16" s="72"/>
      <c r="BR16" s="74">
        <f t="shared" si="19"/>
        <v>1</v>
      </c>
      <c r="BS16" s="74" t="str">
        <f t="shared" si="20"/>
        <v>No Prog ni Ejec</v>
      </c>
      <c r="BT16" s="74">
        <f t="shared" si="21"/>
        <v>0</v>
      </c>
      <c r="BU16" s="74" t="str">
        <f t="shared" si="22"/>
        <v>No Prog ni Ejec</v>
      </c>
      <c r="BV16" s="74">
        <f t="shared" si="23"/>
        <v>0</v>
      </c>
      <c r="BW16" s="74" t="str">
        <f t="shared" si="24"/>
        <v>No Prog ni Ejec</v>
      </c>
      <c r="BX16" s="74">
        <f t="shared" si="25"/>
        <v>0</v>
      </c>
      <c r="BY16" s="74" t="str">
        <f t="shared" si="26"/>
        <v>No Prog ni Ejec</v>
      </c>
      <c r="BZ16" s="181">
        <f t="shared" si="0"/>
        <v>0</v>
      </c>
    </row>
    <row r="17" spans="1:78" s="75" customFormat="1" ht="127.5" x14ac:dyDescent="0.2">
      <c r="A17" s="148">
        <v>11500</v>
      </c>
      <c r="B17" s="144" t="s">
        <v>13</v>
      </c>
      <c r="C17" s="144" t="s">
        <v>332</v>
      </c>
      <c r="D17" s="145" t="s">
        <v>1108</v>
      </c>
      <c r="E17" s="145"/>
      <c r="F17" s="148" t="s">
        <v>95</v>
      </c>
      <c r="G17" s="144" t="s">
        <v>347</v>
      </c>
      <c r="H17" s="148" t="s">
        <v>110</v>
      </c>
      <c r="I17" s="144" t="s">
        <v>341</v>
      </c>
      <c r="J17" s="148" t="s">
        <v>628</v>
      </c>
      <c r="K17" s="144" t="s">
        <v>415</v>
      </c>
      <c r="L17" s="149" t="s">
        <v>171</v>
      </c>
      <c r="M17" s="105">
        <v>1</v>
      </c>
      <c r="N17" s="148" t="s">
        <v>626</v>
      </c>
      <c r="O17" s="65" t="s">
        <v>420</v>
      </c>
      <c r="P17" s="152">
        <v>0</v>
      </c>
      <c r="Q17" s="112">
        <v>1</v>
      </c>
      <c r="R17" s="144" t="s">
        <v>17</v>
      </c>
      <c r="S17" s="144" t="s">
        <v>26</v>
      </c>
      <c r="T17" s="144" t="s">
        <v>674</v>
      </c>
      <c r="U17" s="144" t="s">
        <v>677</v>
      </c>
      <c r="V17" s="144" t="s">
        <v>71</v>
      </c>
      <c r="W17" s="530" t="s">
        <v>1383</v>
      </c>
      <c r="X17" s="144" t="s">
        <v>428</v>
      </c>
      <c r="Y17" s="144" t="s">
        <v>286</v>
      </c>
      <c r="Z17" s="71">
        <v>1</v>
      </c>
      <c r="AA17" s="144" t="str">
        <f t="shared" si="1"/>
        <v>Ordenar el pago de los paquetes de reclamaciones cuyo trámite de auditoría haya culminado, para el trámite de reconocimiento y pago por parte de ADRES</v>
      </c>
      <c r="AB17" s="68">
        <f t="shared" si="2"/>
        <v>0</v>
      </c>
      <c r="AC17" s="69" t="s">
        <v>48</v>
      </c>
      <c r="AD17" s="71">
        <v>0.25</v>
      </c>
      <c r="AE17" s="144" t="str">
        <f t="shared" si="27"/>
        <v>Ordenar el pago de los paquetes de reclamaciones cuyo trámite de auditoría haya culminado, para el trámite de reconocimiento y pago por parte de ADRES</v>
      </c>
      <c r="AF17" s="111">
        <v>0</v>
      </c>
      <c r="AG17" s="580">
        <f>(10/10)*25%</f>
        <v>0.25</v>
      </c>
      <c r="AH17" s="633">
        <v>0</v>
      </c>
      <c r="AI17" s="71">
        <f t="shared" si="3"/>
        <v>1</v>
      </c>
      <c r="AJ17" s="71" t="e">
        <f t="shared" si="4"/>
        <v>#DIV/0!</v>
      </c>
      <c r="AK17" s="71">
        <f t="shared" si="5"/>
        <v>0.25</v>
      </c>
      <c r="AL17" s="71" t="e">
        <f t="shared" si="6"/>
        <v>#DIV/0!</v>
      </c>
      <c r="AM17" s="586" t="s">
        <v>1451</v>
      </c>
      <c r="AN17" s="71">
        <v>0.25</v>
      </c>
      <c r="AO17" s="144" t="str">
        <f t="shared" si="28"/>
        <v>Ordenar el pago de los paquetes de reclamaciones cuyo trámite de auditoría haya culminado, para el trámite de reconocimiento y pago por parte de ADRES</v>
      </c>
      <c r="AP17" s="111">
        <v>0</v>
      </c>
      <c r="AQ17" s="155"/>
      <c r="AR17" s="155"/>
      <c r="AS17" s="71">
        <f t="shared" si="7"/>
        <v>0</v>
      </c>
      <c r="AT17" s="71" t="e">
        <f t="shared" si="8"/>
        <v>#DIV/0!</v>
      </c>
      <c r="AU17" s="71">
        <f t="shared" si="9"/>
        <v>0.25</v>
      </c>
      <c r="AV17" s="71" t="e">
        <f t="shared" si="10"/>
        <v>#DIV/0!</v>
      </c>
      <c r="AW17" s="71"/>
      <c r="AX17" s="71">
        <v>0.25</v>
      </c>
      <c r="AY17" s="144" t="str">
        <f t="shared" si="29"/>
        <v>Ordenar el pago de los paquetes de reclamaciones cuyo trámite de auditoría haya culminado, para el trámite de reconocimiento y pago por parte de ADRES</v>
      </c>
      <c r="AZ17" s="111">
        <v>0</v>
      </c>
      <c r="BA17" s="155"/>
      <c r="BB17" s="155"/>
      <c r="BC17" s="71">
        <f t="shared" si="11"/>
        <v>0</v>
      </c>
      <c r="BD17" s="71" t="e">
        <f t="shared" si="12"/>
        <v>#DIV/0!</v>
      </c>
      <c r="BE17" s="71">
        <f t="shared" si="13"/>
        <v>0.25</v>
      </c>
      <c r="BF17" s="71" t="e">
        <f t="shared" si="14"/>
        <v>#DIV/0!</v>
      </c>
      <c r="BG17" s="71"/>
      <c r="BH17" s="71">
        <v>0.25</v>
      </c>
      <c r="BI17" s="144" t="str">
        <f t="shared" si="30"/>
        <v>Ordenar el pago de los paquetes de reclamaciones cuyo trámite de auditoría haya culminado, para el trámite de reconocimiento y pago por parte de ADRES</v>
      </c>
      <c r="BJ17" s="111">
        <v>0</v>
      </c>
      <c r="BK17" s="155"/>
      <c r="BL17" s="155"/>
      <c r="BM17" s="71">
        <f t="shared" si="15"/>
        <v>0</v>
      </c>
      <c r="BN17" s="71" t="e">
        <f t="shared" si="16"/>
        <v>#DIV/0!</v>
      </c>
      <c r="BO17" s="71">
        <f t="shared" si="17"/>
        <v>0.25</v>
      </c>
      <c r="BP17" s="71" t="e">
        <f t="shared" si="18"/>
        <v>#DIV/0!</v>
      </c>
      <c r="BQ17" s="72"/>
      <c r="BR17" s="74">
        <f t="shared" si="19"/>
        <v>1</v>
      </c>
      <c r="BS17" s="74" t="str">
        <f t="shared" si="20"/>
        <v>No Prog ni Ejec</v>
      </c>
      <c r="BT17" s="74">
        <f t="shared" si="21"/>
        <v>0</v>
      </c>
      <c r="BU17" s="74" t="str">
        <f t="shared" si="22"/>
        <v>No Prog ni Ejec</v>
      </c>
      <c r="BV17" s="74">
        <f t="shared" si="23"/>
        <v>0</v>
      </c>
      <c r="BW17" s="74" t="str">
        <f t="shared" si="24"/>
        <v>No Prog ni Ejec</v>
      </c>
      <c r="BX17" s="74">
        <f t="shared" si="25"/>
        <v>0</v>
      </c>
      <c r="BY17" s="74" t="str">
        <f t="shared" si="26"/>
        <v>No Prog ni Ejec</v>
      </c>
      <c r="BZ17" s="181">
        <f t="shared" si="0"/>
        <v>0</v>
      </c>
    </row>
    <row r="18" spans="1:78" s="75" customFormat="1" ht="76.5" x14ac:dyDescent="0.2">
      <c r="A18" s="148">
        <v>11500</v>
      </c>
      <c r="B18" s="144" t="s">
        <v>13</v>
      </c>
      <c r="C18" s="144" t="s">
        <v>332</v>
      </c>
      <c r="D18" s="145" t="s">
        <v>1108</v>
      </c>
      <c r="E18" s="145"/>
      <c r="F18" s="148" t="s">
        <v>95</v>
      </c>
      <c r="G18" s="144" t="s">
        <v>347</v>
      </c>
      <c r="H18" s="148" t="s">
        <v>110</v>
      </c>
      <c r="I18" s="144" t="s">
        <v>341</v>
      </c>
      <c r="J18" s="148" t="s">
        <v>627</v>
      </c>
      <c r="K18" s="144" t="s">
        <v>416</v>
      </c>
      <c r="L18" s="149" t="s">
        <v>171</v>
      </c>
      <c r="M18" s="105">
        <v>1</v>
      </c>
      <c r="N18" s="148" t="s">
        <v>621</v>
      </c>
      <c r="O18" s="65" t="s">
        <v>421</v>
      </c>
      <c r="P18" s="152">
        <v>0</v>
      </c>
      <c r="Q18" s="112">
        <v>1</v>
      </c>
      <c r="R18" s="144" t="s">
        <v>18</v>
      </c>
      <c r="S18" s="144" t="s">
        <v>24</v>
      </c>
      <c r="T18" s="144" t="s">
        <v>674</v>
      </c>
      <c r="U18" s="144" t="s">
        <v>677</v>
      </c>
      <c r="V18" s="144" t="s">
        <v>71</v>
      </c>
      <c r="W18" s="530" t="s">
        <v>206</v>
      </c>
      <c r="X18" s="144" t="s">
        <v>429</v>
      </c>
      <c r="Y18" s="144" t="s">
        <v>40</v>
      </c>
      <c r="Z18" s="105">
        <v>1</v>
      </c>
      <c r="AA18" s="144" t="str">
        <f t="shared" si="1"/>
        <v>Solicitar la publicación del los giros ordenados por reclamaciones</v>
      </c>
      <c r="AB18" s="68">
        <f t="shared" si="2"/>
        <v>0</v>
      </c>
      <c r="AC18" s="69" t="s">
        <v>48</v>
      </c>
      <c r="AD18" s="71">
        <v>0.25</v>
      </c>
      <c r="AE18" s="144" t="str">
        <f t="shared" si="27"/>
        <v>Solicitar la publicación del los giros ordenados por reclamaciones</v>
      </c>
      <c r="AF18" s="111">
        <v>0</v>
      </c>
      <c r="AG18" s="580">
        <f>(10/10)*25%</f>
        <v>0.25</v>
      </c>
      <c r="AH18" s="633">
        <v>0</v>
      </c>
      <c r="AI18" s="71">
        <f t="shared" si="3"/>
        <v>1</v>
      </c>
      <c r="AJ18" s="71" t="e">
        <f t="shared" si="4"/>
        <v>#DIV/0!</v>
      </c>
      <c r="AK18" s="71">
        <f t="shared" si="5"/>
        <v>0.25</v>
      </c>
      <c r="AL18" s="71" t="e">
        <f t="shared" si="6"/>
        <v>#DIV/0!</v>
      </c>
      <c r="AM18" s="585" t="s">
        <v>1452</v>
      </c>
      <c r="AN18" s="71">
        <v>0.25</v>
      </c>
      <c r="AO18" s="144" t="str">
        <f t="shared" si="28"/>
        <v>Solicitar la publicación del los giros ordenados por reclamaciones</v>
      </c>
      <c r="AP18" s="111">
        <v>0</v>
      </c>
      <c r="AQ18" s="155"/>
      <c r="AR18" s="155"/>
      <c r="AS18" s="71">
        <f t="shared" si="7"/>
        <v>0</v>
      </c>
      <c r="AT18" s="71" t="e">
        <f t="shared" si="8"/>
        <v>#DIV/0!</v>
      </c>
      <c r="AU18" s="71">
        <f t="shared" si="9"/>
        <v>0.25</v>
      </c>
      <c r="AV18" s="71" t="e">
        <f t="shared" si="10"/>
        <v>#DIV/0!</v>
      </c>
      <c r="AW18" s="71"/>
      <c r="AX18" s="71">
        <v>0.25</v>
      </c>
      <c r="AY18" s="144" t="str">
        <f t="shared" si="29"/>
        <v>Solicitar la publicación del los giros ordenados por reclamaciones</v>
      </c>
      <c r="AZ18" s="111">
        <v>0</v>
      </c>
      <c r="BA18" s="155"/>
      <c r="BB18" s="155"/>
      <c r="BC18" s="71">
        <f t="shared" si="11"/>
        <v>0</v>
      </c>
      <c r="BD18" s="71" t="e">
        <f t="shared" si="12"/>
        <v>#DIV/0!</v>
      </c>
      <c r="BE18" s="71">
        <f t="shared" si="13"/>
        <v>0.25</v>
      </c>
      <c r="BF18" s="71" t="e">
        <f t="shared" si="14"/>
        <v>#DIV/0!</v>
      </c>
      <c r="BG18" s="71"/>
      <c r="BH18" s="71">
        <v>0.25</v>
      </c>
      <c r="BI18" s="144" t="str">
        <f t="shared" si="30"/>
        <v>Solicitar la publicación del los giros ordenados por reclamaciones</v>
      </c>
      <c r="BJ18" s="111">
        <v>0</v>
      </c>
      <c r="BK18" s="155"/>
      <c r="BL18" s="155"/>
      <c r="BM18" s="71">
        <f t="shared" si="15"/>
        <v>0</v>
      </c>
      <c r="BN18" s="71" t="e">
        <f t="shared" si="16"/>
        <v>#DIV/0!</v>
      </c>
      <c r="BO18" s="71">
        <f t="shared" si="17"/>
        <v>0.25</v>
      </c>
      <c r="BP18" s="71" t="e">
        <f t="shared" si="18"/>
        <v>#DIV/0!</v>
      </c>
      <c r="BQ18" s="72"/>
      <c r="BR18" s="74">
        <f t="shared" si="19"/>
        <v>1</v>
      </c>
      <c r="BS18" s="74" t="str">
        <f t="shared" si="20"/>
        <v>No Prog ni Ejec</v>
      </c>
      <c r="BT18" s="74">
        <f t="shared" si="21"/>
        <v>0</v>
      </c>
      <c r="BU18" s="74" t="str">
        <f t="shared" si="22"/>
        <v>No Prog ni Ejec</v>
      </c>
      <c r="BV18" s="74">
        <f t="shared" si="23"/>
        <v>0</v>
      </c>
      <c r="BW18" s="74" t="str">
        <f t="shared" si="24"/>
        <v>No Prog ni Ejec</v>
      </c>
      <c r="BX18" s="74">
        <f t="shared" si="25"/>
        <v>0</v>
      </c>
      <c r="BY18" s="74" t="str">
        <f t="shared" si="26"/>
        <v>No Prog ni Ejec</v>
      </c>
      <c r="BZ18" s="181">
        <f t="shared" si="0"/>
        <v>0</v>
      </c>
    </row>
    <row r="19" spans="1:78" s="75" customFormat="1" ht="102" customHeight="1" x14ac:dyDescent="0.2">
      <c r="A19" s="710">
        <v>11600</v>
      </c>
      <c r="B19" s="539" t="s">
        <v>4</v>
      </c>
      <c r="C19" s="713" t="s">
        <v>332</v>
      </c>
      <c r="D19" s="555" t="s">
        <v>1108</v>
      </c>
      <c r="E19" s="555" t="s">
        <v>1108</v>
      </c>
      <c r="F19" s="710" t="s">
        <v>99</v>
      </c>
      <c r="G19" s="713" t="s">
        <v>351</v>
      </c>
      <c r="H19" s="716" t="s">
        <v>101</v>
      </c>
      <c r="I19" s="713" t="s">
        <v>343</v>
      </c>
      <c r="J19" s="541" t="s">
        <v>608</v>
      </c>
      <c r="K19" s="544" t="s">
        <v>1158</v>
      </c>
      <c r="L19" s="554" t="s">
        <v>51</v>
      </c>
      <c r="M19" s="547">
        <v>0.1</v>
      </c>
      <c r="N19" s="710" t="s">
        <v>104</v>
      </c>
      <c r="O19" s="713" t="s">
        <v>1169</v>
      </c>
      <c r="P19" s="778">
        <v>146880000</v>
      </c>
      <c r="Q19" s="787">
        <v>1</v>
      </c>
      <c r="R19" s="713" t="s">
        <v>18</v>
      </c>
      <c r="S19" s="713" t="s">
        <v>24</v>
      </c>
      <c r="T19" s="713" t="s">
        <v>674</v>
      </c>
      <c r="U19" s="713" t="s">
        <v>677</v>
      </c>
      <c r="V19" s="713" t="s">
        <v>1131</v>
      </c>
      <c r="W19" s="713" t="s">
        <v>1384</v>
      </c>
      <c r="X19" s="544" t="s">
        <v>1161</v>
      </c>
      <c r="Y19" s="713" t="s">
        <v>42</v>
      </c>
      <c r="Z19" s="520">
        <v>0.1</v>
      </c>
      <c r="AA19" s="713" t="str">
        <f>+O19</f>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B19" s="728">
        <f>+P19</f>
        <v>146880000</v>
      </c>
      <c r="AC19" s="548" t="s">
        <v>46</v>
      </c>
      <c r="AD19" s="154">
        <v>2.5000000000000001E-2</v>
      </c>
      <c r="AE19" s="713" t="str">
        <f t="shared" si="27"/>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F19" s="778">
        <f>+AB19/4</f>
        <v>36720000</v>
      </c>
      <c r="AG19" s="575">
        <f>(18595/743779)</f>
        <v>2.5000705854830534E-2</v>
      </c>
      <c r="AH19" s="790">
        <f>(272000+4080000+4080000)+(272000+4080000+4080000)+(0+2448000+4080000)</f>
        <v>23392000</v>
      </c>
      <c r="AI19" s="543">
        <f t="shared" si="3"/>
        <v>1.0000282341932214</v>
      </c>
      <c r="AJ19" s="732">
        <f>+(AH19/AF19)</f>
        <v>0.63703703703703707</v>
      </c>
      <c r="AK19" s="543">
        <f>+(AG19/Z19)</f>
        <v>0.25000705854830535</v>
      </c>
      <c r="AL19" s="732">
        <f>+(AH19/AB19)</f>
        <v>0.15925925925925927</v>
      </c>
      <c r="AM19" s="576" t="s">
        <v>1433</v>
      </c>
      <c r="AN19" s="154">
        <v>2.5000000000000001E-2</v>
      </c>
      <c r="AO19" s="713" t="str">
        <f t="shared" si="28"/>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P19" s="778">
        <f>+AB19/4</f>
        <v>36720000</v>
      </c>
      <c r="AQ19" s="155"/>
      <c r="AR19" s="780"/>
      <c r="AS19" s="543">
        <f>+(AQ19/AN19)</f>
        <v>0</v>
      </c>
      <c r="AT19" s="732">
        <f>+(AR19/AP19)</f>
        <v>0</v>
      </c>
      <c r="AU19" s="543">
        <f>+(AQ19+AG19)/Z19</f>
        <v>0.25000705854830535</v>
      </c>
      <c r="AV19" s="732">
        <f>+(AR19+AH19)/AB19</f>
        <v>0.15925925925925927</v>
      </c>
      <c r="AW19" s="543"/>
      <c r="AX19" s="154">
        <v>2.5000000000000001E-2</v>
      </c>
      <c r="AY19" s="713" t="str">
        <f t="shared" si="29"/>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Z19" s="778">
        <f>+AB19/4</f>
        <v>36720000</v>
      </c>
      <c r="BA19" s="155"/>
      <c r="BB19" s="780"/>
      <c r="BC19" s="543">
        <f>+(BA19/AX19)</f>
        <v>0</v>
      </c>
      <c r="BD19" s="732">
        <f>+(BB19/AZ19)</f>
        <v>0</v>
      </c>
      <c r="BE19" s="543">
        <f>+(AQ19+AG19+BA19)/Z19</f>
        <v>0.25000705854830535</v>
      </c>
      <c r="BF19" s="732">
        <f>+(AR19+AH19+BB19)/AB19</f>
        <v>0.15925925925925927</v>
      </c>
      <c r="BG19" s="543"/>
      <c r="BH19" s="154">
        <v>2.5000000000000001E-2</v>
      </c>
      <c r="BI19" s="713" t="str">
        <f t="shared" si="30"/>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BJ19" s="778">
        <f>+AB19/4</f>
        <v>36720000</v>
      </c>
      <c r="BK19" s="155"/>
      <c r="BL19" s="780"/>
      <c r="BM19" s="543">
        <f>+(BK19/BH19)</f>
        <v>0</v>
      </c>
      <c r="BN19" s="732">
        <f>+(BL19/BJ19)</f>
        <v>0</v>
      </c>
      <c r="BO19" s="543">
        <f>+(AQ19+AG19+BA19+BK19)/Z19</f>
        <v>0.25000705854830535</v>
      </c>
      <c r="BP19" s="732">
        <f>+(AR19+AH19+BB19+BL19)/AB19</f>
        <v>0.15925925925925927</v>
      </c>
      <c r="BQ19" s="72"/>
      <c r="BR19" s="546">
        <f>IF(AND(AD19=0,AG19=0),"No Prog ni Ejec",IF(AD19=0,CONCATENATE("No Prog, Ejec=  ",AG19),AG19/AD19))</f>
        <v>1.0000282341932214</v>
      </c>
      <c r="BS19" s="776">
        <f>IF(AND(AF19=0,AH19=0),"No Prog ni Ejec",IF(AF19=0,CONCATENATE("No Prog, Ejec=  ",AH19),AH19/AF19))</f>
        <v>0.63703703703703707</v>
      </c>
      <c r="BT19" s="546">
        <f>IF(AND(AN19=0,AQ19=0),"No Prog ni Ejec",IF(AN19=0,CONCATENATE("No Prog, Ejec=  ",AQ19),AQ19/AN19))</f>
        <v>0</v>
      </c>
      <c r="BU19" s="776">
        <f>IF(AND(AP19=0,AR19=0),"No Prog ni Ejec",IF(AP19=0,CONCATENATE("No Prog, Ejec=  ",AR19),AR19/AP19))</f>
        <v>0</v>
      </c>
      <c r="BV19" s="546">
        <f>IF(AND(AX19=0,BA19=0),"No Prog ni Ejec",IF(AX19=0,CONCATENATE("No Prog, Ejec=  ",BA19),BA19/AX19))</f>
        <v>0</v>
      </c>
      <c r="BW19" s="776">
        <f>IF(AND(AZ19=0,BB19=0),"No Prog ni Ejec",IF(AZ19=0,CONCATENATE("No Prog, Ejec=  ",BB19),BB19/AZ19))</f>
        <v>0</v>
      </c>
      <c r="BX19" s="546">
        <f>IF(AND(BH19=0,BK19=0),"No Prog ni Ejec",IF(BH19=0,CONCATENATE("No Prog, Ejec=  ",BK19),BK19/BH19))</f>
        <v>0</v>
      </c>
      <c r="BY19" s="776">
        <f>IF(AND(BJ19=0,BL19=0),"No Prog ni Ejec",IF(BJ19=0,CONCATENATE("No Prog, Ejec=  ",BL19),BL19/BJ19))</f>
        <v>0</v>
      </c>
      <c r="BZ19" s="181">
        <f t="shared" si="0"/>
        <v>0</v>
      </c>
    </row>
    <row r="20" spans="1:78" s="75" customFormat="1" ht="51" x14ac:dyDescent="0.2">
      <c r="A20" s="711"/>
      <c r="B20" s="539" t="s">
        <v>4</v>
      </c>
      <c r="C20" s="714"/>
      <c r="D20" s="225" t="s">
        <v>1108</v>
      </c>
      <c r="E20" s="225" t="s">
        <v>1108</v>
      </c>
      <c r="F20" s="711"/>
      <c r="G20" s="714"/>
      <c r="H20" s="717"/>
      <c r="I20" s="714"/>
      <c r="J20" s="541" t="s">
        <v>1170</v>
      </c>
      <c r="K20" s="544" t="s">
        <v>1159</v>
      </c>
      <c r="L20" s="723" t="s">
        <v>51</v>
      </c>
      <c r="M20" s="721">
        <v>1</v>
      </c>
      <c r="N20" s="711"/>
      <c r="O20" s="714"/>
      <c r="P20" s="784"/>
      <c r="Q20" s="788"/>
      <c r="R20" s="714"/>
      <c r="S20" s="714"/>
      <c r="T20" s="714"/>
      <c r="U20" s="714"/>
      <c r="V20" s="714"/>
      <c r="W20" s="714"/>
      <c r="X20" s="713" t="s">
        <v>1163</v>
      </c>
      <c r="Y20" s="714"/>
      <c r="Z20" s="727">
        <v>1</v>
      </c>
      <c r="AA20" s="714"/>
      <c r="AB20" s="782"/>
      <c r="AC20" s="548" t="s">
        <v>46</v>
      </c>
      <c r="AD20" s="732">
        <v>0.25</v>
      </c>
      <c r="AE20" s="714"/>
      <c r="AF20" s="784"/>
      <c r="AG20" s="785">
        <f>(((((44760+36947)/81707)+((1745+4284)/6029))*AD20))/2</f>
        <v>0.25</v>
      </c>
      <c r="AH20" s="791"/>
      <c r="AI20" s="732">
        <f>+(AG20/AD20)</f>
        <v>1</v>
      </c>
      <c r="AJ20" s="783"/>
      <c r="AK20" s="732">
        <f>+(AG20/Z20)</f>
        <v>0.25</v>
      </c>
      <c r="AL20" s="783"/>
      <c r="AM20" s="795" t="s">
        <v>1434</v>
      </c>
      <c r="AN20" s="732">
        <v>0.25</v>
      </c>
      <c r="AO20" s="714"/>
      <c r="AP20" s="784"/>
      <c r="AQ20" s="780"/>
      <c r="AR20" s="793"/>
      <c r="AS20" s="732">
        <f>+(AQ20/AN20)</f>
        <v>0</v>
      </c>
      <c r="AT20" s="783"/>
      <c r="AU20" s="732">
        <f>+(AQ20+AG20)/Z19</f>
        <v>2.5</v>
      </c>
      <c r="AV20" s="783"/>
      <c r="AW20" s="543"/>
      <c r="AX20" s="732">
        <v>0.25</v>
      </c>
      <c r="AY20" s="714"/>
      <c r="AZ20" s="784"/>
      <c r="BA20" s="780"/>
      <c r="BB20" s="793"/>
      <c r="BC20" s="732">
        <f>+(BA20/AX20)</f>
        <v>0</v>
      </c>
      <c r="BD20" s="783"/>
      <c r="BE20" s="732">
        <f>+(AQ20+AG20+BA20)/Z19</f>
        <v>2.5</v>
      </c>
      <c r="BF20" s="783"/>
      <c r="BG20" s="543"/>
      <c r="BH20" s="732">
        <v>0.25</v>
      </c>
      <c r="BI20" s="714"/>
      <c r="BJ20" s="784"/>
      <c r="BK20" s="780"/>
      <c r="BL20" s="793"/>
      <c r="BM20" s="732">
        <f>+(BK20/BH20)</f>
        <v>0</v>
      </c>
      <c r="BN20" s="783"/>
      <c r="BO20" s="732">
        <f>+(AQ20+AG20+BA20+BK20)/Z19</f>
        <v>2.5</v>
      </c>
      <c r="BP20" s="783"/>
      <c r="BQ20" s="72"/>
      <c r="BR20" s="776">
        <f>IF(AND(AD20=0,AG20=0),"No Prog ni Ejec",IF(AD20=0,CONCATENATE("No Prog, Ejec=  ",AG20),AG20/AD20))</f>
        <v>1</v>
      </c>
      <c r="BS20" s="794"/>
      <c r="BT20" s="776">
        <f>IF(AND(AN20=0,AQ20=0),"No Prog ni Ejec",IF(AN20=0,CONCATENATE("No Prog, Ejec=  ",AQ20),AQ20/AN20))</f>
        <v>0</v>
      </c>
      <c r="BU20" s="794"/>
      <c r="BV20" s="776">
        <f>IF(AND(AX20=0,BA20=0),"No Prog ni Ejec",IF(AX20=0,CONCATENATE("No Prog, Ejec=  ",BA20),BA20/AX20))</f>
        <v>0</v>
      </c>
      <c r="BW20" s="794"/>
      <c r="BX20" s="776">
        <f>IF(AND(BH20=0,BK20=0),"No Prog ni Ejec",IF(BH20=0,CONCATENATE("No Prog, Ejec=  ",BK20),BK20/BH20))</f>
        <v>0</v>
      </c>
      <c r="BY20" s="794"/>
      <c r="BZ20" s="181">
        <f t="shared" si="0"/>
        <v>0</v>
      </c>
    </row>
    <row r="21" spans="1:78" s="75" customFormat="1" ht="63.75" x14ac:dyDescent="0.2">
      <c r="A21" s="711"/>
      <c r="B21" s="539" t="s">
        <v>4</v>
      </c>
      <c r="C21" s="714"/>
      <c r="D21" s="225" t="s">
        <v>1108</v>
      </c>
      <c r="E21" s="225" t="s">
        <v>1108</v>
      </c>
      <c r="F21" s="711"/>
      <c r="G21" s="714"/>
      <c r="H21" s="717"/>
      <c r="I21" s="714"/>
      <c r="J21" s="541" t="s">
        <v>1171</v>
      </c>
      <c r="K21" s="544" t="s">
        <v>1160</v>
      </c>
      <c r="L21" s="724"/>
      <c r="M21" s="722"/>
      <c r="N21" s="711"/>
      <c r="O21" s="714"/>
      <c r="P21" s="784"/>
      <c r="Q21" s="788"/>
      <c r="R21" s="714"/>
      <c r="S21" s="714"/>
      <c r="T21" s="714"/>
      <c r="U21" s="714"/>
      <c r="V21" s="714"/>
      <c r="W21" s="714"/>
      <c r="X21" s="715"/>
      <c r="Y21" s="714"/>
      <c r="Z21" s="727"/>
      <c r="AA21" s="714"/>
      <c r="AB21" s="782"/>
      <c r="AC21" s="548" t="s">
        <v>46</v>
      </c>
      <c r="AD21" s="733"/>
      <c r="AE21" s="714"/>
      <c r="AF21" s="784"/>
      <c r="AG21" s="786"/>
      <c r="AH21" s="791"/>
      <c r="AI21" s="733"/>
      <c r="AJ21" s="783"/>
      <c r="AK21" s="733"/>
      <c r="AL21" s="783"/>
      <c r="AM21" s="796"/>
      <c r="AN21" s="733"/>
      <c r="AO21" s="714"/>
      <c r="AP21" s="784"/>
      <c r="AQ21" s="781"/>
      <c r="AR21" s="793"/>
      <c r="AS21" s="733"/>
      <c r="AT21" s="783"/>
      <c r="AU21" s="733"/>
      <c r="AV21" s="783"/>
      <c r="AW21" s="543"/>
      <c r="AX21" s="733"/>
      <c r="AY21" s="714"/>
      <c r="AZ21" s="784"/>
      <c r="BA21" s="781"/>
      <c r="BB21" s="793"/>
      <c r="BC21" s="733"/>
      <c r="BD21" s="783"/>
      <c r="BE21" s="733"/>
      <c r="BF21" s="783"/>
      <c r="BG21" s="543"/>
      <c r="BH21" s="733"/>
      <c r="BI21" s="714"/>
      <c r="BJ21" s="784"/>
      <c r="BK21" s="781"/>
      <c r="BL21" s="793"/>
      <c r="BM21" s="733"/>
      <c r="BN21" s="783"/>
      <c r="BO21" s="733"/>
      <c r="BP21" s="783"/>
      <c r="BQ21" s="72"/>
      <c r="BR21" s="777"/>
      <c r="BS21" s="794"/>
      <c r="BT21" s="777"/>
      <c r="BU21" s="794"/>
      <c r="BV21" s="777"/>
      <c r="BW21" s="794"/>
      <c r="BX21" s="777"/>
      <c r="BY21" s="794"/>
      <c r="BZ21" s="181">
        <f t="shared" si="0"/>
        <v>0</v>
      </c>
    </row>
    <row r="22" spans="1:78" s="75" customFormat="1" ht="152.25" customHeight="1" x14ac:dyDescent="0.2">
      <c r="A22" s="712"/>
      <c r="B22" s="539" t="s">
        <v>4</v>
      </c>
      <c r="C22" s="715"/>
      <c r="D22" s="556" t="s">
        <v>1108</v>
      </c>
      <c r="E22" s="556" t="s">
        <v>1108</v>
      </c>
      <c r="F22" s="712"/>
      <c r="G22" s="715"/>
      <c r="H22" s="718"/>
      <c r="I22" s="715"/>
      <c r="J22" s="541" t="s">
        <v>1172</v>
      </c>
      <c r="K22" s="544" t="s">
        <v>389</v>
      </c>
      <c r="L22" s="554" t="s">
        <v>51</v>
      </c>
      <c r="M22" s="547">
        <v>1</v>
      </c>
      <c r="N22" s="712"/>
      <c r="O22" s="715"/>
      <c r="P22" s="779"/>
      <c r="Q22" s="789"/>
      <c r="R22" s="715"/>
      <c r="S22" s="715"/>
      <c r="T22" s="715"/>
      <c r="U22" s="715"/>
      <c r="V22" s="715"/>
      <c r="W22" s="715"/>
      <c r="X22" s="544" t="s">
        <v>1162</v>
      </c>
      <c r="Y22" s="715"/>
      <c r="Z22" s="521">
        <v>1</v>
      </c>
      <c r="AA22" s="715"/>
      <c r="AB22" s="729"/>
      <c r="AC22" s="548" t="s">
        <v>46</v>
      </c>
      <c r="AD22" s="547">
        <v>0.25</v>
      </c>
      <c r="AE22" s="715"/>
      <c r="AF22" s="779"/>
      <c r="AG22" s="634">
        <f>(((632/642)+(55/55))/2)*AD22</f>
        <v>0.24805295950155765</v>
      </c>
      <c r="AH22" s="792"/>
      <c r="AI22" s="543">
        <f>+(AG22/AD22)</f>
        <v>0.99221183800623058</v>
      </c>
      <c r="AJ22" s="733"/>
      <c r="AK22" s="543">
        <f>+(AG22/Z22)</f>
        <v>0.24805295950155765</v>
      </c>
      <c r="AL22" s="733"/>
      <c r="AM22" s="598" t="s">
        <v>1435</v>
      </c>
      <c r="AN22" s="547">
        <v>0.25</v>
      </c>
      <c r="AO22" s="715"/>
      <c r="AP22" s="779"/>
      <c r="AQ22" s="155"/>
      <c r="AR22" s="781"/>
      <c r="AS22" s="543">
        <f>+(AQ22/AN22)</f>
        <v>0</v>
      </c>
      <c r="AT22" s="733"/>
      <c r="AU22" s="543">
        <f>+(AQ22+AG22)/Z19</f>
        <v>2.4805295950155761</v>
      </c>
      <c r="AV22" s="733"/>
      <c r="AW22" s="543"/>
      <c r="AX22" s="547">
        <v>0.25</v>
      </c>
      <c r="AY22" s="715"/>
      <c r="AZ22" s="779"/>
      <c r="BA22" s="155"/>
      <c r="BB22" s="781"/>
      <c r="BC22" s="543">
        <f>+(BA22/AX22)</f>
        <v>0</v>
      </c>
      <c r="BD22" s="733"/>
      <c r="BE22" s="543">
        <f>+(AQ22+AG22+BA22)/Z19</f>
        <v>2.4805295950155761</v>
      </c>
      <c r="BF22" s="733"/>
      <c r="BG22" s="543"/>
      <c r="BH22" s="547">
        <v>0.25</v>
      </c>
      <c r="BI22" s="715"/>
      <c r="BJ22" s="779"/>
      <c r="BK22" s="155"/>
      <c r="BL22" s="781"/>
      <c r="BM22" s="543">
        <f>+(BK22/BH22)</f>
        <v>0</v>
      </c>
      <c r="BN22" s="733"/>
      <c r="BO22" s="543">
        <f>+(AQ22+AG22+BA22+BK22)/Z19</f>
        <v>2.4805295950155761</v>
      </c>
      <c r="BP22" s="733"/>
      <c r="BQ22" s="72"/>
      <c r="BR22" s="546">
        <f>IF(AND(AD22=0,AG22=0),"No Prog ni Ejec",IF(AD22=0,CONCATENATE("No Prog, Ejec=  ",AG22),AG22/AD22))</f>
        <v>0.99221183800623058</v>
      </c>
      <c r="BS22" s="777"/>
      <c r="BT22" s="546">
        <f>IF(AND(AN22=0,AQ22=0),"No Prog ni Ejec",IF(AN22=0,CONCATENATE("No Prog, Ejec=  ",AQ22),AQ22/AN22))</f>
        <v>0</v>
      </c>
      <c r="BU22" s="777"/>
      <c r="BV22" s="546">
        <f>IF(AND(AX22=0,BA22=0),"No Prog ni Ejec",IF(AX22=0,CONCATENATE("No Prog, Ejec=  ",BA22),BA22/AX22))</f>
        <v>0</v>
      </c>
      <c r="BW22" s="777"/>
      <c r="BX22" s="546">
        <f>IF(AND(BH22=0,BK22=0),"No Prog ni Ejec",IF(BH22=0,CONCATENATE("No Prog, Ejec=  ",BK22),BK22/BH22))</f>
        <v>0</v>
      </c>
      <c r="BY22" s="777"/>
      <c r="BZ22" s="181">
        <f t="shared" si="0"/>
        <v>0</v>
      </c>
    </row>
    <row r="23" spans="1:78" s="75" customFormat="1" ht="150.75" customHeight="1" x14ac:dyDescent="0.2">
      <c r="A23" s="541">
        <v>11600</v>
      </c>
      <c r="B23" s="544" t="s">
        <v>4</v>
      </c>
      <c r="C23" s="544" t="s">
        <v>332</v>
      </c>
      <c r="D23" s="145" t="s">
        <v>1108</v>
      </c>
      <c r="E23" s="145" t="s">
        <v>1108</v>
      </c>
      <c r="F23" s="541" t="s">
        <v>99</v>
      </c>
      <c r="G23" s="544" t="s">
        <v>351</v>
      </c>
      <c r="H23" s="150" t="s">
        <v>101</v>
      </c>
      <c r="I23" s="544" t="s">
        <v>343</v>
      </c>
      <c r="J23" s="150" t="s">
        <v>610</v>
      </c>
      <c r="K23" s="544" t="s">
        <v>993</v>
      </c>
      <c r="L23" s="554" t="s">
        <v>51</v>
      </c>
      <c r="M23" s="547">
        <v>1</v>
      </c>
      <c r="N23" s="150" t="s">
        <v>609</v>
      </c>
      <c r="O23" s="544" t="s">
        <v>992</v>
      </c>
      <c r="P23" s="542">
        <f>255645072+110602068+364000000+277671089</f>
        <v>1007918229</v>
      </c>
      <c r="Q23" s="545">
        <v>1</v>
      </c>
      <c r="R23" s="544" t="s">
        <v>18</v>
      </c>
      <c r="S23" s="544" t="s">
        <v>24</v>
      </c>
      <c r="T23" s="544" t="s">
        <v>674</v>
      </c>
      <c r="U23" s="544" t="s">
        <v>677</v>
      </c>
      <c r="V23" s="544" t="s">
        <v>81</v>
      </c>
      <c r="W23" s="544" t="s">
        <v>1385</v>
      </c>
      <c r="X23" s="544" t="s">
        <v>1422</v>
      </c>
      <c r="Y23" s="544" t="s">
        <v>44</v>
      </c>
      <c r="Z23" s="547">
        <v>1</v>
      </c>
      <c r="AA23" s="544" t="str">
        <f t="shared" ref="AA23:AB28" si="31">+O23</f>
        <v>Desarrollo, soporte, mantenimiento, actualización e integración de los aplicativos que soportan las operaciones misionales de la Entidad</v>
      </c>
      <c r="AB23" s="550">
        <f t="shared" si="31"/>
        <v>1007918229</v>
      </c>
      <c r="AC23" s="548" t="s">
        <v>46</v>
      </c>
      <c r="AD23" s="547">
        <v>0.25</v>
      </c>
      <c r="AE23" s="544" t="str">
        <f>+AA23</f>
        <v>Desarrollo, soporte, mantenimiento, actualización e integración de los aplicativos que soportan las operaciones misionales de la Entidad</v>
      </c>
      <c r="AF23" s="542">
        <f t="shared" ref="AF23:AF29" si="32">+AB23/4</f>
        <v>251979557.25</v>
      </c>
      <c r="AG23" s="634">
        <f>(763/768)*AD23</f>
        <v>0.24837239583333334</v>
      </c>
      <c r="AH23" s="571">
        <f>(342456+5136839+5136839)+(0+4623155+5136839)+(0+3672000+4080000)+(147680+4430407+4430407)+(952000-544000+4080000+4080000)</f>
        <v>45704622</v>
      </c>
      <c r="AI23" s="543">
        <f>+(AG23/AD23)</f>
        <v>0.99348958333333337</v>
      </c>
      <c r="AJ23" s="543">
        <f>+(AH23/AF23)</f>
        <v>0.18138226171520111</v>
      </c>
      <c r="AK23" s="543">
        <f>+(AG23/Z23)</f>
        <v>0.24837239583333334</v>
      </c>
      <c r="AL23" s="543">
        <f>+(AH23/AB23)</f>
        <v>4.5345565428800277E-2</v>
      </c>
      <c r="AM23" s="598" t="s">
        <v>1436</v>
      </c>
      <c r="AN23" s="547">
        <v>0.25</v>
      </c>
      <c r="AO23" s="544" t="str">
        <f>+AA23</f>
        <v>Desarrollo, soporte, mantenimiento, actualización e integración de los aplicativos que soportan las operaciones misionales de la Entidad</v>
      </c>
      <c r="AP23" s="542">
        <f t="shared" ref="AP23:AP29" si="33">+AB23/4</f>
        <v>251979557.25</v>
      </c>
      <c r="AQ23" s="155"/>
      <c r="AR23" s="155"/>
      <c r="AS23" s="543">
        <f>+(AQ23/AN23)</f>
        <v>0</v>
      </c>
      <c r="AT23" s="543">
        <f>+(AR23/AP23)</f>
        <v>0</v>
      </c>
      <c r="AU23" s="543">
        <f>+(AQ23+AG23)/Z23</f>
        <v>0.24837239583333334</v>
      </c>
      <c r="AV23" s="543">
        <f>+(AR23+AH23)/AB23</f>
        <v>4.5345565428800277E-2</v>
      </c>
      <c r="AW23" s="543"/>
      <c r="AX23" s="547">
        <v>0.25</v>
      </c>
      <c r="AY23" s="544" t="str">
        <f>+AA23</f>
        <v>Desarrollo, soporte, mantenimiento, actualización e integración de los aplicativos que soportan las operaciones misionales de la Entidad</v>
      </c>
      <c r="AZ23" s="542">
        <f t="shared" ref="AZ23:AZ29" si="34">+AB23/4</f>
        <v>251979557.25</v>
      </c>
      <c r="BA23" s="155"/>
      <c r="BB23" s="155"/>
      <c r="BC23" s="543">
        <f>+(BA23/AX23)</f>
        <v>0</v>
      </c>
      <c r="BD23" s="543">
        <f>+(BB23/AZ23)</f>
        <v>0</v>
      </c>
      <c r="BE23" s="543">
        <f>+(AQ23+AG23+BA23)/Z23</f>
        <v>0.24837239583333334</v>
      </c>
      <c r="BF23" s="543">
        <f>+(AR23+AH23+BB23)/AB23</f>
        <v>4.5345565428800277E-2</v>
      </c>
      <c r="BG23" s="543"/>
      <c r="BH23" s="547">
        <v>0.25</v>
      </c>
      <c r="BI23" s="544" t="str">
        <f>+AA23</f>
        <v>Desarrollo, soporte, mantenimiento, actualización e integración de los aplicativos que soportan las operaciones misionales de la Entidad</v>
      </c>
      <c r="BJ23" s="542">
        <f t="shared" ref="BJ23:BJ29" si="35">+AB23/4</f>
        <v>251979557.25</v>
      </c>
      <c r="BK23" s="155"/>
      <c r="BL23" s="155"/>
      <c r="BM23" s="543">
        <f>+(BK23/BH23)</f>
        <v>0</v>
      </c>
      <c r="BN23" s="543">
        <f>+(BL23/BJ23)</f>
        <v>0</v>
      </c>
      <c r="BO23" s="543">
        <f>+(AQ23+AG23+BA23+BK23)/Z23</f>
        <v>0.24837239583333334</v>
      </c>
      <c r="BP23" s="543">
        <f>+(AR23+AH23+BB23+BL23)/AB23</f>
        <v>4.5345565428800277E-2</v>
      </c>
      <c r="BQ23" s="72"/>
      <c r="BR23" s="546">
        <f>IF(AND(AD23=0,AG23=0),"No Prog ni Ejec",IF(AD23=0,CONCATENATE("No Prog, Ejec=  ",AG23),AG23/AD23))</f>
        <v>0.99348958333333337</v>
      </c>
      <c r="BS23" s="546">
        <f>IF(AND(AF23=0,AH23=0),"No Prog ni Ejec",IF(AF23=0,CONCATENATE("No Prog, Ejec=  ",AH23),AH23/AF23))</f>
        <v>0.18138226171520111</v>
      </c>
      <c r="BT23" s="546">
        <f>IF(AND(AN23=0,AQ23=0),"No Prog ni Ejec",IF(AN23=0,CONCATENATE("No Prog, Ejec=  ",AQ23),AQ23/AN23))</f>
        <v>0</v>
      </c>
      <c r="BU23" s="546">
        <f>IF(AND(AP23=0,AR23=0),"No Prog ni Ejec",IF(AP23=0,CONCATENATE("No Prog, Ejec=  ",AR23),AR23/AP23))</f>
        <v>0</v>
      </c>
      <c r="BV23" s="546">
        <f>IF(AND(AX23=0,BA23=0),"No Prog ni Ejec",IF(AX23=0,CONCATENATE("No Prog, Ejec=  ",BA23),BA23/AX23))</f>
        <v>0</v>
      </c>
      <c r="BW23" s="546">
        <f>IF(AND(AZ23=0,BB23=0),"No Prog ni Ejec",IF(AZ23=0,CONCATENATE("No Prog, Ejec=  ",BB23),BB23/AZ23))</f>
        <v>0</v>
      </c>
      <c r="BX23" s="546">
        <f>IF(AND(BH23=0,BK23=0),"No Prog ni Ejec",IF(BH23=0,CONCATENATE("No Prog, Ejec=  ",BK23),BK23/BH23))</f>
        <v>0</v>
      </c>
      <c r="BY23" s="546">
        <f>IF(AND(BJ23=0,BL23=0),"No Prog ni Ejec",IF(BJ23=0,CONCATENATE("No Prog, Ejec=  ",BL23),BL23/BJ23))</f>
        <v>0</v>
      </c>
      <c r="BZ23" s="181">
        <f t="shared" si="0"/>
        <v>0</v>
      </c>
    </row>
    <row r="24" spans="1:78" s="75" customFormat="1" ht="114.75" x14ac:dyDescent="0.2">
      <c r="A24" s="541">
        <v>11400</v>
      </c>
      <c r="B24" s="544" t="s">
        <v>12</v>
      </c>
      <c r="C24" s="544" t="s">
        <v>332</v>
      </c>
      <c r="D24" s="145" t="s">
        <v>1108</v>
      </c>
      <c r="E24" s="145" t="s">
        <v>1108</v>
      </c>
      <c r="F24" s="541" t="s">
        <v>65</v>
      </c>
      <c r="G24" s="544" t="s">
        <v>346</v>
      </c>
      <c r="H24" s="541" t="s">
        <v>66</v>
      </c>
      <c r="I24" s="544" t="s">
        <v>342</v>
      </c>
      <c r="J24" s="541" t="s">
        <v>1175</v>
      </c>
      <c r="K24" s="544" t="s">
        <v>404</v>
      </c>
      <c r="L24" s="554" t="s">
        <v>51</v>
      </c>
      <c r="M24" s="547">
        <v>1</v>
      </c>
      <c r="N24" s="541" t="s">
        <v>114</v>
      </c>
      <c r="O24" s="544" t="s">
        <v>359</v>
      </c>
      <c r="P24" s="542">
        <v>100435620</v>
      </c>
      <c r="Q24" s="545">
        <v>1</v>
      </c>
      <c r="R24" s="544" t="s">
        <v>17</v>
      </c>
      <c r="S24" s="544" t="s">
        <v>297</v>
      </c>
      <c r="T24" s="544" t="s">
        <v>674</v>
      </c>
      <c r="U24" s="544" t="s">
        <v>677</v>
      </c>
      <c r="V24" s="544" t="s">
        <v>75</v>
      </c>
      <c r="W24" s="544" t="s">
        <v>1388</v>
      </c>
      <c r="X24" s="544" t="s">
        <v>430</v>
      </c>
      <c r="Y24" s="544" t="s">
        <v>206</v>
      </c>
      <c r="Z24" s="545">
        <v>1</v>
      </c>
      <c r="AA24" s="544" t="str">
        <f t="shared" si="31"/>
        <v xml:space="preserve">Realizar el proceso de saneamiento de aportes patronales y el consecuente cierre de las cuentas bancarias de SGP, conforme al cronograma adoptado. </v>
      </c>
      <c r="AB24" s="550">
        <f t="shared" si="31"/>
        <v>100435620</v>
      </c>
      <c r="AC24" s="548" t="s">
        <v>46</v>
      </c>
      <c r="AD24" s="547">
        <v>0.25</v>
      </c>
      <c r="AE24" s="544" t="str">
        <f t="shared" ref="AE24:AE36" si="36">+AA24</f>
        <v xml:space="preserve">Realizar el proceso de saneamiento de aportes patronales y el consecuente cierre de las cuentas bancarias de SGP, conforme al cronograma adoptado. </v>
      </c>
      <c r="AF24" s="542">
        <f t="shared" si="32"/>
        <v>25108905</v>
      </c>
      <c r="AG24" s="611">
        <f>(2/2)*25%</f>
        <v>0.25</v>
      </c>
      <c r="AH24" s="623">
        <v>18971173</v>
      </c>
      <c r="AI24" s="543">
        <f t="shared" ref="AI24:AI36" si="37">+(AG24/AD24)</f>
        <v>1</v>
      </c>
      <c r="AJ24" s="543">
        <f t="shared" ref="AJ24:AJ36" si="38">+(AH24/AF24)</f>
        <v>0.75555556883105812</v>
      </c>
      <c r="AK24" s="543">
        <f t="shared" ref="AK24:AK36" si="39">+(AG24/Z24)</f>
        <v>0.25</v>
      </c>
      <c r="AL24" s="543">
        <f t="shared" ref="AL24:AL36" si="40">+(AH24/AB24)</f>
        <v>0.18888889220776453</v>
      </c>
      <c r="AM24" s="577" t="s">
        <v>1510</v>
      </c>
      <c r="AN24" s="547">
        <v>0.25</v>
      </c>
      <c r="AO24" s="544" t="str">
        <f t="shared" ref="AO24:AO36" si="41">+AA24</f>
        <v xml:space="preserve">Realizar el proceso de saneamiento de aportes patronales y el consecuente cierre de las cuentas bancarias de SGP, conforme al cronograma adoptado. </v>
      </c>
      <c r="AP24" s="542">
        <f t="shared" si="33"/>
        <v>25108905</v>
      </c>
      <c r="AQ24" s="155"/>
      <c r="AR24" s="155"/>
      <c r="AS24" s="543">
        <f t="shared" ref="AS24:AS36" si="42">+(AQ24/AN24)</f>
        <v>0</v>
      </c>
      <c r="AT24" s="543">
        <f t="shared" ref="AT24:AT36" si="43">+(AR24/AP24)</f>
        <v>0</v>
      </c>
      <c r="AU24" s="543">
        <f t="shared" ref="AU24:AU36" si="44">+(AQ24+AG24)/Z24</f>
        <v>0.25</v>
      </c>
      <c r="AV24" s="543">
        <f t="shared" ref="AV24:AV36" si="45">+(AR24+AH24)/AB24</f>
        <v>0.18888889220776453</v>
      </c>
      <c r="AW24" s="543"/>
      <c r="AX24" s="547">
        <v>0.25</v>
      </c>
      <c r="AY24" s="544" t="str">
        <f t="shared" ref="AY24:AY36" si="46">+AA24</f>
        <v xml:space="preserve">Realizar el proceso de saneamiento de aportes patronales y el consecuente cierre de las cuentas bancarias de SGP, conforme al cronograma adoptado. </v>
      </c>
      <c r="AZ24" s="542">
        <f t="shared" si="34"/>
        <v>25108905</v>
      </c>
      <c r="BA24" s="155"/>
      <c r="BB24" s="155"/>
      <c r="BC24" s="543">
        <f t="shared" ref="BC24:BC36" si="47">+(BA24/AX24)</f>
        <v>0</v>
      </c>
      <c r="BD24" s="543">
        <f t="shared" ref="BD24:BD36" si="48">+(BB24/AZ24)</f>
        <v>0</v>
      </c>
      <c r="BE24" s="543">
        <f t="shared" ref="BE24:BE36" si="49">+(AQ24+AG24+BA24)/Z24</f>
        <v>0.25</v>
      </c>
      <c r="BF24" s="543">
        <f t="shared" ref="BF24:BF36" si="50">+(AR24+AH24+BB24)/AB24</f>
        <v>0.18888889220776453</v>
      </c>
      <c r="BG24" s="543"/>
      <c r="BH24" s="547">
        <v>0.25</v>
      </c>
      <c r="BI24" s="544" t="str">
        <f t="shared" ref="BI24:BI36" si="51">+AA24</f>
        <v xml:space="preserve">Realizar el proceso de saneamiento de aportes patronales y el consecuente cierre de las cuentas bancarias de SGP, conforme al cronograma adoptado. </v>
      </c>
      <c r="BJ24" s="542">
        <f t="shared" si="35"/>
        <v>25108905</v>
      </c>
      <c r="BK24" s="155"/>
      <c r="BL24" s="155"/>
      <c r="BM24" s="547">
        <f t="shared" ref="BM24:BM36" si="52">+(BK24/BH24)</f>
        <v>0</v>
      </c>
      <c r="BN24" s="547">
        <f t="shared" ref="BN24:BN36" si="53">+(BL24/BJ24)</f>
        <v>0</v>
      </c>
      <c r="BO24" s="547">
        <f t="shared" ref="BO24:BO36" si="54">+(AQ24+AG24+BA24+BK24)/Z24</f>
        <v>0.25</v>
      </c>
      <c r="BP24" s="547">
        <f t="shared" ref="BP24:BP36" si="55">+(AR24+AH24+BB24+BL24)/AB24</f>
        <v>0.18888889220776453</v>
      </c>
      <c r="BQ24" s="547"/>
      <c r="BR24" s="546">
        <f t="shared" ref="BR24:BR36" si="56">IF(AND(AD24=0,AG24=0),"No Prog ni Ejec",IF(AD24=0,CONCATENATE("No Prog, Ejec=  ",AG24),AG24/AD24))</f>
        <v>1</v>
      </c>
      <c r="BS24" s="546">
        <f t="shared" ref="BS24:BS36" si="57">IF(AND(AF24=0,AH24=0),"No Prog ni Ejec",IF(AF24=0,CONCATENATE("No Prog, Ejec=  ",AH24),AH24/AF24))</f>
        <v>0.75555556883105812</v>
      </c>
      <c r="BT24" s="546">
        <f t="shared" ref="BT24:BT36" si="58">IF(AND(AN24=0,AQ24=0),"No Prog ni Ejec",IF(AN24=0,CONCATENATE("No Prog, Ejec=  ",AQ24),AQ24/AN24))</f>
        <v>0</v>
      </c>
      <c r="BU24" s="546">
        <f t="shared" ref="BU24:BU36" si="59">IF(AND(AP24=0,AR24=0),"No Prog ni Ejec",IF(AP24=0,CONCATENATE("No Prog, Ejec=  ",AR24),AR24/AP24))</f>
        <v>0</v>
      </c>
      <c r="BV24" s="546">
        <f t="shared" ref="BV24:BV36" si="60">IF(AND(AX24=0,BA24=0),"No Prog ni Ejec",IF(AX24=0,CONCATENATE("No Prog, Ejec=  ",BA24),BA24/AX24))</f>
        <v>0</v>
      </c>
      <c r="BW24" s="546">
        <f t="shared" ref="BW24:BW36" si="61">IF(AND(AZ24=0,BB24=0),"No Prog ni Ejec",IF(AZ24=0,CONCATENATE("No Prog, Ejec=  ",BB24),BB24/AZ24))</f>
        <v>0</v>
      </c>
      <c r="BX24" s="546">
        <f t="shared" ref="BX24:BX36" si="62">IF(AND(BH24=0,BK24=0),"No Prog ni Ejec",IF(BH24=0,CONCATENATE("No Prog, Ejec=  ",BK24),BK24/BH24))</f>
        <v>0</v>
      </c>
      <c r="BY24" s="546">
        <f t="shared" ref="BY24:BY36" si="63">IF(AND(BJ24=0,BL24=0),"No Prog ni Ejec",IF(BJ24=0,CONCATENATE("No Prog, Ejec=  ",BL24),BL24/BJ24))</f>
        <v>0</v>
      </c>
      <c r="BZ24" s="181">
        <f t="shared" si="0"/>
        <v>0</v>
      </c>
    </row>
    <row r="25" spans="1:78" s="75" customFormat="1" ht="197.25" customHeight="1" x14ac:dyDescent="0.2">
      <c r="A25" s="541">
        <v>11400</v>
      </c>
      <c r="B25" s="544" t="s">
        <v>12</v>
      </c>
      <c r="C25" s="544" t="s">
        <v>332</v>
      </c>
      <c r="D25" s="145" t="s">
        <v>1108</v>
      </c>
      <c r="E25" s="145" t="s">
        <v>1108</v>
      </c>
      <c r="F25" s="541" t="s">
        <v>65</v>
      </c>
      <c r="G25" s="544" t="s">
        <v>346</v>
      </c>
      <c r="H25" s="541" t="s">
        <v>66</v>
      </c>
      <c r="I25" s="544" t="s">
        <v>342</v>
      </c>
      <c r="J25" s="541" t="s">
        <v>1053</v>
      </c>
      <c r="K25" s="544" t="s">
        <v>444</v>
      </c>
      <c r="L25" s="554" t="s">
        <v>394</v>
      </c>
      <c r="M25" s="66">
        <v>4</v>
      </c>
      <c r="N25" s="541" t="s">
        <v>1061</v>
      </c>
      <c r="O25" s="544" t="s">
        <v>360</v>
      </c>
      <c r="P25" s="542">
        <v>233474760</v>
      </c>
      <c r="Q25" s="545">
        <v>1</v>
      </c>
      <c r="R25" s="544" t="s">
        <v>17</v>
      </c>
      <c r="S25" s="544" t="s">
        <v>297</v>
      </c>
      <c r="T25" s="544" t="s">
        <v>674</v>
      </c>
      <c r="U25" s="544" t="s">
        <v>677</v>
      </c>
      <c r="V25" s="544" t="s">
        <v>1129</v>
      </c>
      <c r="W25" s="544" t="s">
        <v>1389</v>
      </c>
      <c r="X25" s="544" t="s">
        <v>403</v>
      </c>
      <c r="Y25" s="544" t="s">
        <v>206</v>
      </c>
      <c r="Z25" s="67">
        <v>4</v>
      </c>
      <c r="AA25" s="544" t="str">
        <f t="shared" si="3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B25" s="550">
        <f t="shared" si="31"/>
        <v>233474760</v>
      </c>
      <c r="AC25" s="548" t="s">
        <v>46</v>
      </c>
      <c r="AD25" s="66">
        <v>1</v>
      </c>
      <c r="AE25" s="544" t="str">
        <f t="shared" si="36"/>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F25" s="542">
        <f t="shared" si="32"/>
        <v>58368690</v>
      </c>
      <c r="AG25" s="602">
        <v>0</v>
      </c>
      <c r="AH25" s="608">
        <v>0</v>
      </c>
      <c r="AI25" s="543">
        <f t="shared" si="37"/>
        <v>0</v>
      </c>
      <c r="AJ25" s="543">
        <f t="shared" si="38"/>
        <v>0</v>
      </c>
      <c r="AK25" s="543">
        <f t="shared" si="39"/>
        <v>0</v>
      </c>
      <c r="AL25" s="543">
        <f t="shared" si="40"/>
        <v>0</v>
      </c>
      <c r="AM25" s="577" t="s">
        <v>1511</v>
      </c>
      <c r="AN25" s="66">
        <v>1</v>
      </c>
      <c r="AO25" s="544" t="str">
        <f t="shared" si="4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P25" s="542">
        <f t="shared" si="33"/>
        <v>58368690</v>
      </c>
      <c r="AQ25" s="155"/>
      <c r="AR25" s="155"/>
      <c r="AS25" s="543">
        <f t="shared" si="42"/>
        <v>0</v>
      </c>
      <c r="AT25" s="543">
        <f t="shared" si="43"/>
        <v>0</v>
      </c>
      <c r="AU25" s="543">
        <f t="shared" si="44"/>
        <v>0</v>
      </c>
      <c r="AV25" s="543">
        <f t="shared" si="45"/>
        <v>0</v>
      </c>
      <c r="AW25" s="543"/>
      <c r="AX25" s="66">
        <v>1</v>
      </c>
      <c r="AY25" s="544" t="str">
        <f t="shared" si="46"/>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Z25" s="542">
        <f t="shared" si="34"/>
        <v>58368690</v>
      </c>
      <c r="BA25" s="155"/>
      <c r="BB25" s="155"/>
      <c r="BC25" s="543">
        <f t="shared" si="47"/>
        <v>0</v>
      </c>
      <c r="BD25" s="543">
        <f t="shared" si="48"/>
        <v>0</v>
      </c>
      <c r="BE25" s="543">
        <f t="shared" si="49"/>
        <v>0</v>
      </c>
      <c r="BF25" s="543">
        <f t="shared" si="50"/>
        <v>0</v>
      </c>
      <c r="BG25" s="543"/>
      <c r="BH25" s="66">
        <v>1</v>
      </c>
      <c r="BI25" s="544" t="str">
        <f t="shared" si="5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BJ25" s="542">
        <f t="shared" si="35"/>
        <v>58368690</v>
      </c>
      <c r="BK25" s="155"/>
      <c r="BL25" s="155"/>
      <c r="BM25" s="547">
        <f t="shared" si="52"/>
        <v>0</v>
      </c>
      <c r="BN25" s="547">
        <f t="shared" si="53"/>
        <v>0</v>
      </c>
      <c r="BO25" s="547">
        <f t="shared" si="54"/>
        <v>0</v>
      </c>
      <c r="BP25" s="547">
        <f t="shared" si="55"/>
        <v>0</v>
      </c>
      <c r="BQ25" s="547"/>
      <c r="BR25" s="546">
        <f t="shared" si="56"/>
        <v>0</v>
      </c>
      <c r="BS25" s="546">
        <f t="shared" si="57"/>
        <v>0</v>
      </c>
      <c r="BT25" s="546">
        <f t="shared" si="58"/>
        <v>0</v>
      </c>
      <c r="BU25" s="546">
        <f t="shared" si="59"/>
        <v>0</v>
      </c>
      <c r="BV25" s="546">
        <f t="shared" si="60"/>
        <v>0</v>
      </c>
      <c r="BW25" s="546">
        <f t="shared" si="61"/>
        <v>0</v>
      </c>
      <c r="BX25" s="546">
        <f t="shared" si="62"/>
        <v>0</v>
      </c>
      <c r="BY25" s="546">
        <f t="shared" si="63"/>
        <v>0</v>
      </c>
      <c r="BZ25" s="181">
        <f t="shared" si="0"/>
        <v>0</v>
      </c>
    </row>
    <row r="26" spans="1:78" s="75" customFormat="1" ht="267.75" x14ac:dyDescent="0.2">
      <c r="A26" s="541">
        <v>11400</v>
      </c>
      <c r="B26" s="544" t="s">
        <v>12</v>
      </c>
      <c r="C26" s="544" t="s">
        <v>332</v>
      </c>
      <c r="D26" s="145" t="s">
        <v>1108</v>
      </c>
      <c r="E26" s="145" t="s">
        <v>1108</v>
      </c>
      <c r="F26" s="541" t="s">
        <v>65</v>
      </c>
      <c r="G26" s="544" t="s">
        <v>346</v>
      </c>
      <c r="H26" s="541" t="s">
        <v>66</v>
      </c>
      <c r="I26" s="544" t="s">
        <v>342</v>
      </c>
      <c r="J26" s="541" t="s">
        <v>1054</v>
      </c>
      <c r="K26" s="544" t="s">
        <v>405</v>
      </c>
      <c r="L26" s="554" t="s">
        <v>51</v>
      </c>
      <c r="M26" s="547">
        <v>1</v>
      </c>
      <c r="N26" s="541" t="s">
        <v>1062</v>
      </c>
      <c r="O26" s="544" t="s">
        <v>362</v>
      </c>
      <c r="P26" s="549">
        <v>80376316.800000012</v>
      </c>
      <c r="Q26" s="545">
        <v>1</v>
      </c>
      <c r="R26" s="544" t="s">
        <v>17</v>
      </c>
      <c r="S26" s="544" t="s">
        <v>297</v>
      </c>
      <c r="T26" s="544" t="s">
        <v>674</v>
      </c>
      <c r="U26" s="544" t="s">
        <v>677</v>
      </c>
      <c r="V26" s="544" t="s">
        <v>75</v>
      </c>
      <c r="W26" s="544" t="s">
        <v>1377</v>
      </c>
      <c r="X26" s="544" t="s">
        <v>431</v>
      </c>
      <c r="Y26" s="544" t="s">
        <v>206</v>
      </c>
      <c r="Z26" s="545">
        <v>1</v>
      </c>
      <c r="AA26" s="544" t="str">
        <f t="shared" si="31"/>
        <v xml:space="preserve">Verificar los actuales controles de los procesos de liquidación y reconocimiento de UPC y de prestaciones económicas, considerando las características de los afiliados (edad, género, ubicación geográfica, capacidad de pago, novedades). </v>
      </c>
      <c r="AB26" s="550">
        <f t="shared" si="31"/>
        <v>80376316.800000012</v>
      </c>
      <c r="AC26" s="554" t="s">
        <v>46</v>
      </c>
      <c r="AD26" s="547">
        <v>0.25</v>
      </c>
      <c r="AE26" s="544" t="str">
        <f t="shared" si="36"/>
        <v xml:space="preserve">Verificar los actuales controles de los procesos de liquidación y reconocimiento de UPC y de prestaciones económicas, considerando las características de los afiliados (edad, género, ubicación geográfica, capacidad de pago, novedades). </v>
      </c>
      <c r="AF26" s="542">
        <f t="shared" si="32"/>
        <v>20094079.200000003</v>
      </c>
      <c r="AG26" s="611">
        <f>(1/1)*25%</f>
        <v>0.25</v>
      </c>
      <c r="AH26" s="623">
        <v>10787362</v>
      </c>
      <c r="AI26" s="543">
        <f t="shared" si="37"/>
        <v>1</v>
      </c>
      <c r="AJ26" s="543">
        <f t="shared" si="38"/>
        <v>0.53684281288191593</v>
      </c>
      <c r="AK26" s="543">
        <f t="shared" si="39"/>
        <v>0.25</v>
      </c>
      <c r="AL26" s="543">
        <f t="shared" si="40"/>
        <v>0.13421070322047898</v>
      </c>
      <c r="AM26" s="577" t="s">
        <v>1512</v>
      </c>
      <c r="AN26" s="547">
        <v>0.25</v>
      </c>
      <c r="AO26" s="544" t="str">
        <f t="shared" si="41"/>
        <v xml:space="preserve">Verificar los actuales controles de los procesos de liquidación y reconocimiento de UPC y de prestaciones económicas, considerando las características de los afiliados (edad, género, ubicación geográfica, capacidad de pago, novedades). </v>
      </c>
      <c r="AP26" s="542">
        <f t="shared" si="33"/>
        <v>20094079.200000003</v>
      </c>
      <c r="AQ26" s="155"/>
      <c r="AR26" s="155"/>
      <c r="AS26" s="543">
        <f t="shared" si="42"/>
        <v>0</v>
      </c>
      <c r="AT26" s="543">
        <f t="shared" si="43"/>
        <v>0</v>
      </c>
      <c r="AU26" s="543">
        <f t="shared" si="44"/>
        <v>0.25</v>
      </c>
      <c r="AV26" s="543">
        <f t="shared" si="45"/>
        <v>0.13421070322047898</v>
      </c>
      <c r="AW26" s="543"/>
      <c r="AX26" s="547">
        <v>0.25</v>
      </c>
      <c r="AY26" s="544" t="str">
        <f t="shared" si="46"/>
        <v xml:space="preserve">Verificar los actuales controles de los procesos de liquidación y reconocimiento de UPC y de prestaciones económicas, considerando las características de los afiliados (edad, género, ubicación geográfica, capacidad de pago, novedades). </v>
      </c>
      <c r="AZ26" s="542">
        <f t="shared" si="34"/>
        <v>20094079.200000003</v>
      </c>
      <c r="BA26" s="155"/>
      <c r="BB26" s="155"/>
      <c r="BC26" s="543">
        <f t="shared" si="47"/>
        <v>0</v>
      </c>
      <c r="BD26" s="543">
        <f t="shared" si="48"/>
        <v>0</v>
      </c>
      <c r="BE26" s="543">
        <f t="shared" si="49"/>
        <v>0.25</v>
      </c>
      <c r="BF26" s="543">
        <f t="shared" si="50"/>
        <v>0.13421070322047898</v>
      </c>
      <c r="BG26" s="543"/>
      <c r="BH26" s="547">
        <v>0.25</v>
      </c>
      <c r="BI26" s="544" t="str">
        <f t="shared" si="51"/>
        <v xml:space="preserve">Verificar los actuales controles de los procesos de liquidación y reconocimiento de UPC y de prestaciones económicas, considerando las características de los afiliados (edad, género, ubicación geográfica, capacidad de pago, novedades). </v>
      </c>
      <c r="BJ26" s="542">
        <f t="shared" si="35"/>
        <v>20094079.200000003</v>
      </c>
      <c r="BK26" s="155"/>
      <c r="BL26" s="155"/>
      <c r="BM26" s="547">
        <f t="shared" si="52"/>
        <v>0</v>
      </c>
      <c r="BN26" s="547">
        <f t="shared" si="53"/>
        <v>0</v>
      </c>
      <c r="BO26" s="547">
        <f t="shared" si="54"/>
        <v>0.25</v>
      </c>
      <c r="BP26" s="547">
        <f t="shared" si="55"/>
        <v>0.13421070322047898</v>
      </c>
      <c r="BQ26" s="547"/>
      <c r="BR26" s="546">
        <f t="shared" si="56"/>
        <v>1</v>
      </c>
      <c r="BS26" s="546">
        <f t="shared" si="57"/>
        <v>0.53684281288191593</v>
      </c>
      <c r="BT26" s="546">
        <f t="shared" si="58"/>
        <v>0</v>
      </c>
      <c r="BU26" s="546">
        <f t="shared" si="59"/>
        <v>0</v>
      </c>
      <c r="BV26" s="546">
        <f t="shared" si="60"/>
        <v>0</v>
      </c>
      <c r="BW26" s="546">
        <f t="shared" si="61"/>
        <v>0</v>
      </c>
      <c r="BX26" s="546">
        <f t="shared" si="62"/>
        <v>0</v>
      </c>
      <c r="BY26" s="546">
        <f t="shared" si="63"/>
        <v>0</v>
      </c>
      <c r="BZ26" s="181">
        <f t="shared" si="0"/>
        <v>0</v>
      </c>
    </row>
    <row r="27" spans="1:78" s="75" customFormat="1" ht="102" x14ac:dyDescent="0.2">
      <c r="A27" s="541">
        <v>11400</v>
      </c>
      <c r="B27" s="544" t="s">
        <v>12</v>
      </c>
      <c r="C27" s="544" t="s">
        <v>332</v>
      </c>
      <c r="D27" s="145" t="s">
        <v>1108</v>
      </c>
      <c r="E27" s="145" t="s">
        <v>1108</v>
      </c>
      <c r="F27" s="541" t="s">
        <v>65</v>
      </c>
      <c r="G27" s="544" t="s">
        <v>346</v>
      </c>
      <c r="H27" s="541" t="s">
        <v>66</v>
      </c>
      <c r="I27" s="544" t="s">
        <v>342</v>
      </c>
      <c r="J27" s="541" t="s">
        <v>1055</v>
      </c>
      <c r="K27" s="544" t="s">
        <v>391</v>
      </c>
      <c r="L27" s="554" t="s">
        <v>51</v>
      </c>
      <c r="M27" s="547">
        <v>1</v>
      </c>
      <c r="N27" s="541" t="s">
        <v>1063</v>
      </c>
      <c r="O27" s="544" t="s">
        <v>363</v>
      </c>
      <c r="P27" s="549">
        <v>172244136</v>
      </c>
      <c r="Q27" s="545">
        <v>1</v>
      </c>
      <c r="R27" s="544" t="s">
        <v>17</v>
      </c>
      <c r="S27" s="544" t="s">
        <v>297</v>
      </c>
      <c r="T27" s="544" t="s">
        <v>674</v>
      </c>
      <c r="U27" s="544" t="s">
        <v>677</v>
      </c>
      <c r="V27" s="544" t="s">
        <v>75</v>
      </c>
      <c r="W27" s="544" t="s">
        <v>1378</v>
      </c>
      <c r="X27" s="544" t="s">
        <v>432</v>
      </c>
      <c r="Y27" s="544" t="s">
        <v>206</v>
      </c>
      <c r="Z27" s="545">
        <v>1</v>
      </c>
      <c r="AA27" s="544" t="str">
        <f t="shared" si="31"/>
        <v>Ejecutar los procesos de compensación conforme al cronograma adoptado</v>
      </c>
      <c r="AB27" s="550">
        <f t="shared" si="31"/>
        <v>172244136</v>
      </c>
      <c r="AC27" s="548" t="s">
        <v>46</v>
      </c>
      <c r="AD27" s="547">
        <v>0.25</v>
      </c>
      <c r="AE27" s="544" t="str">
        <f t="shared" si="36"/>
        <v>Ejecutar los procesos de compensación conforme al cronograma adoptado</v>
      </c>
      <c r="AF27" s="542">
        <f t="shared" si="32"/>
        <v>43061034</v>
      </c>
      <c r="AG27" s="611">
        <f>(12/12)*25%</f>
        <v>0.25</v>
      </c>
      <c r="AH27" s="623">
        <v>20448274</v>
      </c>
      <c r="AI27" s="543">
        <f t="shared" si="37"/>
        <v>1</v>
      </c>
      <c r="AJ27" s="543">
        <f t="shared" si="38"/>
        <v>0.47486723147428367</v>
      </c>
      <c r="AK27" s="543">
        <f t="shared" si="39"/>
        <v>0.25</v>
      </c>
      <c r="AL27" s="543">
        <f t="shared" si="40"/>
        <v>0.11871680786857092</v>
      </c>
      <c r="AM27" s="577" t="s">
        <v>1513</v>
      </c>
      <c r="AN27" s="547">
        <v>0.25</v>
      </c>
      <c r="AO27" s="544" t="str">
        <f t="shared" si="41"/>
        <v>Ejecutar los procesos de compensación conforme al cronograma adoptado</v>
      </c>
      <c r="AP27" s="542">
        <f t="shared" si="33"/>
        <v>43061034</v>
      </c>
      <c r="AQ27" s="155"/>
      <c r="AR27" s="155"/>
      <c r="AS27" s="543">
        <f t="shared" si="42"/>
        <v>0</v>
      </c>
      <c r="AT27" s="543">
        <f t="shared" si="43"/>
        <v>0</v>
      </c>
      <c r="AU27" s="543">
        <f t="shared" si="44"/>
        <v>0.25</v>
      </c>
      <c r="AV27" s="543">
        <f t="shared" si="45"/>
        <v>0.11871680786857092</v>
      </c>
      <c r="AW27" s="543"/>
      <c r="AX27" s="547">
        <v>0.25</v>
      </c>
      <c r="AY27" s="544" t="str">
        <f t="shared" si="46"/>
        <v>Ejecutar los procesos de compensación conforme al cronograma adoptado</v>
      </c>
      <c r="AZ27" s="542">
        <f t="shared" si="34"/>
        <v>43061034</v>
      </c>
      <c r="BA27" s="155"/>
      <c r="BB27" s="155"/>
      <c r="BC27" s="543">
        <f t="shared" si="47"/>
        <v>0</v>
      </c>
      <c r="BD27" s="543">
        <f t="shared" si="48"/>
        <v>0</v>
      </c>
      <c r="BE27" s="543">
        <f t="shared" si="49"/>
        <v>0.25</v>
      </c>
      <c r="BF27" s="543">
        <f t="shared" si="50"/>
        <v>0.11871680786857092</v>
      </c>
      <c r="BG27" s="543"/>
      <c r="BH27" s="547">
        <v>0.25</v>
      </c>
      <c r="BI27" s="544" t="str">
        <f t="shared" si="51"/>
        <v>Ejecutar los procesos de compensación conforme al cronograma adoptado</v>
      </c>
      <c r="BJ27" s="542">
        <f t="shared" si="35"/>
        <v>43061034</v>
      </c>
      <c r="BK27" s="155"/>
      <c r="BL27" s="155"/>
      <c r="BM27" s="547">
        <f t="shared" si="52"/>
        <v>0</v>
      </c>
      <c r="BN27" s="547">
        <f t="shared" si="53"/>
        <v>0</v>
      </c>
      <c r="BO27" s="547">
        <f t="shared" si="54"/>
        <v>0.25</v>
      </c>
      <c r="BP27" s="547">
        <f t="shared" si="55"/>
        <v>0.11871680786857092</v>
      </c>
      <c r="BQ27" s="547"/>
      <c r="BR27" s="546">
        <f t="shared" si="56"/>
        <v>1</v>
      </c>
      <c r="BS27" s="546">
        <f t="shared" si="57"/>
        <v>0.47486723147428367</v>
      </c>
      <c r="BT27" s="546">
        <f t="shared" si="58"/>
        <v>0</v>
      </c>
      <c r="BU27" s="546">
        <f t="shared" si="59"/>
        <v>0</v>
      </c>
      <c r="BV27" s="546">
        <f t="shared" si="60"/>
        <v>0</v>
      </c>
      <c r="BW27" s="546">
        <f t="shared" si="61"/>
        <v>0</v>
      </c>
      <c r="BX27" s="546">
        <f t="shared" si="62"/>
        <v>0</v>
      </c>
      <c r="BY27" s="546">
        <f t="shared" si="63"/>
        <v>0</v>
      </c>
      <c r="BZ27" s="181">
        <f t="shared" si="0"/>
        <v>0</v>
      </c>
    </row>
    <row r="28" spans="1:78" s="75" customFormat="1" ht="140.25" x14ac:dyDescent="0.2">
      <c r="A28" s="541">
        <v>11400</v>
      </c>
      <c r="B28" s="544" t="s">
        <v>12</v>
      </c>
      <c r="C28" s="544" t="s">
        <v>332</v>
      </c>
      <c r="D28" s="145" t="s">
        <v>1108</v>
      </c>
      <c r="E28" s="145" t="s">
        <v>1108</v>
      </c>
      <c r="F28" s="541" t="s">
        <v>65</v>
      </c>
      <c r="G28" s="544" t="s">
        <v>346</v>
      </c>
      <c r="H28" s="541" t="s">
        <v>66</v>
      </c>
      <c r="I28" s="544" t="s">
        <v>342</v>
      </c>
      <c r="J28" s="541" t="s">
        <v>1056</v>
      </c>
      <c r="K28" s="544" t="s">
        <v>70</v>
      </c>
      <c r="L28" s="554" t="s">
        <v>51</v>
      </c>
      <c r="M28" s="547">
        <v>1</v>
      </c>
      <c r="N28" s="541" t="s">
        <v>1064</v>
      </c>
      <c r="O28" s="544" t="s">
        <v>364</v>
      </c>
      <c r="P28" s="549">
        <f>123284136/2</f>
        <v>61642068</v>
      </c>
      <c r="Q28" s="545">
        <v>1</v>
      </c>
      <c r="R28" s="544" t="s">
        <v>17</v>
      </c>
      <c r="S28" s="544" t="s">
        <v>297</v>
      </c>
      <c r="T28" s="544" t="s">
        <v>674</v>
      </c>
      <c r="U28" s="544" t="s">
        <v>677</v>
      </c>
      <c r="V28" s="544" t="s">
        <v>1138</v>
      </c>
      <c r="W28" s="544" t="s">
        <v>1376</v>
      </c>
      <c r="X28" s="544" t="s">
        <v>433</v>
      </c>
      <c r="Y28" s="544" t="s">
        <v>206</v>
      </c>
      <c r="Z28" s="545">
        <v>1</v>
      </c>
      <c r="AA28" s="544" t="str">
        <f t="shared" si="31"/>
        <v xml:space="preserve">Tramitar oportunamente las solicitudes de prestaciones económicas radicadas por afiliados a los regímenes exceptuados y especiales con ingresos adicionales. </v>
      </c>
      <c r="AB28" s="550">
        <f t="shared" si="31"/>
        <v>61642068</v>
      </c>
      <c r="AC28" s="548" t="s">
        <v>46</v>
      </c>
      <c r="AD28" s="547">
        <v>0.25</v>
      </c>
      <c r="AE28" s="544" t="str">
        <f t="shared" si="36"/>
        <v xml:space="preserve">Tramitar oportunamente las solicitudes de prestaciones económicas radicadas por afiliados a los regímenes exceptuados y especiales con ingresos adicionales. </v>
      </c>
      <c r="AF28" s="542">
        <f t="shared" si="32"/>
        <v>15410517</v>
      </c>
      <c r="AG28" s="611">
        <f>(720/723)*25%</f>
        <v>0.24896265560165975</v>
      </c>
      <c r="AH28" s="623">
        <v>10444906</v>
      </c>
      <c r="AI28" s="543">
        <f t="shared" si="37"/>
        <v>0.99585062240663902</v>
      </c>
      <c r="AJ28" s="543">
        <f t="shared" si="38"/>
        <v>0.67777777994080279</v>
      </c>
      <c r="AK28" s="543">
        <f t="shared" si="39"/>
        <v>0.24896265560165975</v>
      </c>
      <c r="AL28" s="543">
        <f t="shared" si="40"/>
        <v>0.1694444449852007</v>
      </c>
      <c r="AM28" s="577" t="s">
        <v>1514</v>
      </c>
      <c r="AN28" s="547">
        <v>0.25</v>
      </c>
      <c r="AO28" s="544" t="str">
        <f t="shared" si="41"/>
        <v xml:space="preserve">Tramitar oportunamente las solicitudes de prestaciones económicas radicadas por afiliados a los regímenes exceptuados y especiales con ingresos adicionales. </v>
      </c>
      <c r="AP28" s="542">
        <f t="shared" si="33"/>
        <v>15410517</v>
      </c>
      <c r="AQ28" s="155"/>
      <c r="AR28" s="155"/>
      <c r="AS28" s="543">
        <f t="shared" si="42"/>
        <v>0</v>
      </c>
      <c r="AT28" s="543">
        <f t="shared" si="43"/>
        <v>0</v>
      </c>
      <c r="AU28" s="543">
        <f t="shared" si="44"/>
        <v>0.24896265560165975</v>
      </c>
      <c r="AV28" s="543">
        <f t="shared" si="45"/>
        <v>0.1694444449852007</v>
      </c>
      <c r="AW28" s="543"/>
      <c r="AX28" s="547">
        <v>0.25</v>
      </c>
      <c r="AY28" s="544" t="str">
        <f t="shared" si="46"/>
        <v xml:space="preserve">Tramitar oportunamente las solicitudes de prestaciones económicas radicadas por afiliados a los regímenes exceptuados y especiales con ingresos adicionales. </v>
      </c>
      <c r="AZ28" s="542">
        <f t="shared" si="34"/>
        <v>15410517</v>
      </c>
      <c r="BA28" s="155"/>
      <c r="BB28" s="155"/>
      <c r="BC28" s="543">
        <f t="shared" si="47"/>
        <v>0</v>
      </c>
      <c r="BD28" s="543">
        <f t="shared" si="48"/>
        <v>0</v>
      </c>
      <c r="BE28" s="543">
        <f t="shared" si="49"/>
        <v>0.24896265560165975</v>
      </c>
      <c r="BF28" s="543">
        <f t="shared" si="50"/>
        <v>0.1694444449852007</v>
      </c>
      <c r="BG28" s="543"/>
      <c r="BH28" s="547">
        <v>0.25</v>
      </c>
      <c r="BI28" s="544" t="str">
        <f t="shared" si="51"/>
        <v xml:space="preserve">Tramitar oportunamente las solicitudes de prestaciones económicas radicadas por afiliados a los regímenes exceptuados y especiales con ingresos adicionales. </v>
      </c>
      <c r="BJ28" s="542">
        <f t="shared" si="35"/>
        <v>15410517</v>
      </c>
      <c r="BK28" s="155"/>
      <c r="BL28" s="155"/>
      <c r="BM28" s="547">
        <f t="shared" si="52"/>
        <v>0</v>
      </c>
      <c r="BN28" s="547">
        <f t="shared" si="53"/>
        <v>0</v>
      </c>
      <c r="BO28" s="547">
        <f t="shared" si="54"/>
        <v>0.24896265560165975</v>
      </c>
      <c r="BP28" s="547">
        <f t="shared" si="55"/>
        <v>0.1694444449852007</v>
      </c>
      <c r="BQ28" s="547"/>
      <c r="BR28" s="546">
        <f t="shared" si="56"/>
        <v>0.99585062240663902</v>
      </c>
      <c r="BS28" s="546">
        <f t="shared" si="57"/>
        <v>0.67777777994080279</v>
      </c>
      <c r="BT28" s="546">
        <f t="shared" si="58"/>
        <v>0</v>
      </c>
      <c r="BU28" s="546">
        <f t="shared" si="59"/>
        <v>0</v>
      </c>
      <c r="BV28" s="546">
        <f t="shared" si="60"/>
        <v>0</v>
      </c>
      <c r="BW28" s="546">
        <f t="shared" si="61"/>
        <v>0</v>
      </c>
      <c r="BX28" s="546">
        <f t="shared" si="62"/>
        <v>0</v>
      </c>
      <c r="BY28" s="546">
        <f t="shared" si="63"/>
        <v>0</v>
      </c>
      <c r="BZ28" s="181">
        <f t="shared" si="0"/>
        <v>0</v>
      </c>
    </row>
    <row r="29" spans="1:78" s="75" customFormat="1" ht="94.5" customHeight="1" x14ac:dyDescent="0.2">
      <c r="A29" s="541">
        <v>11400</v>
      </c>
      <c r="B29" s="544" t="s">
        <v>12</v>
      </c>
      <c r="C29" s="544" t="s">
        <v>332</v>
      </c>
      <c r="D29" s="145" t="s">
        <v>1108</v>
      </c>
      <c r="E29" s="145"/>
      <c r="F29" s="541" t="s">
        <v>65</v>
      </c>
      <c r="G29" s="544" t="s">
        <v>346</v>
      </c>
      <c r="H29" s="541" t="s">
        <v>66</v>
      </c>
      <c r="I29" s="544" t="s">
        <v>342</v>
      </c>
      <c r="J29" s="541" t="s">
        <v>1057</v>
      </c>
      <c r="K29" s="544" t="s">
        <v>401</v>
      </c>
      <c r="L29" s="554" t="s">
        <v>51</v>
      </c>
      <c r="M29" s="547">
        <v>1</v>
      </c>
      <c r="N29" s="541" t="s">
        <v>1065</v>
      </c>
      <c r="O29" s="544" t="s">
        <v>365</v>
      </c>
      <c r="P29" s="612">
        <f>123284136/2</f>
        <v>61642068</v>
      </c>
      <c r="Q29" s="545">
        <v>1</v>
      </c>
      <c r="R29" s="544" t="s">
        <v>17</v>
      </c>
      <c r="S29" s="544" t="s">
        <v>297</v>
      </c>
      <c r="T29" s="544" t="s">
        <v>674</v>
      </c>
      <c r="U29" s="544" t="s">
        <v>677</v>
      </c>
      <c r="V29" s="544" t="s">
        <v>1138</v>
      </c>
      <c r="W29" s="544" t="s">
        <v>1376</v>
      </c>
      <c r="X29" s="544" t="s">
        <v>402</v>
      </c>
      <c r="Y29" s="544" t="s">
        <v>206</v>
      </c>
      <c r="Z29" s="545">
        <v>1</v>
      </c>
      <c r="AA29" s="544" t="str">
        <f t="shared" ref="AA29:AA36" si="64">+O29</f>
        <v xml:space="preserve">Tramitar oportunamente las solicitudes de devoluciones de aportes radicadas por afiliados a los regímenes exceptuados y especiales con ingresos adicionales. </v>
      </c>
      <c r="AB29" s="550">
        <f>+P29</f>
        <v>61642068</v>
      </c>
      <c r="AC29" s="548" t="s">
        <v>48</v>
      </c>
      <c r="AD29" s="547">
        <v>0.25</v>
      </c>
      <c r="AE29" s="544" t="str">
        <f t="shared" si="36"/>
        <v xml:space="preserve">Tramitar oportunamente las solicitudes de devoluciones de aportes radicadas por afiliados a los regímenes exceptuados y especiales con ingresos adicionales. </v>
      </c>
      <c r="AF29" s="608">
        <f t="shared" si="32"/>
        <v>15410517</v>
      </c>
      <c r="AG29" s="611">
        <f>(181/183)*25%</f>
        <v>0.24726775956284153</v>
      </c>
      <c r="AH29" s="623">
        <v>10444906</v>
      </c>
      <c r="AI29" s="543">
        <f t="shared" si="37"/>
        <v>0.98907103825136611</v>
      </c>
      <c r="AJ29" s="543">
        <f t="shared" si="38"/>
        <v>0.67777777994080279</v>
      </c>
      <c r="AK29" s="543">
        <f t="shared" si="39"/>
        <v>0.24726775956284153</v>
      </c>
      <c r="AL29" s="543">
        <f t="shared" si="40"/>
        <v>0.1694444449852007</v>
      </c>
      <c r="AM29" s="577" t="s">
        <v>1515</v>
      </c>
      <c r="AN29" s="547">
        <v>0.25</v>
      </c>
      <c r="AO29" s="544" t="str">
        <f t="shared" si="41"/>
        <v xml:space="preserve">Tramitar oportunamente las solicitudes de devoluciones de aportes radicadas por afiliados a los regímenes exceptuados y especiales con ingresos adicionales. </v>
      </c>
      <c r="AP29" s="608">
        <f t="shared" si="33"/>
        <v>15410517</v>
      </c>
      <c r="AQ29" s="155"/>
      <c r="AR29" s="155"/>
      <c r="AS29" s="543">
        <f t="shared" si="42"/>
        <v>0</v>
      </c>
      <c r="AT29" s="543">
        <f t="shared" si="43"/>
        <v>0</v>
      </c>
      <c r="AU29" s="543">
        <f t="shared" si="44"/>
        <v>0.24726775956284153</v>
      </c>
      <c r="AV29" s="543">
        <f t="shared" si="45"/>
        <v>0.1694444449852007</v>
      </c>
      <c r="AW29" s="543"/>
      <c r="AX29" s="547">
        <v>0.25</v>
      </c>
      <c r="AY29" s="544" t="str">
        <f t="shared" si="46"/>
        <v xml:space="preserve">Tramitar oportunamente las solicitudes de devoluciones de aportes radicadas por afiliados a los regímenes exceptuados y especiales con ingresos adicionales. </v>
      </c>
      <c r="AZ29" s="608">
        <f t="shared" si="34"/>
        <v>15410517</v>
      </c>
      <c r="BA29" s="155"/>
      <c r="BB29" s="155"/>
      <c r="BC29" s="543">
        <f t="shared" si="47"/>
        <v>0</v>
      </c>
      <c r="BD29" s="543">
        <f t="shared" si="48"/>
        <v>0</v>
      </c>
      <c r="BE29" s="543">
        <f t="shared" si="49"/>
        <v>0.24726775956284153</v>
      </c>
      <c r="BF29" s="543">
        <f t="shared" si="50"/>
        <v>0.1694444449852007</v>
      </c>
      <c r="BG29" s="543"/>
      <c r="BH29" s="547">
        <v>0.25</v>
      </c>
      <c r="BI29" s="544" t="str">
        <f t="shared" si="51"/>
        <v xml:space="preserve">Tramitar oportunamente las solicitudes de devoluciones de aportes radicadas por afiliados a los regímenes exceptuados y especiales con ingresos adicionales. </v>
      </c>
      <c r="BJ29" s="608">
        <f t="shared" si="35"/>
        <v>15410517</v>
      </c>
      <c r="BK29" s="155"/>
      <c r="BL29" s="155"/>
      <c r="BM29" s="547">
        <f t="shared" si="52"/>
        <v>0</v>
      </c>
      <c r="BN29" s="547">
        <f t="shared" si="53"/>
        <v>0</v>
      </c>
      <c r="BO29" s="547">
        <f t="shared" si="54"/>
        <v>0.24726775956284153</v>
      </c>
      <c r="BP29" s="547">
        <f t="shared" si="55"/>
        <v>0.1694444449852007</v>
      </c>
      <c r="BQ29" s="547"/>
      <c r="BR29" s="546">
        <f t="shared" si="56"/>
        <v>0.98907103825136611</v>
      </c>
      <c r="BS29" s="546">
        <f t="shared" si="57"/>
        <v>0.67777777994080279</v>
      </c>
      <c r="BT29" s="546">
        <f t="shared" si="58"/>
        <v>0</v>
      </c>
      <c r="BU29" s="546">
        <f t="shared" si="59"/>
        <v>0</v>
      </c>
      <c r="BV29" s="546">
        <f t="shared" si="60"/>
        <v>0</v>
      </c>
      <c r="BW29" s="546">
        <f t="shared" si="61"/>
        <v>0</v>
      </c>
      <c r="BX29" s="546">
        <f t="shared" si="62"/>
        <v>0</v>
      </c>
      <c r="BY29" s="546">
        <f t="shared" si="63"/>
        <v>0</v>
      </c>
      <c r="BZ29" s="181">
        <f t="shared" si="0"/>
        <v>0</v>
      </c>
    </row>
    <row r="30" spans="1:78" s="75" customFormat="1" ht="102" x14ac:dyDescent="0.2">
      <c r="A30" s="541">
        <v>11400</v>
      </c>
      <c r="B30" s="544" t="s">
        <v>12</v>
      </c>
      <c r="C30" s="544" t="s">
        <v>332</v>
      </c>
      <c r="D30" s="145" t="s">
        <v>1108</v>
      </c>
      <c r="E30" s="145"/>
      <c r="F30" s="541" t="s">
        <v>65</v>
      </c>
      <c r="G30" s="544" t="s">
        <v>346</v>
      </c>
      <c r="H30" s="541" t="s">
        <v>66</v>
      </c>
      <c r="I30" s="544" t="s">
        <v>342</v>
      </c>
      <c r="J30" s="541" t="s">
        <v>1058</v>
      </c>
      <c r="K30" s="544" t="s">
        <v>393</v>
      </c>
      <c r="L30" s="554" t="s">
        <v>394</v>
      </c>
      <c r="M30" s="66">
        <v>12</v>
      </c>
      <c r="N30" s="541" t="s">
        <v>1066</v>
      </c>
      <c r="O30" s="544" t="s">
        <v>392</v>
      </c>
      <c r="P30" s="542">
        <v>0</v>
      </c>
      <c r="Q30" s="545">
        <v>1</v>
      </c>
      <c r="R30" s="544" t="s">
        <v>17</v>
      </c>
      <c r="S30" s="544" t="s">
        <v>297</v>
      </c>
      <c r="T30" s="544" t="s">
        <v>674</v>
      </c>
      <c r="U30" s="544" t="s">
        <v>677</v>
      </c>
      <c r="V30" s="544" t="s">
        <v>79</v>
      </c>
      <c r="W30" s="544" t="s">
        <v>1390</v>
      </c>
      <c r="X30" s="544" t="s">
        <v>397</v>
      </c>
      <c r="Y30" s="544" t="s">
        <v>206</v>
      </c>
      <c r="Z30" s="66">
        <v>12</v>
      </c>
      <c r="AA30" s="76" t="str">
        <f t="shared" si="64"/>
        <v>Ejecutar los procesos de liquidación y reconocimiento de la UPC de los afiliados al régimen subsidiado.</v>
      </c>
      <c r="AB30" s="77">
        <f t="shared" ref="AB30:AB36" si="65">+P30</f>
        <v>0</v>
      </c>
      <c r="AC30" s="548" t="s">
        <v>48</v>
      </c>
      <c r="AD30" s="66">
        <v>3</v>
      </c>
      <c r="AE30" s="544" t="str">
        <f t="shared" si="36"/>
        <v>Ejecutar los procesos de liquidación y reconocimiento de la UPC de los afiliados al régimen subsidiado.</v>
      </c>
      <c r="AF30" s="542">
        <v>0</v>
      </c>
      <c r="AG30" s="602">
        <v>3</v>
      </c>
      <c r="AH30" s="608">
        <v>0</v>
      </c>
      <c r="AI30" s="543">
        <f t="shared" si="37"/>
        <v>1</v>
      </c>
      <c r="AJ30" s="543" t="e">
        <f t="shared" si="38"/>
        <v>#DIV/0!</v>
      </c>
      <c r="AK30" s="543">
        <f t="shared" si="39"/>
        <v>0.25</v>
      </c>
      <c r="AL30" s="543" t="e">
        <f t="shared" si="40"/>
        <v>#DIV/0!</v>
      </c>
      <c r="AM30" s="624" t="s">
        <v>1516</v>
      </c>
      <c r="AN30" s="66">
        <v>3</v>
      </c>
      <c r="AO30" s="544" t="str">
        <f t="shared" si="41"/>
        <v>Ejecutar los procesos de liquidación y reconocimiento de la UPC de los afiliados al régimen subsidiado.</v>
      </c>
      <c r="AP30" s="542">
        <v>0</v>
      </c>
      <c r="AQ30" s="155"/>
      <c r="AR30" s="155"/>
      <c r="AS30" s="543">
        <f t="shared" si="42"/>
        <v>0</v>
      </c>
      <c r="AT30" s="543" t="e">
        <f t="shared" si="43"/>
        <v>#DIV/0!</v>
      </c>
      <c r="AU30" s="543">
        <f t="shared" si="44"/>
        <v>0.25</v>
      </c>
      <c r="AV30" s="543" t="e">
        <f t="shared" si="45"/>
        <v>#DIV/0!</v>
      </c>
      <c r="AW30" s="543"/>
      <c r="AX30" s="66">
        <v>3</v>
      </c>
      <c r="AY30" s="544" t="str">
        <f t="shared" si="46"/>
        <v>Ejecutar los procesos de liquidación y reconocimiento de la UPC de los afiliados al régimen subsidiado.</v>
      </c>
      <c r="AZ30" s="542">
        <v>0</v>
      </c>
      <c r="BA30" s="155"/>
      <c r="BB30" s="155"/>
      <c r="BC30" s="543">
        <f t="shared" si="47"/>
        <v>0</v>
      </c>
      <c r="BD30" s="543" t="e">
        <f t="shared" si="48"/>
        <v>#DIV/0!</v>
      </c>
      <c r="BE30" s="543">
        <f t="shared" si="49"/>
        <v>0.25</v>
      </c>
      <c r="BF30" s="543" t="e">
        <f t="shared" si="50"/>
        <v>#DIV/0!</v>
      </c>
      <c r="BG30" s="543"/>
      <c r="BH30" s="66">
        <v>3</v>
      </c>
      <c r="BI30" s="544" t="str">
        <f t="shared" si="51"/>
        <v>Ejecutar los procesos de liquidación y reconocimiento de la UPC de los afiliados al régimen subsidiado.</v>
      </c>
      <c r="BJ30" s="542">
        <v>0</v>
      </c>
      <c r="BK30" s="155"/>
      <c r="BL30" s="155"/>
      <c r="BM30" s="547">
        <f t="shared" si="52"/>
        <v>0</v>
      </c>
      <c r="BN30" s="547" t="e">
        <f t="shared" si="53"/>
        <v>#DIV/0!</v>
      </c>
      <c r="BO30" s="547">
        <f t="shared" si="54"/>
        <v>0.25</v>
      </c>
      <c r="BP30" s="547" t="e">
        <f t="shared" si="55"/>
        <v>#DIV/0!</v>
      </c>
      <c r="BQ30" s="547"/>
      <c r="BR30" s="546">
        <f t="shared" si="56"/>
        <v>1</v>
      </c>
      <c r="BS30" s="546" t="str">
        <f t="shared" si="57"/>
        <v>No Prog ni Ejec</v>
      </c>
      <c r="BT30" s="546">
        <f t="shared" si="58"/>
        <v>0</v>
      </c>
      <c r="BU30" s="546" t="str">
        <f t="shared" si="59"/>
        <v>No Prog ni Ejec</v>
      </c>
      <c r="BV30" s="546">
        <f t="shared" si="60"/>
        <v>0</v>
      </c>
      <c r="BW30" s="546" t="str">
        <f t="shared" si="61"/>
        <v>No Prog ni Ejec</v>
      </c>
      <c r="BX30" s="546">
        <f t="shared" si="62"/>
        <v>0</v>
      </c>
      <c r="BY30" s="546" t="str">
        <f t="shared" si="63"/>
        <v>No Prog ni Ejec</v>
      </c>
      <c r="BZ30" s="181">
        <f t="shared" si="0"/>
        <v>0</v>
      </c>
    </row>
    <row r="31" spans="1:78" s="75" customFormat="1" ht="102" x14ac:dyDescent="0.2">
      <c r="A31" s="541">
        <v>11400</v>
      </c>
      <c r="B31" s="544" t="s">
        <v>12</v>
      </c>
      <c r="C31" s="544" t="s">
        <v>332</v>
      </c>
      <c r="D31" s="145" t="s">
        <v>1108</v>
      </c>
      <c r="E31" s="145"/>
      <c r="F31" s="541" t="s">
        <v>65</v>
      </c>
      <c r="G31" s="544" t="s">
        <v>346</v>
      </c>
      <c r="H31" s="541" t="s">
        <v>66</v>
      </c>
      <c r="I31" s="544" t="s">
        <v>342</v>
      </c>
      <c r="J31" s="541" t="s">
        <v>1059</v>
      </c>
      <c r="K31" s="544" t="s">
        <v>396</v>
      </c>
      <c r="L31" s="554" t="s">
        <v>394</v>
      </c>
      <c r="M31" s="66">
        <v>12</v>
      </c>
      <c r="N31" s="541" t="s">
        <v>1067</v>
      </c>
      <c r="O31" s="544" t="s">
        <v>395</v>
      </c>
      <c r="P31" s="542">
        <v>0</v>
      </c>
      <c r="Q31" s="545">
        <v>1</v>
      </c>
      <c r="R31" s="544" t="s">
        <v>17</v>
      </c>
      <c r="S31" s="544" t="s">
        <v>297</v>
      </c>
      <c r="T31" s="544" t="s">
        <v>674</v>
      </c>
      <c r="U31" s="544" t="s">
        <v>677</v>
      </c>
      <c r="V31" s="544" t="s">
        <v>75</v>
      </c>
      <c r="W31" s="544" t="s">
        <v>1391</v>
      </c>
      <c r="X31" s="544" t="s">
        <v>422</v>
      </c>
      <c r="Y31" s="544" t="s">
        <v>206</v>
      </c>
      <c r="Z31" s="66">
        <v>12</v>
      </c>
      <c r="AA31" s="76" t="str">
        <f t="shared" si="64"/>
        <v xml:space="preserve">Ejecutar los procesos de liquidación y reconocimiento de licencias de maternidad y paternidad. </v>
      </c>
      <c r="AB31" s="77">
        <f t="shared" si="65"/>
        <v>0</v>
      </c>
      <c r="AC31" s="548" t="s">
        <v>48</v>
      </c>
      <c r="AD31" s="66">
        <v>3</v>
      </c>
      <c r="AE31" s="544" t="str">
        <f t="shared" si="36"/>
        <v xml:space="preserve">Ejecutar los procesos de liquidación y reconocimiento de licencias de maternidad y paternidad. </v>
      </c>
      <c r="AF31" s="542">
        <v>0</v>
      </c>
      <c r="AG31" s="602">
        <v>3</v>
      </c>
      <c r="AH31" s="608">
        <v>0</v>
      </c>
      <c r="AI31" s="543">
        <f t="shared" si="37"/>
        <v>1</v>
      </c>
      <c r="AJ31" s="543" t="e">
        <f t="shared" si="38"/>
        <v>#DIV/0!</v>
      </c>
      <c r="AK31" s="543">
        <f t="shared" si="39"/>
        <v>0.25</v>
      </c>
      <c r="AL31" s="543" t="e">
        <f t="shared" si="40"/>
        <v>#DIV/0!</v>
      </c>
      <c r="AM31" s="577" t="s">
        <v>1517</v>
      </c>
      <c r="AN31" s="66">
        <v>3</v>
      </c>
      <c r="AO31" s="544" t="str">
        <f t="shared" si="41"/>
        <v xml:space="preserve">Ejecutar los procesos de liquidación y reconocimiento de licencias de maternidad y paternidad. </v>
      </c>
      <c r="AP31" s="542">
        <v>0</v>
      </c>
      <c r="AQ31" s="155"/>
      <c r="AR31" s="155"/>
      <c r="AS31" s="543">
        <f t="shared" si="42"/>
        <v>0</v>
      </c>
      <c r="AT31" s="543" t="e">
        <f t="shared" si="43"/>
        <v>#DIV/0!</v>
      </c>
      <c r="AU31" s="543">
        <f t="shared" si="44"/>
        <v>0.25</v>
      </c>
      <c r="AV31" s="543" t="e">
        <f t="shared" si="45"/>
        <v>#DIV/0!</v>
      </c>
      <c r="AW31" s="543"/>
      <c r="AX31" s="66">
        <v>3</v>
      </c>
      <c r="AY31" s="544" t="str">
        <f t="shared" si="46"/>
        <v xml:space="preserve">Ejecutar los procesos de liquidación y reconocimiento de licencias de maternidad y paternidad. </v>
      </c>
      <c r="AZ31" s="542">
        <v>0</v>
      </c>
      <c r="BA31" s="155"/>
      <c r="BB31" s="155"/>
      <c r="BC31" s="543">
        <f t="shared" si="47"/>
        <v>0</v>
      </c>
      <c r="BD31" s="543" t="e">
        <f t="shared" si="48"/>
        <v>#DIV/0!</v>
      </c>
      <c r="BE31" s="543">
        <f t="shared" si="49"/>
        <v>0.25</v>
      </c>
      <c r="BF31" s="543" t="e">
        <f t="shared" si="50"/>
        <v>#DIV/0!</v>
      </c>
      <c r="BG31" s="543"/>
      <c r="BH31" s="66">
        <v>3</v>
      </c>
      <c r="BI31" s="544" t="str">
        <f t="shared" si="51"/>
        <v xml:space="preserve">Ejecutar los procesos de liquidación y reconocimiento de licencias de maternidad y paternidad. </v>
      </c>
      <c r="BJ31" s="542">
        <v>0</v>
      </c>
      <c r="BK31" s="155"/>
      <c r="BL31" s="155"/>
      <c r="BM31" s="547">
        <f t="shared" si="52"/>
        <v>0</v>
      </c>
      <c r="BN31" s="547" t="e">
        <f t="shared" si="53"/>
        <v>#DIV/0!</v>
      </c>
      <c r="BO31" s="547">
        <f t="shared" si="54"/>
        <v>0.25</v>
      </c>
      <c r="BP31" s="547" t="e">
        <f t="shared" si="55"/>
        <v>#DIV/0!</v>
      </c>
      <c r="BQ31" s="547"/>
      <c r="BR31" s="546">
        <f t="shared" si="56"/>
        <v>1</v>
      </c>
      <c r="BS31" s="546" t="str">
        <f t="shared" si="57"/>
        <v>No Prog ni Ejec</v>
      </c>
      <c r="BT31" s="546">
        <f t="shared" si="58"/>
        <v>0</v>
      </c>
      <c r="BU31" s="546" t="str">
        <f t="shared" si="59"/>
        <v>No Prog ni Ejec</v>
      </c>
      <c r="BV31" s="546">
        <f t="shared" si="60"/>
        <v>0</v>
      </c>
      <c r="BW31" s="546" t="str">
        <f t="shared" si="61"/>
        <v>No Prog ni Ejec</v>
      </c>
      <c r="BX31" s="546">
        <f t="shared" si="62"/>
        <v>0</v>
      </c>
      <c r="BY31" s="546" t="str">
        <f t="shared" si="63"/>
        <v>No Prog ni Ejec</v>
      </c>
      <c r="BZ31" s="181">
        <f t="shared" si="0"/>
        <v>0</v>
      </c>
    </row>
    <row r="32" spans="1:78" s="75" customFormat="1" ht="102" x14ac:dyDescent="0.2">
      <c r="A32" s="541">
        <v>11400</v>
      </c>
      <c r="B32" s="544" t="s">
        <v>12</v>
      </c>
      <c r="C32" s="544" t="s">
        <v>332</v>
      </c>
      <c r="D32" s="145" t="s">
        <v>1108</v>
      </c>
      <c r="E32" s="145"/>
      <c r="F32" s="541" t="s">
        <v>65</v>
      </c>
      <c r="G32" s="544" t="s">
        <v>346</v>
      </c>
      <c r="H32" s="541" t="s">
        <v>66</v>
      </c>
      <c r="I32" s="544" t="s">
        <v>342</v>
      </c>
      <c r="J32" s="541" t="s">
        <v>1060</v>
      </c>
      <c r="K32" s="544" t="s">
        <v>399</v>
      </c>
      <c r="L32" s="554" t="s">
        <v>394</v>
      </c>
      <c r="M32" s="66">
        <v>6</v>
      </c>
      <c r="N32" s="541" t="s">
        <v>1068</v>
      </c>
      <c r="O32" s="544" t="s">
        <v>398</v>
      </c>
      <c r="P32" s="542">
        <v>0</v>
      </c>
      <c r="Q32" s="545">
        <v>1</v>
      </c>
      <c r="R32" s="544" t="s">
        <v>17</v>
      </c>
      <c r="S32" s="544" t="s">
        <v>297</v>
      </c>
      <c r="T32" s="544" t="s">
        <v>674</v>
      </c>
      <c r="U32" s="544" t="s">
        <v>677</v>
      </c>
      <c r="V32" s="544" t="s">
        <v>75</v>
      </c>
      <c r="W32" s="544" t="s">
        <v>206</v>
      </c>
      <c r="X32" s="544" t="s">
        <v>400</v>
      </c>
      <c r="Y32" s="544" t="s">
        <v>206</v>
      </c>
      <c r="Z32" s="66">
        <v>6</v>
      </c>
      <c r="AA32" s="76" t="str">
        <f t="shared" si="64"/>
        <v xml:space="preserve">Desarrollar auditorías a los procesos de liquidación y reconocimiento de UPC de los afiliados al régimen contributivo y subsidiado. </v>
      </c>
      <c r="AB32" s="77">
        <f t="shared" si="65"/>
        <v>0</v>
      </c>
      <c r="AC32" s="548" t="s">
        <v>48</v>
      </c>
      <c r="AD32" s="66">
        <v>0</v>
      </c>
      <c r="AE32" s="544" t="str">
        <f t="shared" si="36"/>
        <v xml:space="preserve">Desarrollar auditorías a los procesos de liquidación y reconocimiento de UPC de los afiliados al régimen contributivo y subsidiado. </v>
      </c>
      <c r="AF32" s="542">
        <v>0</v>
      </c>
      <c r="AG32" s="602">
        <v>0</v>
      </c>
      <c r="AH32" s="608">
        <v>0</v>
      </c>
      <c r="AI32" s="543" t="e">
        <f>+(AG32/AD32)</f>
        <v>#DIV/0!</v>
      </c>
      <c r="AJ32" s="543" t="e">
        <f t="shared" si="38"/>
        <v>#DIV/0!</v>
      </c>
      <c r="AK32" s="543">
        <f t="shared" si="39"/>
        <v>0</v>
      </c>
      <c r="AL32" s="543" t="e">
        <f t="shared" si="40"/>
        <v>#DIV/0!</v>
      </c>
      <c r="AM32" s="577" t="s">
        <v>1518</v>
      </c>
      <c r="AN32" s="66">
        <v>2</v>
      </c>
      <c r="AO32" s="544" t="str">
        <f t="shared" si="41"/>
        <v xml:space="preserve">Desarrollar auditorías a los procesos de liquidación y reconocimiento de UPC de los afiliados al régimen contributivo y subsidiado. </v>
      </c>
      <c r="AP32" s="542">
        <v>0</v>
      </c>
      <c r="AQ32" s="155"/>
      <c r="AR32" s="155"/>
      <c r="AS32" s="543">
        <f t="shared" si="42"/>
        <v>0</v>
      </c>
      <c r="AT32" s="543" t="e">
        <f t="shared" si="43"/>
        <v>#DIV/0!</v>
      </c>
      <c r="AU32" s="543">
        <f t="shared" si="44"/>
        <v>0</v>
      </c>
      <c r="AV32" s="543" t="e">
        <f t="shared" si="45"/>
        <v>#DIV/0!</v>
      </c>
      <c r="AW32" s="543"/>
      <c r="AX32" s="66">
        <v>2</v>
      </c>
      <c r="AY32" s="544" t="str">
        <f t="shared" si="46"/>
        <v xml:space="preserve">Desarrollar auditorías a los procesos de liquidación y reconocimiento de UPC de los afiliados al régimen contributivo y subsidiado. </v>
      </c>
      <c r="AZ32" s="542">
        <v>0</v>
      </c>
      <c r="BA32" s="155"/>
      <c r="BB32" s="155"/>
      <c r="BC32" s="543">
        <f t="shared" si="47"/>
        <v>0</v>
      </c>
      <c r="BD32" s="543" t="e">
        <f t="shared" si="48"/>
        <v>#DIV/0!</v>
      </c>
      <c r="BE32" s="543">
        <f t="shared" si="49"/>
        <v>0</v>
      </c>
      <c r="BF32" s="543" t="e">
        <f t="shared" si="50"/>
        <v>#DIV/0!</v>
      </c>
      <c r="BG32" s="543"/>
      <c r="BH32" s="66">
        <v>2</v>
      </c>
      <c r="BI32" s="544" t="str">
        <f t="shared" si="51"/>
        <v xml:space="preserve">Desarrollar auditorías a los procesos de liquidación y reconocimiento de UPC de los afiliados al régimen contributivo y subsidiado. </v>
      </c>
      <c r="BJ32" s="542">
        <v>0</v>
      </c>
      <c r="BK32" s="155"/>
      <c r="BL32" s="155"/>
      <c r="BM32" s="547">
        <f t="shared" si="52"/>
        <v>0</v>
      </c>
      <c r="BN32" s="547" t="e">
        <f t="shared" si="53"/>
        <v>#DIV/0!</v>
      </c>
      <c r="BO32" s="547">
        <f t="shared" si="54"/>
        <v>0</v>
      </c>
      <c r="BP32" s="547" t="e">
        <f t="shared" si="55"/>
        <v>#DIV/0!</v>
      </c>
      <c r="BQ32" s="547"/>
      <c r="BR32" s="546" t="str">
        <f t="shared" si="56"/>
        <v>No Prog ni Ejec</v>
      </c>
      <c r="BS32" s="546" t="str">
        <f t="shared" si="57"/>
        <v>No Prog ni Ejec</v>
      </c>
      <c r="BT32" s="546">
        <f t="shared" si="58"/>
        <v>0</v>
      </c>
      <c r="BU32" s="546" t="str">
        <f t="shared" si="59"/>
        <v>No Prog ni Ejec</v>
      </c>
      <c r="BV32" s="546">
        <f t="shared" si="60"/>
        <v>0</v>
      </c>
      <c r="BW32" s="546" t="str">
        <f t="shared" si="61"/>
        <v>No Prog ni Ejec</v>
      </c>
      <c r="BX32" s="546">
        <f t="shared" si="62"/>
        <v>0</v>
      </c>
      <c r="BY32" s="546" t="str">
        <f t="shared" si="63"/>
        <v>No Prog ni Ejec</v>
      </c>
      <c r="BZ32" s="181">
        <f t="shared" si="0"/>
        <v>0</v>
      </c>
    </row>
    <row r="33" spans="1:78" s="86" customFormat="1" ht="140.25" customHeight="1" x14ac:dyDescent="0.2">
      <c r="A33" s="541">
        <v>11400</v>
      </c>
      <c r="B33" s="559" t="s">
        <v>12</v>
      </c>
      <c r="C33" s="559" t="s">
        <v>332</v>
      </c>
      <c r="D33" s="216" t="s">
        <v>1108</v>
      </c>
      <c r="E33" s="216"/>
      <c r="F33" s="541" t="s">
        <v>65</v>
      </c>
      <c r="G33" s="559" t="s">
        <v>406</v>
      </c>
      <c r="H33" s="541" t="s">
        <v>67</v>
      </c>
      <c r="I33" s="559" t="s">
        <v>345</v>
      </c>
      <c r="J33" s="78" t="s">
        <v>1052</v>
      </c>
      <c r="K33" s="559" t="s">
        <v>1150</v>
      </c>
      <c r="L33" s="60" t="s">
        <v>394</v>
      </c>
      <c r="M33" s="79">
        <v>8</v>
      </c>
      <c r="N33" s="541" t="s">
        <v>115</v>
      </c>
      <c r="O33" s="559" t="s">
        <v>407</v>
      </c>
      <c r="P33" s="558">
        <v>0</v>
      </c>
      <c r="Q33" s="545">
        <v>1</v>
      </c>
      <c r="R33" s="559" t="s">
        <v>296</v>
      </c>
      <c r="S33" s="559" t="s">
        <v>310</v>
      </c>
      <c r="T33" s="559" t="s">
        <v>673</v>
      </c>
      <c r="U33" s="559" t="s">
        <v>675</v>
      </c>
      <c r="V33" s="544" t="s">
        <v>1140</v>
      </c>
      <c r="W33" s="544" t="s">
        <v>1388</v>
      </c>
      <c r="X33" s="559" t="s">
        <v>1151</v>
      </c>
      <c r="Y33" s="544" t="s">
        <v>206</v>
      </c>
      <c r="Z33" s="79">
        <v>8</v>
      </c>
      <c r="AA33" s="81" t="str">
        <f t="shared" si="64"/>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B33" s="82">
        <f t="shared" si="65"/>
        <v>0</v>
      </c>
      <c r="AC33" s="560" t="s">
        <v>48</v>
      </c>
      <c r="AD33" s="79">
        <v>2</v>
      </c>
      <c r="AE33" s="559" t="str">
        <f t="shared" si="36"/>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F33" s="558">
        <v>0</v>
      </c>
      <c r="AG33" s="156">
        <v>2</v>
      </c>
      <c r="AH33" s="610">
        <v>0</v>
      </c>
      <c r="AI33" s="85">
        <f t="shared" si="37"/>
        <v>1</v>
      </c>
      <c r="AJ33" s="85" t="e">
        <f t="shared" si="38"/>
        <v>#DIV/0!</v>
      </c>
      <c r="AK33" s="85">
        <f t="shared" si="39"/>
        <v>0.25</v>
      </c>
      <c r="AL33" s="85" t="e">
        <f t="shared" si="40"/>
        <v>#DIV/0!</v>
      </c>
      <c r="AM33" s="625" t="s">
        <v>1566</v>
      </c>
      <c r="AN33" s="79">
        <v>2</v>
      </c>
      <c r="AO33" s="559" t="str">
        <f t="shared" si="41"/>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P33" s="558">
        <v>0</v>
      </c>
      <c r="AQ33" s="156"/>
      <c r="AR33" s="156"/>
      <c r="AS33" s="85">
        <f t="shared" si="42"/>
        <v>0</v>
      </c>
      <c r="AT33" s="85" t="e">
        <f t="shared" si="43"/>
        <v>#DIV/0!</v>
      </c>
      <c r="AU33" s="85">
        <f t="shared" si="44"/>
        <v>0.25</v>
      </c>
      <c r="AV33" s="85" t="e">
        <f t="shared" si="45"/>
        <v>#DIV/0!</v>
      </c>
      <c r="AW33" s="85"/>
      <c r="AX33" s="79">
        <v>2</v>
      </c>
      <c r="AY33" s="559" t="str">
        <f t="shared" si="46"/>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Z33" s="558">
        <v>0</v>
      </c>
      <c r="BA33" s="156"/>
      <c r="BB33" s="156"/>
      <c r="BC33" s="85">
        <f t="shared" si="47"/>
        <v>0</v>
      </c>
      <c r="BD33" s="85" t="e">
        <f t="shared" si="48"/>
        <v>#DIV/0!</v>
      </c>
      <c r="BE33" s="85">
        <f t="shared" si="49"/>
        <v>0.25</v>
      </c>
      <c r="BF33" s="85" t="e">
        <f t="shared" si="50"/>
        <v>#DIV/0!</v>
      </c>
      <c r="BG33" s="85"/>
      <c r="BH33" s="79">
        <v>2</v>
      </c>
      <c r="BI33" s="559" t="str">
        <f t="shared" si="51"/>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BJ33" s="558">
        <v>0</v>
      </c>
      <c r="BK33" s="156"/>
      <c r="BL33" s="156"/>
      <c r="BM33" s="561">
        <f t="shared" si="52"/>
        <v>0</v>
      </c>
      <c r="BN33" s="561" t="e">
        <f t="shared" si="53"/>
        <v>#DIV/0!</v>
      </c>
      <c r="BO33" s="561">
        <f t="shared" si="54"/>
        <v>0.25</v>
      </c>
      <c r="BP33" s="561" t="e">
        <f t="shared" si="55"/>
        <v>#DIV/0!</v>
      </c>
      <c r="BQ33" s="561"/>
      <c r="BR33" s="184">
        <f t="shared" si="56"/>
        <v>1</v>
      </c>
      <c r="BS33" s="184" t="str">
        <f t="shared" si="57"/>
        <v>No Prog ni Ejec</v>
      </c>
      <c r="BT33" s="184">
        <f t="shared" si="58"/>
        <v>0</v>
      </c>
      <c r="BU33" s="184" t="str">
        <f t="shared" si="59"/>
        <v>No Prog ni Ejec</v>
      </c>
      <c r="BV33" s="184">
        <f t="shared" si="60"/>
        <v>0</v>
      </c>
      <c r="BW33" s="184" t="str">
        <f t="shared" si="61"/>
        <v>No Prog ni Ejec</v>
      </c>
      <c r="BX33" s="184">
        <f t="shared" si="62"/>
        <v>0</v>
      </c>
      <c r="BY33" s="184" t="str">
        <f t="shared" si="63"/>
        <v>No Prog ni Ejec</v>
      </c>
      <c r="BZ33" s="181">
        <f t="shared" si="0"/>
        <v>0</v>
      </c>
    </row>
    <row r="34" spans="1:78" s="86" customFormat="1" ht="140.25" customHeight="1" x14ac:dyDescent="0.2">
      <c r="A34" s="78">
        <v>11900</v>
      </c>
      <c r="B34" s="559" t="s">
        <v>125</v>
      </c>
      <c r="C34" s="559" t="s">
        <v>332</v>
      </c>
      <c r="D34" s="216" t="s">
        <v>1108</v>
      </c>
      <c r="E34" s="216"/>
      <c r="F34" s="78" t="s">
        <v>126</v>
      </c>
      <c r="G34" s="559" t="s">
        <v>60</v>
      </c>
      <c r="H34" s="151" t="s">
        <v>128</v>
      </c>
      <c r="I34" s="559" t="s">
        <v>344</v>
      </c>
      <c r="J34" s="78" t="s">
        <v>693</v>
      </c>
      <c r="K34" s="559" t="s">
        <v>487</v>
      </c>
      <c r="L34" s="60" t="s">
        <v>394</v>
      </c>
      <c r="M34" s="79">
        <v>2</v>
      </c>
      <c r="N34" s="78" t="s">
        <v>150</v>
      </c>
      <c r="O34" s="559" t="s">
        <v>486</v>
      </c>
      <c r="P34" s="558">
        <v>0</v>
      </c>
      <c r="Q34" s="545">
        <v>1</v>
      </c>
      <c r="R34" s="559" t="s">
        <v>17</v>
      </c>
      <c r="S34" s="559" t="s">
        <v>28</v>
      </c>
      <c r="T34" s="559" t="s">
        <v>674</v>
      </c>
      <c r="U34" s="559" t="s">
        <v>677</v>
      </c>
      <c r="V34" s="544" t="s">
        <v>1132</v>
      </c>
      <c r="W34" s="544" t="s">
        <v>1379</v>
      </c>
      <c r="X34" s="559" t="s">
        <v>488</v>
      </c>
      <c r="Y34" s="544" t="s">
        <v>206</v>
      </c>
      <c r="Z34" s="79">
        <v>2</v>
      </c>
      <c r="AA34" s="81" t="str">
        <f t="shared" si="64"/>
        <v>Adelantar acercamientos con altos organismos de rama judicial con el objeto de reducir el volumen de tutelas que recibe la entidad</v>
      </c>
      <c r="AB34" s="82">
        <f t="shared" si="65"/>
        <v>0</v>
      </c>
      <c r="AC34" s="560" t="s">
        <v>48</v>
      </c>
      <c r="AD34" s="79">
        <v>0</v>
      </c>
      <c r="AE34" s="559" t="str">
        <f t="shared" si="36"/>
        <v>Adelantar acercamientos con altos organismos de rama judicial con el objeto de reducir el volumen de tutelas que recibe la entidad</v>
      </c>
      <c r="AF34" s="558">
        <v>0</v>
      </c>
      <c r="AG34" s="599">
        <v>0</v>
      </c>
      <c r="AH34" s="635">
        <v>0</v>
      </c>
      <c r="AI34" s="85" t="e">
        <f t="shared" si="37"/>
        <v>#DIV/0!</v>
      </c>
      <c r="AJ34" s="85" t="e">
        <f t="shared" si="38"/>
        <v>#DIV/0!</v>
      </c>
      <c r="AK34" s="85">
        <f t="shared" si="39"/>
        <v>0</v>
      </c>
      <c r="AL34" s="85" t="e">
        <f t="shared" si="40"/>
        <v>#DIV/0!</v>
      </c>
      <c r="AM34" s="600" t="s">
        <v>1464</v>
      </c>
      <c r="AN34" s="79">
        <v>1</v>
      </c>
      <c r="AO34" s="559" t="str">
        <f t="shared" si="41"/>
        <v>Adelantar acercamientos con altos organismos de rama judicial con el objeto de reducir el volumen de tutelas que recibe la entidad</v>
      </c>
      <c r="AP34" s="558">
        <v>0</v>
      </c>
      <c r="AQ34" s="156"/>
      <c r="AR34" s="156"/>
      <c r="AS34" s="85">
        <f t="shared" si="42"/>
        <v>0</v>
      </c>
      <c r="AT34" s="85" t="e">
        <f t="shared" si="43"/>
        <v>#DIV/0!</v>
      </c>
      <c r="AU34" s="85">
        <f t="shared" si="44"/>
        <v>0</v>
      </c>
      <c r="AV34" s="85" t="e">
        <f t="shared" si="45"/>
        <v>#DIV/0!</v>
      </c>
      <c r="AW34" s="85"/>
      <c r="AX34" s="79">
        <v>0</v>
      </c>
      <c r="AY34" s="559" t="str">
        <f t="shared" si="46"/>
        <v>Adelantar acercamientos con altos organismos de rama judicial con el objeto de reducir el volumen de tutelas que recibe la entidad</v>
      </c>
      <c r="AZ34" s="558">
        <v>0</v>
      </c>
      <c r="BA34" s="156"/>
      <c r="BB34" s="156"/>
      <c r="BC34" s="85" t="e">
        <f t="shared" si="47"/>
        <v>#DIV/0!</v>
      </c>
      <c r="BD34" s="85" t="e">
        <f t="shared" si="48"/>
        <v>#DIV/0!</v>
      </c>
      <c r="BE34" s="85">
        <f t="shared" si="49"/>
        <v>0</v>
      </c>
      <c r="BF34" s="85" t="e">
        <f t="shared" si="50"/>
        <v>#DIV/0!</v>
      </c>
      <c r="BG34" s="85"/>
      <c r="BH34" s="79">
        <v>1</v>
      </c>
      <c r="BI34" s="559" t="str">
        <f t="shared" si="51"/>
        <v>Adelantar acercamientos con altos organismos de rama judicial con el objeto de reducir el volumen de tutelas que recibe la entidad</v>
      </c>
      <c r="BJ34" s="558">
        <v>0</v>
      </c>
      <c r="BK34" s="156"/>
      <c r="BL34" s="156"/>
      <c r="BM34" s="561">
        <f t="shared" si="52"/>
        <v>0</v>
      </c>
      <c r="BN34" s="561" t="e">
        <f t="shared" si="53"/>
        <v>#DIV/0!</v>
      </c>
      <c r="BO34" s="561">
        <f t="shared" si="54"/>
        <v>0</v>
      </c>
      <c r="BP34" s="561" t="e">
        <f t="shared" si="55"/>
        <v>#DIV/0!</v>
      </c>
      <c r="BQ34" s="561"/>
      <c r="BR34" s="184" t="str">
        <f t="shared" si="56"/>
        <v>No Prog ni Ejec</v>
      </c>
      <c r="BS34" s="184" t="str">
        <f t="shared" si="57"/>
        <v>No Prog ni Ejec</v>
      </c>
      <c r="BT34" s="184">
        <f t="shared" si="58"/>
        <v>0</v>
      </c>
      <c r="BU34" s="184" t="str">
        <f t="shared" si="59"/>
        <v>No Prog ni Ejec</v>
      </c>
      <c r="BV34" s="184" t="str">
        <f t="shared" si="60"/>
        <v>No Prog ni Ejec</v>
      </c>
      <c r="BW34" s="184" t="str">
        <f t="shared" si="61"/>
        <v>No Prog ni Ejec</v>
      </c>
      <c r="BX34" s="184">
        <f t="shared" si="62"/>
        <v>0</v>
      </c>
      <c r="BY34" s="184" t="str">
        <f t="shared" si="63"/>
        <v>No Prog ni Ejec</v>
      </c>
      <c r="BZ34" s="181">
        <f t="shared" si="0"/>
        <v>0</v>
      </c>
    </row>
    <row r="35" spans="1:78" s="86" customFormat="1" ht="140.25" customHeight="1" x14ac:dyDescent="0.2">
      <c r="A35" s="78">
        <v>11900</v>
      </c>
      <c r="B35" s="559" t="s">
        <v>125</v>
      </c>
      <c r="C35" s="559" t="s">
        <v>332</v>
      </c>
      <c r="D35" s="216" t="s">
        <v>1108</v>
      </c>
      <c r="E35" s="216"/>
      <c r="F35" s="78" t="s">
        <v>126</v>
      </c>
      <c r="G35" s="559" t="s">
        <v>60</v>
      </c>
      <c r="H35" s="151" t="s">
        <v>128</v>
      </c>
      <c r="I35" s="559" t="s">
        <v>344</v>
      </c>
      <c r="J35" s="78" t="s">
        <v>695</v>
      </c>
      <c r="K35" s="559" t="s">
        <v>525</v>
      </c>
      <c r="L35" s="60" t="s">
        <v>394</v>
      </c>
      <c r="M35" s="79">
        <v>1</v>
      </c>
      <c r="N35" s="78" t="s">
        <v>694</v>
      </c>
      <c r="O35" s="559" t="s">
        <v>527</v>
      </c>
      <c r="P35" s="558">
        <v>0</v>
      </c>
      <c r="Q35" s="545">
        <v>1</v>
      </c>
      <c r="R35" s="559" t="s">
        <v>18</v>
      </c>
      <c r="S35" s="559" t="s">
        <v>24</v>
      </c>
      <c r="T35" s="559" t="s">
        <v>674</v>
      </c>
      <c r="U35" s="559" t="s">
        <v>677</v>
      </c>
      <c r="V35" s="544" t="s">
        <v>1133</v>
      </c>
      <c r="W35" s="544" t="s">
        <v>206</v>
      </c>
      <c r="X35" s="559" t="s">
        <v>526</v>
      </c>
      <c r="Y35" s="544" t="s">
        <v>1388</v>
      </c>
      <c r="Z35" s="79">
        <v>1</v>
      </c>
      <c r="AA35" s="81" t="str">
        <f t="shared" si="64"/>
        <v>Estudiar el convenio 370 del 2015 suscrito con el Ministerio de Transporte  y adelantar las gestiones que correspondan para que se amplíen los criterios de acceso a la información a la plataforma del RUNT</v>
      </c>
      <c r="AB35" s="82">
        <f t="shared" si="65"/>
        <v>0</v>
      </c>
      <c r="AC35" s="560" t="s">
        <v>48</v>
      </c>
      <c r="AD35" s="79">
        <v>0</v>
      </c>
      <c r="AE35" s="559" t="str">
        <f t="shared" si="36"/>
        <v>Estudiar el convenio 370 del 2015 suscrito con el Ministerio de Transporte  y adelantar las gestiones que correspondan para que se amplíen los criterios de acceso a la información a la plataforma del RUNT</v>
      </c>
      <c r="AF35" s="558">
        <v>0</v>
      </c>
      <c r="AG35" s="599">
        <v>0</v>
      </c>
      <c r="AH35" s="635">
        <v>0</v>
      </c>
      <c r="AI35" s="85" t="e">
        <f t="shared" si="37"/>
        <v>#DIV/0!</v>
      </c>
      <c r="AJ35" s="85" t="e">
        <f t="shared" si="38"/>
        <v>#DIV/0!</v>
      </c>
      <c r="AK35" s="85">
        <f t="shared" si="39"/>
        <v>0</v>
      </c>
      <c r="AL35" s="85" t="e">
        <f t="shared" si="40"/>
        <v>#DIV/0!</v>
      </c>
      <c r="AM35" s="600" t="s">
        <v>1464</v>
      </c>
      <c r="AN35" s="79">
        <v>0</v>
      </c>
      <c r="AO35" s="559" t="str">
        <f t="shared" si="41"/>
        <v>Estudiar el convenio 370 del 2015 suscrito con el Ministerio de Transporte  y adelantar las gestiones que correspondan para que se amplíen los criterios de acceso a la información a la plataforma del RUNT</v>
      </c>
      <c r="AP35" s="558">
        <v>0</v>
      </c>
      <c r="AQ35" s="156"/>
      <c r="AR35" s="156"/>
      <c r="AS35" s="85" t="e">
        <f t="shared" si="42"/>
        <v>#DIV/0!</v>
      </c>
      <c r="AT35" s="85" t="e">
        <f t="shared" si="43"/>
        <v>#DIV/0!</v>
      </c>
      <c r="AU35" s="85">
        <f t="shared" si="44"/>
        <v>0</v>
      </c>
      <c r="AV35" s="85" t="e">
        <f t="shared" si="45"/>
        <v>#DIV/0!</v>
      </c>
      <c r="AW35" s="85"/>
      <c r="AX35" s="79">
        <v>0</v>
      </c>
      <c r="AY35" s="559" t="str">
        <f t="shared" si="46"/>
        <v>Estudiar el convenio 370 del 2015 suscrito con el Ministerio de Transporte  y adelantar las gestiones que correspondan para que se amplíen los criterios de acceso a la información a la plataforma del RUNT</v>
      </c>
      <c r="AZ35" s="558">
        <v>0</v>
      </c>
      <c r="BA35" s="156"/>
      <c r="BB35" s="156"/>
      <c r="BC35" s="85" t="e">
        <f t="shared" si="47"/>
        <v>#DIV/0!</v>
      </c>
      <c r="BD35" s="85" t="e">
        <f t="shared" si="48"/>
        <v>#DIV/0!</v>
      </c>
      <c r="BE35" s="85">
        <f t="shared" si="49"/>
        <v>0</v>
      </c>
      <c r="BF35" s="85" t="e">
        <f t="shared" si="50"/>
        <v>#DIV/0!</v>
      </c>
      <c r="BG35" s="85"/>
      <c r="BH35" s="79">
        <v>1</v>
      </c>
      <c r="BI35" s="559" t="str">
        <f t="shared" si="51"/>
        <v>Estudiar el convenio 370 del 2015 suscrito con el Ministerio de Transporte  y adelantar las gestiones que correspondan para que se amplíen los criterios de acceso a la información a la plataforma del RUNT</v>
      </c>
      <c r="BJ35" s="558">
        <v>0</v>
      </c>
      <c r="BK35" s="156"/>
      <c r="BL35" s="156"/>
      <c r="BM35" s="561">
        <f t="shared" si="52"/>
        <v>0</v>
      </c>
      <c r="BN35" s="561" t="e">
        <f t="shared" si="53"/>
        <v>#DIV/0!</v>
      </c>
      <c r="BO35" s="561">
        <f t="shared" si="54"/>
        <v>0</v>
      </c>
      <c r="BP35" s="561" t="e">
        <f t="shared" si="55"/>
        <v>#DIV/0!</v>
      </c>
      <c r="BQ35" s="561"/>
      <c r="BR35" s="184" t="str">
        <f t="shared" si="56"/>
        <v>No Prog ni Ejec</v>
      </c>
      <c r="BS35" s="184" t="str">
        <f t="shared" si="57"/>
        <v>No Prog ni Ejec</v>
      </c>
      <c r="BT35" s="184" t="str">
        <f t="shared" si="58"/>
        <v>No Prog ni Ejec</v>
      </c>
      <c r="BU35" s="184" t="str">
        <f t="shared" si="59"/>
        <v>No Prog ni Ejec</v>
      </c>
      <c r="BV35" s="184" t="str">
        <f t="shared" si="60"/>
        <v>No Prog ni Ejec</v>
      </c>
      <c r="BW35" s="184" t="str">
        <f t="shared" si="61"/>
        <v>No Prog ni Ejec</v>
      </c>
      <c r="BX35" s="184">
        <f t="shared" si="62"/>
        <v>0</v>
      </c>
      <c r="BY35" s="184" t="str">
        <f t="shared" si="63"/>
        <v>No Prog ni Ejec</v>
      </c>
      <c r="BZ35" s="181">
        <f t="shared" si="0"/>
        <v>0</v>
      </c>
    </row>
    <row r="36" spans="1:78" s="86" customFormat="1" ht="140.25" customHeight="1" x14ac:dyDescent="0.2">
      <c r="A36" s="78">
        <v>11900</v>
      </c>
      <c r="B36" s="559" t="s">
        <v>125</v>
      </c>
      <c r="C36" s="559" t="s">
        <v>332</v>
      </c>
      <c r="D36" s="216" t="s">
        <v>1108</v>
      </c>
      <c r="E36" s="216"/>
      <c r="F36" s="78" t="s">
        <v>126</v>
      </c>
      <c r="G36" s="559" t="s">
        <v>60</v>
      </c>
      <c r="H36" s="151" t="s">
        <v>128</v>
      </c>
      <c r="I36" s="559" t="s">
        <v>344</v>
      </c>
      <c r="J36" s="78" t="s">
        <v>697</v>
      </c>
      <c r="K36" s="559" t="s">
        <v>528</v>
      </c>
      <c r="L36" s="60" t="s">
        <v>394</v>
      </c>
      <c r="M36" s="79">
        <v>1</v>
      </c>
      <c r="N36" s="78" t="s">
        <v>696</v>
      </c>
      <c r="O36" s="559" t="s">
        <v>529</v>
      </c>
      <c r="P36" s="558">
        <v>0</v>
      </c>
      <c r="Q36" s="545">
        <v>1</v>
      </c>
      <c r="R36" s="559" t="s">
        <v>18</v>
      </c>
      <c r="S36" s="559" t="s">
        <v>24</v>
      </c>
      <c r="T36" s="559" t="s">
        <v>674</v>
      </c>
      <c r="U36" s="559" t="s">
        <v>677</v>
      </c>
      <c r="V36" s="544" t="s">
        <v>1133</v>
      </c>
      <c r="W36" s="544" t="s">
        <v>1388</v>
      </c>
      <c r="X36" s="559" t="s">
        <v>983</v>
      </c>
      <c r="Y36" s="544" t="s">
        <v>206</v>
      </c>
      <c r="Z36" s="79">
        <v>1</v>
      </c>
      <c r="AA36" s="81" t="str">
        <f t="shared" si="64"/>
        <v>Adelantar acercamientos con entidades del estado tales como la RNEC en aras de acceder a la informacion de los terceros deudores</v>
      </c>
      <c r="AB36" s="82">
        <f t="shared" si="65"/>
        <v>0</v>
      </c>
      <c r="AC36" s="560" t="s">
        <v>48</v>
      </c>
      <c r="AD36" s="79">
        <v>0</v>
      </c>
      <c r="AE36" s="559" t="str">
        <f t="shared" si="36"/>
        <v>Adelantar acercamientos con entidades del estado tales como la RNEC en aras de acceder a la informacion de los terceros deudores</v>
      </c>
      <c r="AF36" s="558">
        <v>0</v>
      </c>
      <c r="AG36" s="599">
        <v>0</v>
      </c>
      <c r="AH36" s="599">
        <v>0</v>
      </c>
      <c r="AI36" s="85" t="e">
        <f t="shared" si="37"/>
        <v>#DIV/0!</v>
      </c>
      <c r="AJ36" s="85" t="e">
        <f t="shared" si="38"/>
        <v>#DIV/0!</v>
      </c>
      <c r="AK36" s="85">
        <f t="shared" si="39"/>
        <v>0</v>
      </c>
      <c r="AL36" s="85" t="e">
        <f t="shared" si="40"/>
        <v>#DIV/0!</v>
      </c>
      <c r="AM36" s="600" t="s">
        <v>1464</v>
      </c>
      <c r="AN36" s="79">
        <v>0</v>
      </c>
      <c r="AO36" s="559" t="str">
        <f t="shared" si="41"/>
        <v>Adelantar acercamientos con entidades del estado tales como la RNEC en aras de acceder a la informacion de los terceros deudores</v>
      </c>
      <c r="AP36" s="558">
        <v>0</v>
      </c>
      <c r="AQ36" s="156"/>
      <c r="AR36" s="156"/>
      <c r="AS36" s="85" t="e">
        <f t="shared" si="42"/>
        <v>#DIV/0!</v>
      </c>
      <c r="AT36" s="85" t="e">
        <f t="shared" si="43"/>
        <v>#DIV/0!</v>
      </c>
      <c r="AU36" s="85">
        <f t="shared" si="44"/>
        <v>0</v>
      </c>
      <c r="AV36" s="85" t="e">
        <f t="shared" si="45"/>
        <v>#DIV/0!</v>
      </c>
      <c r="AW36" s="85"/>
      <c r="AX36" s="79">
        <v>0</v>
      </c>
      <c r="AY36" s="559" t="str">
        <f t="shared" si="46"/>
        <v>Adelantar acercamientos con entidades del estado tales como la RNEC en aras de acceder a la informacion de los terceros deudores</v>
      </c>
      <c r="AZ36" s="558">
        <v>0</v>
      </c>
      <c r="BA36" s="156"/>
      <c r="BB36" s="156"/>
      <c r="BC36" s="85" t="e">
        <f t="shared" si="47"/>
        <v>#DIV/0!</v>
      </c>
      <c r="BD36" s="85" t="e">
        <f t="shared" si="48"/>
        <v>#DIV/0!</v>
      </c>
      <c r="BE36" s="85">
        <f t="shared" si="49"/>
        <v>0</v>
      </c>
      <c r="BF36" s="85" t="e">
        <f t="shared" si="50"/>
        <v>#DIV/0!</v>
      </c>
      <c r="BG36" s="85"/>
      <c r="BH36" s="79">
        <v>1</v>
      </c>
      <c r="BI36" s="559" t="str">
        <f t="shared" si="51"/>
        <v>Adelantar acercamientos con entidades del estado tales como la RNEC en aras de acceder a la informacion de los terceros deudores</v>
      </c>
      <c r="BJ36" s="558">
        <v>0</v>
      </c>
      <c r="BK36" s="156"/>
      <c r="BL36" s="156"/>
      <c r="BM36" s="561">
        <f t="shared" si="52"/>
        <v>0</v>
      </c>
      <c r="BN36" s="561" t="e">
        <f t="shared" si="53"/>
        <v>#DIV/0!</v>
      </c>
      <c r="BO36" s="561">
        <f t="shared" si="54"/>
        <v>0</v>
      </c>
      <c r="BP36" s="561" t="e">
        <f t="shared" si="55"/>
        <v>#DIV/0!</v>
      </c>
      <c r="BQ36" s="561"/>
      <c r="BR36" s="184" t="str">
        <f t="shared" si="56"/>
        <v>No Prog ni Ejec</v>
      </c>
      <c r="BS36" s="184" t="str">
        <f t="shared" si="57"/>
        <v>No Prog ni Ejec</v>
      </c>
      <c r="BT36" s="184" t="str">
        <f t="shared" si="58"/>
        <v>No Prog ni Ejec</v>
      </c>
      <c r="BU36" s="184" t="str">
        <f t="shared" si="59"/>
        <v>No Prog ni Ejec</v>
      </c>
      <c r="BV36" s="184" t="str">
        <f t="shared" si="60"/>
        <v>No Prog ni Ejec</v>
      </c>
      <c r="BW36" s="184" t="str">
        <f t="shared" si="61"/>
        <v>No Prog ni Ejec</v>
      </c>
      <c r="BX36" s="184">
        <f t="shared" si="62"/>
        <v>0</v>
      </c>
      <c r="BY36" s="184" t="str">
        <f t="shared" si="63"/>
        <v>No Prog ni Ejec</v>
      </c>
      <c r="BZ36" s="181">
        <f t="shared" si="0"/>
        <v>0</v>
      </c>
    </row>
    <row r="37" spans="1:78" s="86" customFormat="1" ht="12.75" x14ac:dyDescent="0.2">
      <c r="C37" s="175"/>
      <c r="D37" s="175"/>
      <c r="E37" s="175"/>
      <c r="L37" s="175"/>
    </row>
    <row r="38" spans="1:78" s="86" customFormat="1" ht="12.75" x14ac:dyDescent="0.2">
      <c r="A38" s="22" t="s">
        <v>1386</v>
      </c>
      <c r="B38" s="22"/>
      <c r="C38" s="168"/>
      <c r="D38" s="168"/>
      <c r="E38" s="168"/>
      <c r="F38" s="22"/>
      <c r="G38" s="22"/>
      <c r="H38" s="22"/>
      <c r="I38" s="22"/>
      <c r="J38" s="22"/>
      <c r="K38" s="22"/>
      <c r="L38" s="168"/>
      <c r="M38" s="22"/>
      <c r="N38" s="178"/>
      <c r="O38" s="22"/>
      <c r="P38" s="179"/>
      <c r="Q38" s="22"/>
      <c r="R38" s="22"/>
      <c r="S38" s="22"/>
      <c r="T38" s="22"/>
      <c r="U38" s="22"/>
      <c r="V38" s="22"/>
      <c r="W38" s="22"/>
      <c r="X38" s="22"/>
      <c r="Y38" s="22"/>
      <c r="Z38" s="22"/>
      <c r="AA38" s="22"/>
      <c r="AB38" s="22"/>
      <c r="AC38" s="22"/>
    </row>
    <row r="39" spans="1:78" s="86" customFormat="1" ht="12.75" x14ac:dyDescent="0.2">
      <c r="A39" s="22"/>
      <c r="B39" s="22"/>
      <c r="C39" s="168"/>
      <c r="D39" s="168"/>
      <c r="E39" s="168"/>
      <c r="F39" s="22"/>
      <c r="G39" s="22"/>
      <c r="H39" s="22"/>
      <c r="I39" s="22"/>
      <c r="J39" s="22"/>
      <c r="K39" s="22"/>
      <c r="L39" s="168"/>
      <c r="M39" s="22"/>
      <c r="N39" s="22"/>
      <c r="O39" s="22"/>
      <c r="P39" s="22"/>
      <c r="Q39" s="22"/>
      <c r="R39" s="22"/>
      <c r="S39" s="22"/>
      <c r="T39" s="22"/>
      <c r="U39" s="22"/>
      <c r="V39" s="22"/>
      <c r="W39" s="22"/>
      <c r="X39" s="22"/>
      <c r="Y39" s="22"/>
      <c r="Z39" s="22"/>
      <c r="AA39" s="22"/>
      <c r="AB39" s="182"/>
      <c r="AC39" s="22"/>
    </row>
    <row r="40" spans="1:78" s="86" customFormat="1" ht="12.75" x14ac:dyDescent="0.2">
      <c r="A40" s="22"/>
      <c r="B40" s="22"/>
      <c r="C40" s="168"/>
      <c r="D40" s="168"/>
      <c r="E40" s="168"/>
      <c r="F40" s="22"/>
      <c r="G40" s="22"/>
      <c r="H40" s="22"/>
      <c r="I40" s="22"/>
      <c r="J40" s="22"/>
      <c r="K40" s="22"/>
      <c r="L40" s="168"/>
      <c r="M40" s="22"/>
      <c r="N40" s="22"/>
      <c r="O40" s="22"/>
      <c r="P40" s="22"/>
      <c r="Q40" s="22"/>
      <c r="R40" s="22"/>
      <c r="S40" s="22"/>
      <c r="T40" s="22"/>
      <c r="U40" s="22"/>
      <c r="V40" s="22"/>
      <c r="W40" s="22"/>
      <c r="X40" s="22"/>
      <c r="Y40" s="22"/>
      <c r="Z40" s="22"/>
      <c r="AA40" s="22"/>
      <c r="AB40" s="22"/>
      <c r="AC40" s="22"/>
    </row>
    <row r="41" spans="1:78" s="86" customFormat="1" ht="12.75" x14ac:dyDescent="0.2">
      <c r="A41" s="22"/>
      <c r="B41" s="22"/>
      <c r="C41" s="168"/>
      <c r="D41" s="168"/>
      <c r="E41" s="168"/>
      <c r="F41" s="22"/>
      <c r="G41" s="22"/>
      <c r="H41" s="22"/>
      <c r="I41" s="22"/>
      <c r="J41" s="22"/>
      <c r="K41" s="22"/>
      <c r="L41" s="168"/>
      <c r="M41" s="22"/>
      <c r="N41" s="22"/>
      <c r="O41" s="22"/>
      <c r="P41" s="22"/>
      <c r="Q41" s="22"/>
      <c r="R41" s="22"/>
      <c r="S41" s="22"/>
      <c r="T41" s="22"/>
      <c r="U41" s="22"/>
      <c r="V41" s="22"/>
      <c r="W41" s="22"/>
      <c r="X41" s="22"/>
      <c r="Y41" s="22"/>
      <c r="Z41" s="22"/>
      <c r="AA41" s="22"/>
      <c r="AB41" s="22"/>
      <c r="AC41" s="22"/>
    </row>
    <row r="42" spans="1:78" s="86" customFormat="1" ht="12.75" x14ac:dyDescent="0.2">
      <c r="A42" s="22"/>
      <c r="B42" s="22"/>
      <c r="C42" s="168"/>
      <c r="D42" s="168"/>
      <c r="E42" s="168"/>
      <c r="F42" s="22"/>
      <c r="G42" s="22"/>
      <c r="H42" s="22"/>
      <c r="I42" s="22"/>
      <c r="J42" s="22"/>
      <c r="K42" s="22"/>
      <c r="L42" s="168"/>
      <c r="M42" s="22"/>
      <c r="N42" s="22"/>
      <c r="O42" s="22"/>
      <c r="P42" s="22"/>
      <c r="Q42" s="22"/>
      <c r="R42" s="22"/>
      <c r="S42" s="22"/>
      <c r="T42" s="22"/>
      <c r="U42" s="22"/>
      <c r="V42" s="22"/>
      <c r="W42" s="22"/>
      <c r="X42" s="22"/>
      <c r="Y42" s="22"/>
      <c r="Z42" s="22"/>
      <c r="AA42" s="22"/>
      <c r="AB42" s="22"/>
      <c r="AC42" s="22"/>
    </row>
    <row r="43" spans="1:78" s="86" customFormat="1" ht="12.75" x14ac:dyDescent="0.2">
      <c r="A43" s="22"/>
      <c r="B43" s="22"/>
      <c r="C43" s="168"/>
      <c r="D43" s="168"/>
      <c r="E43" s="168"/>
      <c r="F43" s="22"/>
      <c r="G43" s="22"/>
      <c r="H43" s="22"/>
      <c r="I43" s="22"/>
      <c r="J43" s="22"/>
      <c r="K43" s="22"/>
      <c r="L43" s="168"/>
      <c r="M43" s="22"/>
      <c r="N43" s="22"/>
      <c r="O43" s="22"/>
      <c r="P43" s="22"/>
      <c r="Q43" s="22"/>
      <c r="R43" s="22"/>
      <c r="S43" s="22"/>
      <c r="T43" s="22"/>
      <c r="U43" s="22"/>
      <c r="V43" s="22"/>
      <c r="W43" s="22"/>
      <c r="X43" s="22"/>
      <c r="Y43" s="22"/>
      <c r="Z43" s="22"/>
      <c r="AA43" s="22"/>
      <c r="AB43" s="22"/>
      <c r="AC43" s="22"/>
    </row>
  </sheetData>
  <autoFilter ref="A8:HU36" xr:uid="{00000000-0009-0000-0000-000002000000}"/>
  <mergeCells count="186">
    <mergeCell ref="AM20:AM21"/>
    <mergeCell ref="Y7:Y8"/>
    <mergeCell ref="Z7:Z8"/>
    <mergeCell ref="H7:H8"/>
    <mergeCell ref="I7:I8"/>
    <mergeCell ref="J7:J8"/>
    <mergeCell ref="K7:K8"/>
    <mergeCell ref="L7:L8"/>
    <mergeCell ref="M7:M8"/>
    <mergeCell ref="N7:N8"/>
    <mergeCell ref="W7:W8"/>
    <mergeCell ref="X20:X21"/>
    <mergeCell ref="Q9:Q10"/>
    <mergeCell ref="R9:R10"/>
    <mergeCell ref="S9:S10"/>
    <mergeCell ref="T9:T10"/>
    <mergeCell ref="U9:U10"/>
    <mergeCell ref="T7:T8"/>
    <mergeCell ref="U7:U8"/>
    <mergeCell ref="V7:V8"/>
    <mergeCell ref="X7:X8"/>
    <mergeCell ref="W9:W10"/>
    <mergeCell ref="W14:W15"/>
    <mergeCell ref="W19:W22"/>
    <mergeCell ref="BW19:BW22"/>
    <mergeCell ref="BX20:BX21"/>
    <mergeCell ref="BY19:BY22"/>
    <mergeCell ref="BR20:BR21"/>
    <mergeCell ref="BS19:BS22"/>
    <mergeCell ref="BT20:BT21"/>
    <mergeCell ref="BU19:BU22"/>
    <mergeCell ref="BV20:BV21"/>
    <mergeCell ref="BL19:BL22"/>
    <mergeCell ref="BM20:BM21"/>
    <mergeCell ref="BN19:BN22"/>
    <mergeCell ref="BO20:BO21"/>
    <mergeCell ref="BP19:BP22"/>
    <mergeCell ref="BE20:BE21"/>
    <mergeCell ref="BF19:BF22"/>
    <mergeCell ref="BI19:BI22"/>
    <mergeCell ref="BJ19:BJ22"/>
    <mergeCell ref="BK20:BK21"/>
    <mergeCell ref="AX20:AX21"/>
    <mergeCell ref="BH20:BH21"/>
    <mergeCell ref="AH19:AH22"/>
    <mergeCell ref="AK20:AK21"/>
    <mergeCell ref="AP19:AP22"/>
    <mergeCell ref="AR19:AR22"/>
    <mergeCell ref="AS20:AS21"/>
    <mergeCell ref="AT19:AT22"/>
    <mergeCell ref="AU20:AU21"/>
    <mergeCell ref="AV19:AV22"/>
    <mergeCell ref="AY19:AY22"/>
    <mergeCell ref="AZ19:AZ22"/>
    <mergeCell ref="BA20:BA21"/>
    <mergeCell ref="BB19:BB22"/>
    <mergeCell ref="BC20:BC21"/>
    <mergeCell ref="BD19:BD22"/>
    <mergeCell ref="AQ20:AQ21"/>
    <mergeCell ref="AN20:AN21"/>
    <mergeCell ref="AJ19:AJ22"/>
    <mergeCell ref="AL19:AL22"/>
    <mergeCell ref="AO19:AO22"/>
    <mergeCell ref="AE19:AE22"/>
    <mergeCell ref="AF19:AF22"/>
    <mergeCell ref="AG20:AG21"/>
    <mergeCell ref="AI20:AI21"/>
    <mergeCell ref="BW9:BW10"/>
    <mergeCell ref="BY9:BY10"/>
    <mergeCell ref="O19:O22"/>
    <mergeCell ref="P19:P22"/>
    <mergeCell ref="Q19:Q22"/>
    <mergeCell ref="R19:R22"/>
    <mergeCell ref="S19:S22"/>
    <mergeCell ref="T19:T22"/>
    <mergeCell ref="U19:U22"/>
    <mergeCell ref="V19:V22"/>
    <mergeCell ref="Y19:Y22"/>
    <mergeCell ref="AA19:AA22"/>
    <mergeCell ref="AB19:AB22"/>
    <mergeCell ref="AD20:AD21"/>
    <mergeCell ref="BJ9:BJ10"/>
    <mergeCell ref="BN9:BN10"/>
    <mergeCell ref="BP9:BP10"/>
    <mergeCell ref="BS9:BS10"/>
    <mergeCell ref="BU9:BU10"/>
    <mergeCell ref="AY9:AY10"/>
    <mergeCell ref="AZ9:AZ10"/>
    <mergeCell ref="BD9:BD10"/>
    <mergeCell ref="BF9:BF10"/>
    <mergeCell ref="BI9:BI10"/>
    <mergeCell ref="AO9:AO10"/>
    <mergeCell ref="AP9:AP10"/>
    <mergeCell ref="AR9:AR10"/>
    <mergeCell ref="AT9:AT10"/>
    <mergeCell ref="AV9:AV10"/>
    <mergeCell ref="AE9:AE10"/>
    <mergeCell ref="AF9:AF10"/>
    <mergeCell ref="AH9:AH10"/>
    <mergeCell ref="AJ9:AJ10"/>
    <mergeCell ref="AL9:AL10"/>
    <mergeCell ref="V9:V10"/>
    <mergeCell ref="Y9:Y10"/>
    <mergeCell ref="AA9:AA10"/>
    <mergeCell ref="AB9:AB10"/>
    <mergeCell ref="BY14:BY15"/>
    <mergeCell ref="BN14:BN15"/>
    <mergeCell ref="BP14:BP15"/>
    <mergeCell ref="BS14:BS15"/>
    <mergeCell ref="BU14:BU15"/>
    <mergeCell ref="BW14:BW15"/>
    <mergeCell ref="AF14:AF15"/>
    <mergeCell ref="BD14:BD15"/>
    <mergeCell ref="AP14:AP15"/>
    <mergeCell ref="AR14:AR15"/>
    <mergeCell ref="AV14:AV15"/>
    <mergeCell ref="AY14:AY15"/>
    <mergeCell ref="AZ14:AZ15"/>
    <mergeCell ref="BB14:BB15"/>
    <mergeCell ref="BL14:BL15"/>
    <mergeCell ref="BF14:BF15"/>
    <mergeCell ref="BI14:BI15"/>
    <mergeCell ref="BJ14:BJ15"/>
    <mergeCell ref="AT14:AT15"/>
    <mergeCell ref="A1:B3"/>
    <mergeCell ref="C1:J1"/>
    <mergeCell ref="K1:BU1"/>
    <mergeCell ref="AX7:BG7"/>
    <mergeCell ref="BH7:BQ7"/>
    <mergeCell ref="G5:R5"/>
    <mergeCell ref="AD7:AM7"/>
    <mergeCell ref="AN7:AW7"/>
    <mergeCell ref="BR7:BY7"/>
    <mergeCell ref="BV1:BY3"/>
    <mergeCell ref="C2:J2"/>
    <mergeCell ref="K2:K3"/>
    <mergeCell ref="L2:BS3"/>
    <mergeCell ref="BT2:BT3"/>
    <mergeCell ref="BU2:BU3"/>
    <mergeCell ref="C3:J3"/>
    <mergeCell ref="D7:E7"/>
    <mergeCell ref="A7:A8"/>
    <mergeCell ref="B7:B8"/>
    <mergeCell ref="C7:C8"/>
    <mergeCell ref="P7:P8"/>
    <mergeCell ref="Q7:Q8"/>
    <mergeCell ref="R7:R8"/>
    <mergeCell ref="S7:S8"/>
    <mergeCell ref="AE14:AE15"/>
    <mergeCell ref="N14:N15"/>
    <mergeCell ref="AO14:AO15"/>
    <mergeCell ref="AB14:AB15"/>
    <mergeCell ref="P14:P15"/>
    <mergeCell ref="AH14:AH15"/>
    <mergeCell ref="AJ14:AJ15"/>
    <mergeCell ref="AL14:AL15"/>
    <mergeCell ref="Y14:Y15"/>
    <mergeCell ref="R14:R15"/>
    <mergeCell ref="S14:S15"/>
    <mergeCell ref="T14:T15"/>
    <mergeCell ref="U14:U15"/>
    <mergeCell ref="V14:V15"/>
    <mergeCell ref="AA7:AA8"/>
    <mergeCell ref="AB7:AB8"/>
    <mergeCell ref="AC7:AC8"/>
    <mergeCell ref="A19:A22"/>
    <mergeCell ref="C19:C22"/>
    <mergeCell ref="F19:F22"/>
    <mergeCell ref="G19:G22"/>
    <mergeCell ref="H19:H22"/>
    <mergeCell ref="N19:N22"/>
    <mergeCell ref="K9:K10"/>
    <mergeCell ref="O9:O10"/>
    <mergeCell ref="P9:P10"/>
    <mergeCell ref="I19:I22"/>
    <mergeCell ref="M20:M21"/>
    <mergeCell ref="L20:L21"/>
    <mergeCell ref="N9:N10"/>
    <mergeCell ref="J9:J10"/>
    <mergeCell ref="K14:K15"/>
    <mergeCell ref="O14:O15"/>
    <mergeCell ref="AA14:AA15"/>
    <mergeCell ref="Z20:Z21"/>
    <mergeCell ref="O7:O8"/>
    <mergeCell ref="F7:F8"/>
    <mergeCell ref="G7:G8"/>
  </mergeCells>
  <conditionalFormatting sqref="BR24:BY36">
    <cfRule type="cellIs" dxfId="11232" priority="67" operator="equal">
      <formula>#REF!</formula>
    </cfRule>
    <cfRule type="cellIs" dxfId="11231" priority="68" operator="greaterThan">
      <formula>1</formula>
    </cfRule>
    <cfRule type="cellIs" dxfId="11230" priority="69" operator="equal">
      <formula>100%</formula>
    </cfRule>
    <cfRule type="cellIs" dxfId="11229" priority="70" operator="between">
      <formula>80%</formula>
      <formula>99%</formula>
    </cfRule>
    <cfRule type="cellIs" dxfId="11228" priority="71" operator="between">
      <formula>0%</formula>
      <formula>79%</formula>
    </cfRule>
  </conditionalFormatting>
  <conditionalFormatting sqref="BR23:BY23">
    <cfRule type="cellIs" dxfId="11227" priority="61" operator="equal">
      <formula>#REF!</formula>
    </cfRule>
    <cfRule type="cellIs" dxfId="11226" priority="62" operator="greaterThan">
      <formula>1</formula>
    </cfRule>
    <cfRule type="cellIs" dxfId="11225" priority="63" operator="equal">
      <formula>100%</formula>
    </cfRule>
    <cfRule type="cellIs" dxfId="11224" priority="64" operator="between">
      <formula>80%</formula>
      <formula>99%</formula>
    </cfRule>
    <cfRule type="cellIs" dxfId="11223" priority="65" operator="between">
      <formula>0%</formula>
      <formula>79%</formula>
    </cfRule>
  </conditionalFormatting>
  <conditionalFormatting sqref="BR16:BY18">
    <cfRule type="cellIs" dxfId="11222" priority="55" operator="equal">
      <formula>#REF!</formula>
    </cfRule>
    <cfRule type="cellIs" dxfId="11221" priority="56" operator="greaterThan">
      <formula>1</formula>
    </cfRule>
    <cfRule type="cellIs" dxfId="11220" priority="57" operator="equal">
      <formula>100%</formula>
    </cfRule>
    <cfRule type="cellIs" dxfId="11219" priority="58" operator="between">
      <formula>80%</formula>
      <formula>99%</formula>
    </cfRule>
    <cfRule type="cellIs" dxfId="11218" priority="59" operator="between">
      <formula>0%</formula>
      <formula>79%</formula>
    </cfRule>
  </conditionalFormatting>
  <conditionalFormatting sqref="BR11:BY11 BR15 BT15 BV15 BX15 BR13:BY14">
    <cfRule type="cellIs" dxfId="11217" priority="37" operator="equal">
      <formula>#REF!</formula>
    </cfRule>
    <cfRule type="cellIs" dxfId="11216" priority="38" operator="greaterThan">
      <formula>1</formula>
    </cfRule>
    <cfRule type="cellIs" dxfId="11215" priority="39" operator="equal">
      <formula>100%</formula>
    </cfRule>
    <cfRule type="cellIs" dxfId="11214" priority="40" operator="between">
      <formula>80%</formula>
      <formula>99%</formula>
    </cfRule>
    <cfRule type="cellIs" dxfId="11213" priority="41" operator="between">
      <formula>0%</formula>
      <formula>79%</formula>
    </cfRule>
  </conditionalFormatting>
  <conditionalFormatting sqref="BR12:BY12">
    <cfRule type="cellIs" dxfId="11212" priority="25" operator="equal">
      <formula>#REF!</formula>
    </cfRule>
    <cfRule type="cellIs" dxfId="11211" priority="26" operator="greaterThan">
      <formula>1</formula>
    </cfRule>
    <cfRule type="cellIs" dxfId="11210" priority="27" operator="equal">
      <formula>100%</formula>
    </cfRule>
    <cfRule type="cellIs" dxfId="11209" priority="28" operator="between">
      <formula>80%</formula>
      <formula>99%</formula>
    </cfRule>
    <cfRule type="cellIs" dxfId="11208" priority="29" operator="between">
      <formula>0%</formula>
      <formula>79%</formula>
    </cfRule>
  </conditionalFormatting>
  <conditionalFormatting sqref="BR10 BT10 BV10 BX10">
    <cfRule type="cellIs" dxfId="11207" priority="19" operator="equal">
      <formula>#REF!</formula>
    </cfRule>
    <cfRule type="cellIs" dxfId="11206" priority="20" operator="greaterThan">
      <formula>1</formula>
    </cfRule>
    <cfRule type="cellIs" dxfId="11205" priority="21" operator="equal">
      <formula>100%</formula>
    </cfRule>
    <cfRule type="cellIs" dxfId="11204" priority="22" operator="between">
      <formula>80%</formula>
      <formula>99%</formula>
    </cfRule>
    <cfRule type="cellIs" dxfId="11203" priority="23" operator="between">
      <formula>0%</formula>
      <formula>79%</formula>
    </cfRule>
  </conditionalFormatting>
  <conditionalFormatting sqref="BR9:BY9">
    <cfRule type="cellIs" dxfId="11202" priority="13" operator="equal">
      <formula>#REF!</formula>
    </cfRule>
    <cfRule type="cellIs" dxfId="11201" priority="14" operator="greaterThan">
      <formula>1</formula>
    </cfRule>
    <cfRule type="cellIs" dxfId="11200" priority="15" operator="equal">
      <formula>100%</formula>
    </cfRule>
    <cfRule type="cellIs" dxfId="11199" priority="16" operator="between">
      <formula>80%</formula>
      <formula>99%</formula>
    </cfRule>
    <cfRule type="cellIs" dxfId="11198" priority="17" operator="between">
      <formula>0%</formula>
      <formula>79%</formula>
    </cfRule>
  </conditionalFormatting>
  <conditionalFormatting sqref="BR19:BY19">
    <cfRule type="cellIs" dxfId="11197" priority="7" operator="equal">
      <formula>#REF!</formula>
    </cfRule>
    <cfRule type="cellIs" dxfId="11196" priority="8" operator="greaterThan">
      <formula>1</formula>
    </cfRule>
    <cfRule type="cellIs" dxfId="11195" priority="9" operator="equal">
      <formula>100%</formula>
    </cfRule>
    <cfRule type="cellIs" dxfId="11194" priority="10" operator="between">
      <formula>80%</formula>
      <formula>99%</formula>
    </cfRule>
    <cfRule type="cellIs" dxfId="11193" priority="11" operator="between">
      <formula>0%</formula>
      <formula>79%</formula>
    </cfRule>
  </conditionalFormatting>
  <conditionalFormatting sqref="BR20 BR22 BT20 BT22 BV20 BV22 BX20 BX22">
    <cfRule type="cellIs" dxfId="11192" priority="1" operator="equal">
      <formula>#REF!</formula>
    </cfRule>
    <cfRule type="cellIs" dxfId="11191" priority="2" operator="greaterThan">
      <formula>1</formula>
    </cfRule>
    <cfRule type="cellIs" dxfId="11190" priority="3" operator="equal">
      <formula>100%</formula>
    </cfRule>
    <cfRule type="cellIs" dxfId="11189" priority="4" operator="between">
      <formula>80%</formula>
      <formula>99%</formula>
    </cfRule>
    <cfRule type="cellIs" dxfId="11188" priority="5" operator="between">
      <formula>0%</formula>
      <formula>79%</formula>
    </cfRule>
  </conditionalFormatting>
  <pageMargins left="0.70866141732283472" right="0.70866141732283472" top="0.74803149606299213" bottom="0.74803149606299213" header="0.31496062992125984" footer="0.31496062992125984"/>
  <pageSetup paperSize="41" scale="6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2" operator="containsText" id="{40C1699A-788C-4C04-ABFA-880EB4297438}">
            <xm:f>NOT(ISERROR(SEARCH(#REF!,BR24)))</xm:f>
            <xm:f>#REF!</xm:f>
            <x14:dxf>
              <font>
                <color theme="4"/>
              </font>
              <fill>
                <patternFill>
                  <bgColor theme="5" tint="0.59996337778862885"/>
                </patternFill>
              </fill>
            </x14:dxf>
          </x14:cfRule>
          <xm:sqref>BR24:BY36</xm:sqref>
        </x14:conditionalFormatting>
        <x14:conditionalFormatting xmlns:xm="http://schemas.microsoft.com/office/excel/2006/main">
          <x14:cfRule type="containsText" priority="66" operator="containsText" id="{5797B5AC-3405-43E8-815D-19E7DC918295}">
            <xm:f>NOT(ISERROR(SEARCH(#REF!,BR23)))</xm:f>
            <xm:f>#REF!</xm:f>
            <x14:dxf>
              <font>
                <color theme="4"/>
              </font>
              <fill>
                <patternFill>
                  <bgColor theme="5" tint="0.59996337778862885"/>
                </patternFill>
              </fill>
            </x14:dxf>
          </x14:cfRule>
          <xm:sqref>BR23:BY23</xm:sqref>
        </x14:conditionalFormatting>
        <x14:conditionalFormatting xmlns:xm="http://schemas.microsoft.com/office/excel/2006/main">
          <x14:cfRule type="containsText" priority="42" operator="containsText" id="{BE7CCC8B-D1B9-423D-A41C-FC34562F39A6}">
            <xm:f>NOT(ISERROR(SEARCH(#REF!,BR11)))</xm:f>
            <xm:f>#REF!</xm:f>
            <x14:dxf>
              <font>
                <color theme="4"/>
              </font>
              <fill>
                <patternFill>
                  <bgColor theme="5" tint="0.59996337778862885"/>
                </patternFill>
              </fill>
            </x14:dxf>
          </x14:cfRule>
          <xm:sqref>BR11:BY11 BR15 BT15 BV15 BX15 BR13:BY14 BR16:BY18</xm:sqref>
        </x14:conditionalFormatting>
        <x14:conditionalFormatting xmlns:xm="http://schemas.microsoft.com/office/excel/2006/main">
          <x14:cfRule type="containsText" priority="30" operator="containsText" id="{2CFE06A9-70B2-4BE9-98BC-EC60EEB83DE2}">
            <xm:f>NOT(ISERROR(SEARCH(#REF!,BR12)))</xm:f>
            <xm:f>#REF!</xm:f>
            <x14:dxf>
              <font>
                <color theme="4"/>
              </font>
              <fill>
                <patternFill>
                  <bgColor theme="5" tint="0.59996337778862885"/>
                </patternFill>
              </fill>
            </x14:dxf>
          </x14:cfRule>
          <xm:sqref>BR12:BY12</xm:sqref>
        </x14:conditionalFormatting>
        <x14:conditionalFormatting xmlns:xm="http://schemas.microsoft.com/office/excel/2006/main">
          <x14:cfRule type="containsText" priority="24" operator="containsText" id="{2437D06A-5C77-4D45-A774-EB38D1FC7375}">
            <xm:f>NOT(ISERROR(SEARCH(#REF!,BR10)))</xm:f>
            <xm:f>#REF!</xm:f>
            <x14:dxf>
              <font>
                <color theme="4"/>
              </font>
              <fill>
                <patternFill>
                  <bgColor theme="5" tint="0.59996337778862885"/>
                </patternFill>
              </fill>
            </x14:dxf>
          </x14:cfRule>
          <xm:sqref>BR10 BT10 BV10 BX10</xm:sqref>
        </x14:conditionalFormatting>
        <x14:conditionalFormatting xmlns:xm="http://schemas.microsoft.com/office/excel/2006/main">
          <x14:cfRule type="containsText" priority="18" operator="containsText" id="{41260370-EEBD-4BA7-8969-51A558D07CE2}">
            <xm:f>NOT(ISERROR(SEARCH(#REF!,BR9)))</xm:f>
            <xm:f>#REF!</xm:f>
            <x14:dxf>
              <font>
                <color theme="4"/>
              </font>
              <fill>
                <patternFill>
                  <bgColor theme="5" tint="0.59996337778862885"/>
                </patternFill>
              </fill>
            </x14:dxf>
          </x14:cfRule>
          <xm:sqref>BR9:BY9</xm:sqref>
        </x14:conditionalFormatting>
        <x14:conditionalFormatting xmlns:xm="http://schemas.microsoft.com/office/excel/2006/main">
          <x14:cfRule type="containsText" priority="12" operator="containsText" id="{97DDFBC4-E065-46AD-827D-EEE65459992E}">
            <xm:f>NOT(ISERROR(SEARCH(#REF!,BR19)))</xm:f>
            <xm:f>#REF!</xm:f>
            <x14:dxf>
              <font>
                <color theme="4"/>
              </font>
              <fill>
                <patternFill>
                  <bgColor theme="5" tint="0.59996337778862885"/>
                </patternFill>
              </fill>
            </x14:dxf>
          </x14:cfRule>
          <xm:sqref>BR19:BY19</xm:sqref>
        </x14:conditionalFormatting>
        <x14:conditionalFormatting xmlns:xm="http://schemas.microsoft.com/office/excel/2006/main">
          <x14:cfRule type="containsText" priority="6" operator="containsText" id="{D89EEE73-8695-4895-91C8-B9C8C3AF952D}">
            <xm:f>NOT(ISERROR(SEARCH(#REF!,BR20)))</xm:f>
            <xm:f>#REF!</xm:f>
            <x14:dxf>
              <font>
                <color theme="4"/>
              </font>
              <fill>
                <patternFill>
                  <bgColor theme="5" tint="0.59996337778862885"/>
                </patternFill>
              </fill>
            </x14:dxf>
          </x14:cfRule>
          <xm:sqref>BR20 BR22 BT20 BT22 BV20 BV22 BX20 BX22</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'TAB. REF. PA'!$D$4:$D$9</xm:f>
          </x14:formula1>
          <xm:sqref>G24:G32 G9:G18</xm:sqref>
        </x14:dataValidation>
        <x14:dataValidation type="list" allowBlank="1" showInputMessage="1" showErrorMessage="1" xr:uid="{00000000-0002-0000-0200-000002000000}">
          <x14:formula1>
            <xm:f>'TAB. REF. PA'!$D$4:$D$11</xm:f>
          </x14:formula1>
          <xm:sqref>G33:G36</xm:sqref>
        </x14:dataValidation>
        <x14:dataValidation type="list" allowBlank="1" showInputMessage="1" showErrorMessage="1" xr:uid="{00000000-0002-0000-0200-00000D000000}">
          <x14:formula1>
            <xm:f>'TAB. REF. PA'!$U$4:$U$24</xm:f>
          </x14:formula1>
          <xm:sqref>Y19 Y23</xm:sqref>
        </x14:dataValidation>
        <x14:dataValidation type="list" allowBlank="1" showInputMessage="1" showErrorMessage="1" xr:uid="{00000000-0002-0000-0200-00000C000000}">
          <x14:formula1>
            <xm:f>'TAB. REF. PA'!$X$4:$X$9</xm:f>
          </x14:formula1>
          <xm:sqref>I9:I19 I23:I36</xm:sqref>
        </x14:dataValidation>
        <x14:dataValidation type="list" allowBlank="1" showInputMessage="1" showErrorMessage="1" xr:uid="{00000000-0002-0000-0200-000006000000}">
          <x14:formula1>
            <xm:f>'TAB. REF. PA'!$J$4:$J$6</xm:f>
          </x14:formula1>
          <xm:sqref>T11:T14 T33:T36 T9 T16:T19 T23</xm:sqref>
        </x14:dataValidation>
        <x14:dataValidation type="list" allowBlank="1" showInputMessage="1" showErrorMessage="1" xr:uid="{00000000-0002-0000-0200-000007000000}">
          <x14:formula1>
            <xm:f>'TAB. REF. PA'!$H$4:$H$21</xm:f>
          </x14:formula1>
          <xm:sqref>S11:S14 S33:S36 S9 S16:S19</xm:sqref>
        </x14:dataValidation>
        <x14:dataValidation type="list" allowBlank="1" showInputMessage="1" showErrorMessage="1" xr:uid="{00000000-0002-0000-0200-000008000000}">
          <x14:formula1>
            <xm:f>'TAB. REF. PA'!$F$4:$F$10</xm:f>
          </x14:formula1>
          <xm:sqref>R33:R36 R11:R14 R9 R16:R19</xm:sqref>
        </x14:dataValidation>
        <x14:dataValidation type="list" allowBlank="1" showInputMessage="1" showErrorMessage="1" xr:uid="{00000000-0002-0000-0200-000005000000}">
          <x14:formula1>
            <xm:f>'TAB. REF. PA'!$L$4:$L$11</xm:f>
          </x14:formula1>
          <xm:sqref>U11:U14 U33:U36 U9 U16:U19 U23</xm:sqref>
        </x14:dataValidation>
        <x14:dataValidation type="list" allowBlank="1" showInputMessage="1" showErrorMessage="1" xr:uid="{00000000-0002-0000-0200-000009000000}">
          <x14:formula1>
            <xm:f>'TAB. REF. PA'!$R$4:$R$12</xm:f>
          </x14:formula1>
          <xm:sqref>C23:C36 C9:C19</xm:sqref>
        </x14:dataValidation>
        <x14:dataValidation type="list" allowBlank="1" showInputMessage="1" showErrorMessage="1" xr:uid="{00000000-0002-0000-0200-00000B000000}">
          <x14:formula1>
            <xm:f>'TAB. REF. PA'!$Y$4:$Y$14</xm:f>
          </x14:formula1>
          <xm:sqref>A9:A19 A23:A36</xm:sqref>
        </x14:dataValidation>
        <x14:dataValidation type="list" allowBlank="1" showInputMessage="1" showErrorMessage="1" xr:uid="{00000000-0002-0000-0200-000004000000}">
          <x14:formula1>
            <xm:f>'TAB. REF. PA'!$N$4:$N$28</xm:f>
          </x14:formula1>
          <xm:sqref>V31:V32 V23:V27 V16:V19</xm:sqref>
        </x14:dataValidation>
        <x14:dataValidation type="list" allowBlank="1" showInputMessage="1" showErrorMessage="1" xr:uid="{A9BC83D4-7222-4226-B688-CB3C0AFD2B8B}">
          <x14:formula1>
            <xm:f>'C:\Users\norela.briceno\Documents\Plan de acción\Plan Acción 2019\[DIES-F07-08_Plan_Accion_con_Cuadro_de_Mando_V03 Preliminar con ajustes PAA..xlsx]TAB. REF. PA'!#REF!</xm:f>
          </x14:formula1>
          <xm:sqref>T24:U32 R23:S32</xm:sqref>
        </x14:dataValidation>
        <x14:dataValidation type="list" allowBlank="1" showInputMessage="1" showErrorMessage="1" xr:uid="{86347974-5FA8-46F8-8927-29BC44C99594}">
          <x14:formula1>
            <xm:f>'TAB. REF. PA'!$N$4:$N$33</xm:f>
          </x14:formula1>
          <xm:sqref>V28:V30 V9 V33:V36 V11:V14</xm:sqref>
        </x14:dataValidation>
        <x14:dataValidation type="list" allowBlank="1" showInputMessage="1" showErrorMessage="1" xr:uid="{5DF185E2-3002-4D16-8892-CC258B42D61F}">
          <x14:formula1>
            <xm:f>'TAB. REF. PA'!$U$4:$U$25</xm:f>
          </x14:formula1>
          <xm:sqref>Y11:Y14 Y9 Y16:Y18 Y24:Y34 Y36</xm:sqref>
        </x14:dataValidation>
        <x14:dataValidation type="list" allowBlank="1" showInputMessage="1" showErrorMessage="1" xr:uid="{00000000-0002-0000-0200-000001000000}">
          <x14:formula1>
            <xm:f>'TAB. REF. PA'!$D$4:$D$10</xm:f>
          </x14:formula1>
          <xm:sqref>G19 G23</xm:sqref>
        </x14:dataValidation>
        <x14:dataValidation type="list" allowBlank="1" showInputMessage="1" showErrorMessage="1" xr:uid="{00000000-0002-0000-0200-00000A000000}">
          <x14:formula1>
            <xm:f>'TAB. REF. PA'!$B$4:$B$14</xm:f>
          </x14:formula1>
          <xm:sqref>B9:B36</xm:sqref>
        </x14:dataValidation>
        <x14:dataValidation type="list" allowBlank="1" showInputMessage="1" showErrorMessage="1" xr:uid="{00000000-0002-0000-0200-00000E000000}">
          <x14:formula1>
            <xm:f>'TAB. REF. PA'!$W$3:$W$7</xm:f>
          </x14:formula1>
          <xm:sqref>AC9:AC36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253A-9069-4566-8D6A-C254B23076B0}">
  <dimension ref="A1:BA15"/>
  <sheetViews>
    <sheetView showGridLines="0" zoomScale="80" zoomScaleNormal="80" workbookViewId="0">
      <selection activeCell="BF5" sqref="BF5"/>
    </sheetView>
  </sheetViews>
  <sheetFormatPr baseColWidth="10" defaultRowHeight="15" x14ac:dyDescent="0.25"/>
  <cols>
    <col min="1" max="1" width="49" customWidth="1"/>
    <col min="2" max="2" width="2.28515625" customWidth="1"/>
    <col min="3" max="3" width="21.7109375" customWidth="1"/>
    <col min="4" max="8" width="3.28515625" customWidth="1"/>
    <col min="9" max="9" width="11.7109375" customWidth="1"/>
    <col min="10" max="14" width="3.28515625" customWidth="1"/>
    <col min="15" max="15" width="2.7109375" hidden="1" customWidth="1"/>
    <col min="16" max="16" width="11.7109375" hidden="1" customWidth="1"/>
    <col min="17" max="21" width="3.28515625" hidden="1" customWidth="1"/>
    <col min="22" max="22" width="11.7109375" hidden="1" customWidth="1"/>
    <col min="23" max="27" width="3.28515625" hidden="1" customWidth="1"/>
    <col min="28" max="28" width="3.140625" hidden="1" customWidth="1"/>
    <col min="29" max="29" width="17.28515625" hidden="1" customWidth="1"/>
    <col min="30" max="34" width="3.28515625" hidden="1" customWidth="1"/>
    <col min="35" max="35" width="12.85546875" hidden="1" customWidth="1"/>
    <col min="36" max="40" width="3.28515625" hidden="1" customWidth="1"/>
    <col min="41" max="41" width="2.85546875" hidden="1" customWidth="1"/>
    <col min="42" max="42" width="11.7109375" hidden="1" customWidth="1"/>
    <col min="43" max="47" width="3.28515625" hidden="1" customWidth="1"/>
    <col min="48" max="48" width="14.42578125" hidden="1" customWidth="1"/>
    <col min="49" max="53" width="3.28515625" hidden="1" customWidth="1"/>
  </cols>
  <sheetData>
    <row r="1" spans="1:53" ht="25.5" customHeight="1" x14ac:dyDescent="0.25">
      <c r="A1" s="1108"/>
      <c r="B1" s="1082" t="s">
        <v>248</v>
      </c>
      <c r="C1" s="1083"/>
      <c r="D1" s="1083"/>
      <c r="E1" s="1083"/>
      <c r="F1" s="1083"/>
      <c r="G1" s="1083"/>
      <c r="H1" s="1047"/>
      <c r="I1" s="1049" t="s">
        <v>249</v>
      </c>
      <c r="J1" s="1083"/>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1083"/>
      <c r="AO1" s="1113"/>
      <c r="AP1" s="1084"/>
      <c r="AQ1" s="1085"/>
      <c r="AR1" s="1085"/>
      <c r="AS1" s="1085"/>
      <c r="AT1" s="1085"/>
      <c r="AU1" s="1085"/>
      <c r="AV1" s="1085"/>
      <c r="AW1" s="1085"/>
      <c r="AX1" s="1085"/>
      <c r="AY1" s="1085"/>
      <c r="AZ1" s="1085"/>
      <c r="BA1" s="1086"/>
    </row>
    <row r="2" spans="1:53" ht="29.25" customHeight="1" x14ac:dyDescent="0.25">
      <c r="A2" s="1109"/>
      <c r="B2" s="1093" t="s">
        <v>250</v>
      </c>
      <c r="C2" s="1094"/>
      <c r="D2" s="1094"/>
      <c r="E2" s="1094"/>
      <c r="F2" s="1094"/>
      <c r="G2" s="1094"/>
      <c r="H2" s="1052"/>
      <c r="I2" s="1054" t="s">
        <v>211</v>
      </c>
      <c r="J2" s="1094"/>
      <c r="K2" s="1094"/>
      <c r="L2" s="1094"/>
      <c r="M2" s="1094"/>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114"/>
      <c r="AP2" s="1087"/>
      <c r="AQ2" s="1088"/>
      <c r="AR2" s="1088"/>
      <c r="AS2" s="1088"/>
      <c r="AT2" s="1088"/>
      <c r="AU2" s="1088"/>
      <c r="AV2" s="1088"/>
      <c r="AW2" s="1088"/>
      <c r="AX2" s="1088"/>
      <c r="AY2" s="1088"/>
      <c r="AZ2" s="1088"/>
      <c r="BA2" s="1089"/>
    </row>
    <row r="3" spans="1:53" ht="15.75" customHeight="1" thickBot="1" x14ac:dyDescent="0.3">
      <c r="A3" s="1110"/>
      <c r="B3" s="1095" t="s">
        <v>244</v>
      </c>
      <c r="C3" s="1062"/>
      <c r="D3" s="1062"/>
      <c r="E3" s="1062"/>
      <c r="F3" s="1062"/>
      <c r="G3" s="1062"/>
      <c r="H3" s="1057"/>
      <c r="I3" s="1059" t="s">
        <v>253</v>
      </c>
      <c r="J3" s="1062"/>
      <c r="K3" s="1062"/>
      <c r="L3" s="1062"/>
      <c r="M3" s="1062"/>
      <c r="N3" s="1057"/>
      <c r="O3" s="1096" t="s">
        <v>225</v>
      </c>
      <c r="P3" s="1097"/>
      <c r="Q3" s="1097"/>
      <c r="R3" s="1097"/>
      <c r="S3" s="1097"/>
      <c r="T3" s="1097"/>
      <c r="U3" s="1097"/>
      <c r="V3" s="1097"/>
      <c r="W3" s="1097"/>
      <c r="X3" s="1097"/>
      <c r="Y3" s="1097"/>
      <c r="Z3" s="1097"/>
      <c r="AA3" s="1097"/>
      <c r="AB3" s="1097"/>
      <c r="AC3" s="1097"/>
      <c r="AD3" s="1097"/>
      <c r="AE3" s="1097"/>
      <c r="AF3" s="1097"/>
      <c r="AG3" s="1097"/>
      <c r="AH3" s="1098"/>
      <c r="AI3" s="391" t="s">
        <v>251</v>
      </c>
      <c r="AJ3" s="1059">
        <v>1</v>
      </c>
      <c r="AK3" s="1062"/>
      <c r="AL3" s="1062"/>
      <c r="AM3" s="1062"/>
      <c r="AN3" s="1062"/>
      <c r="AO3" s="1115"/>
      <c r="AP3" s="1090"/>
      <c r="AQ3" s="1091"/>
      <c r="AR3" s="1091"/>
      <c r="AS3" s="1091"/>
      <c r="AT3" s="1091"/>
      <c r="AU3" s="1091"/>
      <c r="AV3" s="1091"/>
      <c r="AW3" s="1091"/>
      <c r="AX3" s="1091"/>
      <c r="AY3" s="1091"/>
      <c r="AZ3" s="1091"/>
      <c r="BA3" s="1092"/>
    </row>
    <row r="4" spans="1:53" ht="15.75" thickBot="1" x14ac:dyDescent="0.3"/>
    <row r="5" spans="1:53" ht="72.75" customHeight="1" thickBot="1" x14ac:dyDescent="0.3">
      <c r="A5" s="422" t="s">
        <v>234</v>
      </c>
      <c r="B5" s="494"/>
      <c r="C5" s="1104" t="s">
        <v>1305</v>
      </c>
      <c r="D5" s="1111"/>
      <c r="E5" s="1111"/>
      <c r="F5" s="1111"/>
      <c r="G5" s="1111"/>
      <c r="H5" s="1112"/>
      <c r="I5" s="1107" t="s">
        <v>1306</v>
      </c>
      <c r="J5" s="1103"/>
      <c r="K5" s="1103"/>
      <c r="L5" s="1103"/>
      <c r="M5" s="1103"/>
      <c r="N5" s="1103"/>
      <c r="O5" s="17"/>
      <c r="P5" s="1107" t="s">
        <v>1308</v>
      </c>
      <c r="Q5" s="1103"/>
      <c r="R5" s="1103"/>
      <c r="S5" s="1103"/>
      <c r="T5" s="1103"/>
      <c r="U5" s="1116"/>
      <c r="V5" s="1102" t="s">
        <v>1309</v>
      </c>
      <c r="W5" s="1103"/>
      <c r="X5" s="1103"/>
      <c r="Y5" s="1103"/>
      <c r="Z5" s="1103"/>
      <c r="AA5" s="1103"/>
      <c r="AB5" s="495"/>
      <c r="AC5" s="1107" t="s">
        <v>1310</v>
      </c>
      <c r="AD5" s="1103"/>
      <c r="AE5" s="1103"/>
      <c r="AF5" s="1103"/>
      <c r="AG5" s="1103"/>
      <c r="AH5" s="1116"/>
      <c r="AI5" s="1102" t="s">
        <v>1311</v>
      </c>
      <c r="AJ5" s="1103"/>
      <c r="AK5" s="1103"/>
      <c r="AL5" s="1103"/>
      <c r="AM5" s="1103"/>
      <c r="AN5" s="1103"/>
      <c r="AO5" s="495"/>
      <c r="AP5" s="1107" t="s">
        <v>1312</v>
      </c>
      <c r="AQ5" s="1103"/>
      <c r="AR5" s="1103"/>
      <c r="AS5" s="1103"/>
      <c r="AT5" s="1103"/>
      <c r="AU5" s="1116"/>
      <c r="AV5" s="1102" t="s">
        <v>1313</v>
      </c>
      <c r="AW5" s="1103"/>
      <c r="AX5" s="1103"/>
      <c r="AY5" s="1103"/>
      <c r="AZ5" s="1103"/>
      <c r="BA5" s="1103"/>
    </row>
    <row r="6" spans="1:53" ht="18" x14ac:dyDescent="0.25">
      <c r="A6" s="490" t="s">
        <v>1</v>
      </c>
      <c r="B6" s="496"/>
      <c r="C6" s="497">
        <f>AVERAGE('Cuadro Mando Integral Detallado'!L159:L165,'Cuadro Mando Integral Detallado'!L221:L224,'Cuadro Mando Integral Detallado'!L338)</f>
        <v>0.73806078147612153</v>
      </c>
      <c r="D6" s="657">
        <f t="shared" ref="D6:D14" si="0">+C6</f>
        <v>0.73806078147612153</v>
      </c>
      <c r="E6" s="649">
        <f t="shared" ref="E6:E14" si="1">+C6</f>
        <v>0.73806078147612153</v>
      </c>
      <c r="F6" s="649">
        <f t="shared" ref="F6:F14" si="2">+C6</f>
        <v>0.73806078147612153</v>
      </c>
      <c r="G6" s="649">
        <f t="shared" ref="G6:G14" si="3">+C6</f>
        <v>0.73806078147612153</v>
      </c>
      <c r="H6" s="658">
        <f t="shared" ref="H6:H14" si="4">+C6</f>
        <v>0.73806078147612153</v>
      </c>
      <c r="I6" s="497">
        <f>AVERAGE('Cuadro Mando Integral Detallado'!O159:O165,'Cuadro Mando Integral Detallado'!O221:O224,'Cuadro Mando Integral Detallado'!O338)</f>
        <v>0.18451519536903038</v>
      </c>
      <c r="J6" s="643">
        <f t="shared" ref="J6:J14" si="5">+I6</f>
        <v>0.18451519536903038</v>
      </c>
      <c r="K6" s="644">
        <f t="shared" ref="K6:K14" si="6">+I6</f>
        <v>0.18451519536903038</v>
      </c>
      <c r="L6" s="644">
        <f t="shared" ref="L6:L14" si="7">+I6</f>
        <v>0.18451519536903038</v>
      </c>
      <c r="M6" s="644">
        <f t="shared" ref="M6:M14" si="8">+I6</f>
        <v>0.18451519536903038</v>
      </c>
      <c r="N6" s="645">
        <f t="shared" ref="N6:N14" si="9">+I6</f>
        <v>0.18451519536903038</v>
      </c>
      <c r="O6" s="17"/>
      <c r="P6" s="497">
        <f>AVERAGE('Cuadro Mando Integral Detallado'!S159:S165,'Cuadro Mando Integral Detallado'!S221:S224)</f>
        <v>0</v>
      </c>
      <c r="Q6" s="439">
        <f t="shared" ref="Q6:Q14" si="10">+P6</f>
        <v>0</v>
      </c>
      <c r="R6" s="429">
        <f t="shared" ref="R6:R14" si="11">+P6</f>
        <v>0</v>
      </c>
      <c r="S6" s="429">
        <f t="shared" ref="S6:S14" si="12">+P6</f>
        <v>0</v>
      </c>
      <c r="T6" s="429">
        <f t="shared" ref="T6:T14" si="13">+P6</f>
        <v>0</v>
      </c>
      <c r="U6" s="430">
        <f t="shared" ref="U6:U14" si="14">+P6</f>
        <v>0</v>
      </c>
      <c r="V6" s="497">
        <f>AVERAGE('Cuadro Mando Integral Detallado'!V159:V165,'Cuadro Mando Integral Detallado'!V221:V224)</f>
        <v>0.22021225277375786</v>
      </c>
      <c r="W6" s="432">
        <f t="shared" ref="W6:W14" si="15">+V6</f>
        <v>0.22021225277375786</v>
      </c>
      <c r="X6" s="433">
        <f t="shared" ref="X6:X14" si="16">+V6</f>
        <v>0.22021225277375786</v>
      </c>
      <c r="Y6" s="433">
        <f t="shared" ref="Y6:Y14" si="17">+V6</f>
        <v>0.22021225277375786</v>
      </c>
      <c r="Z6" s="433">
        <f t="shared" ref="Z6:Z14" si="18">+V6</f>
        <v>0.22021225277375786</v>
      </c>
      <c r="AA6" s="434">
        <f t="shared" ref="AA6:AA13" si="19">+V6</f>
        <v>0.22021225277375786</v>
      </c>
      <c r="AB6" s="483"/>
      <c r="AC6" s="497">
        <f>AVERAGE('Cuadro Mando Integral Detallado'!Z159:Z165,'Cuadro Mando Integral Detallado'!Z221:Z224)</f>
        <v>0</v>
      </c>
      <c r="AD6" s="439">
        <f t="shared" ref="AD6:AD14" si="20">+AC6</f>
        <v>0</v>
      </c>
      <c r="AE6" s="429">
        <f t="shared" ref="AE6:AE14" si="21">+AC6</f>
        <v>0</v>
      </c>
      <c r="AF6" s="429">
        <f t="shared" ref="AF6:AF14" si="22">+AC6</f>
        <v>0</v>
      </c>
      <c r="AG6" s="429">
        <f t="shared" ref="AG6:AG14" si="23">+AC6</f>
        <v>0</v>
      </c>
      <c r="AH6" s="430">
        <f t="shared" ref="AH6:AH14" si="24">+AC6</f>
        <v>0</v>
      </c>
      <c r="AI6" s="497">
        <f>AVERAGE('Cuadro Mando Integral Detallado'!AC159:AC165,'Cuadro Mando Integral Detallado'!AC221:AC224)</f>
        <v>8.2579594790159194E-2</v>
      </c>
      <c r="AJ6" s="439">
        <f t="shared" ref="AJ6:AJ14" si="25">+AI6</f>
        <v>8.2579594790159194E-2</v>
      </c>
      <c r="AK6" s="433">
        <f t="shared" ref="AK6:AK14" si="26">+AI6</f>
        <v>8.2579594790159194E-2</v>
      </c>
      <c r="AL6" s="433">
        <f t="shared" ref="AL6:AL14" si="27">+AI6</f>
        <v>8.2579594790159194E-2</v>
      </c>
      <c r="AM6" s="433">
        <f t="shared" ref="AM6:AM14" si="28">+AI6</f>
        <v>8.2579594790159194E-2</v>
      </c>
      <c r="AN6" s="434">
        <f t="shared" ref="AN6:AN14" si="29">+AI6</f>
        <v>8.2579594790159194E-2</v>
      </c>
      <c r="AO6" s="483"/>
      <c r="AP6" s="497">
        <f>AVERAGE('Cuadro Mando Integral Detallado'!AG159:AG165,'Cuadro Mando Integral Detallado'!AG221:AG224)</f>
        <v>0</v>
      </c>
      <c r="AQ6" s="439">
        <f t="shared" ref="AQ6:AQ14" si="30">+AP6</f>
        <v>0</v>
      </c>
      <c r="AR6" s="429">
        <f t="shared" ref="AR6:AR14" si="31">+AP6</f>
        <v>0</v>
      </c>
      <c r="AS6" s="429">
        <f t="shared" ref="AS6:AS14" si="32">+AP6</f>
        <v>0</v>
      </c>
      <c r="AT6" s="429">
        <f t="shared" ref="AT6:AT14" si="33">+AP6</f>
        <v>0</v>
      </c>
      <c r="AU6" s="430">
        <f t="shared" ref="AU6:AU14" si="34">+AP6</f>
        <v>0</v>
      </c>
      <c r="AV6" s="497">
        <f>AVERAGE('Cuadro Mando Integral Detallado'!AI159:AI165,'Cuadro Mando Integral Detallado'!AI221:AI224)</f>
        <v>7.3404084257919278E-2</v>
      </c>
      <c r="AW6" s="439">
        <f>+AV6</f>
        <v>7.3404084257919278E-2</v>
      </c>
      <c r="AX6" s="433">
        <f t="shared" ref="AX6:AX13" si="35">+AV6</f>
        <v>7.3404084257919278E-2</v>
      </c>
      <c r="AY6" s="433">
        <f t="shared" ref="AY6:AY14" si="36">+AV6</f>
        <v>7.3404084257919278E-2</v>
      </c>
      <c r="AZ6" s="433">
        <f t="shared" ref="AZ6:AZ14" si="37">+AV6</f>
        <v>7.3404084257919278E-2</v>
      </c>
      <c r="BA6" s="434">
        <f t="shared" ref="BA6:BA14" si="38">+AV6</f>
        <v>7.3404084257919278E-2</v>
      </c>
    </row>
    <row r="7" spans="1:53" ht="36" x14ac:dyDescent="0.25">
      <c r="A7" s="441" t="s">
        <v>231</v>
      </c>
      <c r="B7" s="496"/>
      <c r="C7" s="498">
        <f>AVERAGE('Cuadro Mando Integral Detallado'!L150:L152,'Cuadro Mando Integral Detallado'!L205:L206,'Cuadro Mando Integral Detallado'!L225:L226)</f>
        <v>0.99987501698138848</v>
      </c>
      <c r="D7" s="453">
        <f t="shared" si="0"/>
        <v>0.99987501698138848</v>
      </c>
      <c r="E7" s="444">
        <f t="shared" si="1"/>
        <v>0.99987501698138848</v>
      </c>
      <c r="F7" s="444">
        <f t="shared" si="2"/>
        <v>0.99987501698138848</v>
      </c>
      <c r="G7" s="444">
        <f t="shared" si="3"/>
        <v>0.99987501698138848</v>
      </c>
      <c r="H7" s="445">
        <f t="shared" si="4"/>
        <v>0.99987501698138848</v>
      </c>
      <c r="I7" s="498">
        <f>AVERAGE('Cuadro Mando Integral Detallado'!O150:O152,'Cuadro Mando Integral Detallado'!O205:O206,'Cuadro Mando Integral Detallado'!O225:O226)</f>
        <v>0.24996875424534712</v>
      </c>
      <c r="J7" s="447">
        <f t="shared" si="5"/>
        <v>0.24996875424534712</v>
      </c>
      <c r="K7" s="448">
        <f t="shared" si="6"/>
        <v>0.24996875424534712</v>
      </c>
      <c r="L7" s="448">
        <f t="shared" si="7"/>
        <v>0.24996875424534712</v>
      </c>
      <c r="M7" s="448">
        <f t="shared" si="8"/>
        <v>0.24996875424534712</v>
      </c>
      <c r="N7" s="449">
        <f t="shared" si="9"/>
        <v>0.24996875424534712</v>
      </c>
      <c r="O7" s="11"/>
      <c r="P7" s="498">
        <f>AVERAGE('Cuadro Mando Integral Detallado'!S150:S152,'Cuadro Mando Integral Detallado'!S205:S206,'Cuadro Mando Integral Detallado'!S225:S226)</f>
        <v>0</v>
      </c>
      <c r="Q7" s="453">
        <f t="shared" si="10"/>
        <v>0</v>
      </c>
      <c r="R7" s="444">
        <f t="shared" si="11"/>
        <v>0</v>
      </c>
      <c r="S7" s="444">
        <f t="shared" si="12"/>
        <v>0</v>
      </c>
      <c r="T7" s="444">
        <f t="shared" si="13"/>
        <v>0</v>
      </c>
      <c r="U7" s="445">
        <f t="shared" si="14"/>
        <v>0</v>
      </c>
      <c r="V7" s="498">
        <f>AVERAGE('Cuadro Mando Integral Detallado'!V150:V152,'Cuadro Mando Integral Detallado'!V205:V206,'Cuadro Mando Integral Detallado'!V225:V226)</f>
        <v>0.20830729520445593</v>
      </c>
      <c r="W7" s="447">
        <f t="shared" si="15"/>
        <v>0.20830729520445593</v>
      </c>
      <c r="X7" s="448">
        <f t="shared" si="16"/>
        <v>0.20830729520445593</v>
      </c>
      <c r="Y7" s="448">
        <f t="shared" si="17"/>
        <v>0.20830729520445593</v>
      </c>
      <c r="Z7" s="448">
        <f t="shared" si="18"/>
        <v>0.20830729520445593</v>
      </c>
      <c r="AA7" s="449">
        <f t="shared" si="19"/>
        <v>0.20830729520445593</v>
      </c>
      <c r="AB7" s="483"/>
      <c r="AC7" s="498">
        <f>AVERAGE('Cuadro Mando Integral Detallado'!Z150:Z152,'Cuadro Mando Integral Detallado'!Z205:Z206,'Cuadro Mando Integral Detallado'!Z225:Z226)</f>
        <v>0</v>
      </c>
      <c r="AD7" s="453">
        <f t="shared" si="20"/>
        <v>0</v>
      </c>
      <c r="AE7" s="444">
        <f t="shared" si="21"/>
        <v>0</v>
      </c>
      <c r="AF7" s="444">
        <f t="shared" si="22"/>
        <v>0</v>
      </c>
      <c r="AG7" s="444">
        <f t="shared" si="23"/>
        <v>0</v>
      </c>
      <c r="AH7" s="445">
        <f t="shared" si="24"/>
        <v>0</v>
      </c>
      <c r="AI7" s="498">
        <f>AVERAGE('Cuadro Mando Integral Detallado'!AC150:AC152,'Cuadro Mando Integral Detallado'!AC205:AC206,'Cuadro Mando Integral Detallado'!AC225:AC226)</f>
        <v>0.17854911017524794</v>
      </c>
      <c r="AJ7" s="453">
        <f t="shared" si="25"/>
        <v>0.17854911017524794</v>
      </c>
      <c r="AK7" s="448">
        <f t="shared" si="26"/>
        <v>0.17854911017524794</v>
      </c>
      <c r="AL7" s="448">
        <f t="shared" si="27"/>
        <v>0.17854911017524794</v>
      </c>
      <c r="AM7" s="448">
        <f t="shared" si="28"/>
        <v>0.17854911017524794</v>
      </c>
      <c r="AN7" s="449">
        <f t="shared" si="29"/>
        <v>0.17854911017524794</v>
      </c>
      <c r="AO7" s="483"/>
      <c r="AP7" s="498">
        <f>AVERAGE('Cuadro Mando Integral Detallado'!AG150:AG152,'Cuadro Mando Integral Detallado'!AG205:AG206,'Cuadro Mando Integral Detallado'!AG225:AG226)</f>
        <v>0</v>
      </c>
      <c r="AQ7" s="453">
        <f t="shared" si="30"/>
        <v>0</v>
      </c>
      <c r="AR7" s="444">
        <f t="shared" si="31"/>
        <v>0</v>
      </c>
      <c r="AS7" s="444">
        <f t="shared" si="32"/>
        <v>0</v>
      </c>
      <c r="AT7" s="444">
        <f t="shared" si="33"/>
        <v>0</v>
      </c>
      <c r="AU7" s="445">
        <f t="shared" si="34"/>
        <v>0</v>
      </c>
      <c r="AV7" s="498">
        <f>AVERAGE('Cuadro Mando Integral Detallado'!AI150:AI152,'Cuadro Mando Integral Detallado'!AI205:AI206,'Cuadro Mando Integral Detallado'!AI225:AI226)</f>
        <v>0.17854911017524794</v>
      </c>
      <c r="AW7" s="453">
        <f t="shared" ref="AW7:AW14" si="39">+AV7</f>
        <v>0.17854911017524794</v>
      </c>
      <c r="AX7" s="448">
        <f t="shared" si="35"/>
        <v>0.17854911017524794</v>
      </c>
      <c r="AY7" s="448">
        <f t="shared" si="36"/>
        <v>0.17854911017524794</v>
      </c>
      <c r="AZ7" s="448">
        <f t="shared" si="37"/>
        <v>0.17854911017524794</v>
      </c>
      <c r="BA7" s="449">
        <f t="shared" si="38"/>
        <v>0.17854911017524794</v>
      </c>
    </row>
    <row r="8" spans="1:53" ht="36" x14ac:dyDescent="0.25">
      <c r="A8" s="441" t="s">
        <v>12</v>
      </c>
      <c r="B8" s="496"/>
      <c r="C8" s="498">
        <f>AVERAGE('Cuadro Mando Integral Detallado'!L140:L146,'Cuadro Mando Integral Detallado'!L190,'Cuadro Mando Integral Detallado'!L196:L198,'Cuadro Mando Integral Detallado'!L286)</f>
        <v>0.88721351785088942</v>
      </c>
      <c r="D8" s="453">
        <f>+C8</f>
        <v>0.88721351785088942</v>
      </c>
      <c r="E8" s="444">
        <f t="shared" si="1"/>
        <v>0.88721351785088942</v>
      </c>
      <c r="F8" s="444">
        <f t="shared" si="2"/>
        <v>0.88721351785088942</v>
      </c>
      <c r="G8" s="444">
        <f t="shared" si="3"/>
        <v>0.88721351785088942</v>
      </c>
      <c r="H8" s="445">
        <f t="shared" si="4"/>
        <v>0.88721351785088942</v>
      </c>
      <c r="I8" s="498">
        <f>AVERAGE('Cuadro Mando Integral Detallado'!O140:O146,'Cuadro Mando Integral Detallado'!O190,'Cuadro Mando Integral Detallado'!O196:O198,'Cuadro Mando Integral Detallado'!O286)</f>
        <v>0.22180337946272236</v>
      </c>
      <c r="J8" s="447">
        <f t="shared" si="5"/>
        <v>0.22180337946272236</v>
      </c>
      <c r="K8" s="448">
        <f t="shared" si="6"/>
        <v>0.22180337946272236</v>
      </c>
      <c r="L8" s="448">
        <f t="shared" si="7"/>
        <v>0.22180337946272236</v>
      </c>
      <c r="M8" s="448">
        <f t="shared" si="8"/>
        <v>0.22180337946272236</v>
      </c>
      <c r="N8" s="449">
        <f t="shared" si="9"/>
        <v>0.22180337946272236</v>
      </c>
      <c r="O8" s="11"/>
      <c r="P8" s="498">
        <f>AVERAGE('Cuadro Mando Integral Detallado'!S140:S146,'Cuadro Mando Integral Detallado'!S190,'Cuadro Mando Integral Detallado'!S196:S198,'Cuadro Mando Integral Detallado'!S286)</f>
        <v>0</v>
      </c>
      <c r="Q8" s="453">
        <f t="shared" si="10"/>
        <v>0</v>
      </c>
      <c r="R8" s="444">
        <f t="shared" si="11"/>
        <v>0</v>
      </c>
      <c r="S8" s="444">
        <f t="shared" si="12"/>
        <v>0</v>
      </c>
      <c r="T8" s="444">
        <f t="shared" si="13"/>
        <v>0</v>
      </c>
      <c r="U8" s="445">
        <f t="shared" si="14"/>
        <v>0</v>
      </c>
      <c r="V8" s="498">
        <f>AVERAGE('Cuadro Mando Integral Detallado'!V140:V146,'Cuadro Mando Integral Detallado'!V190,'Cuadro Mando Integral Detallado'!V196:V198,'Cuadro Mando Integral Detallado'!V286)</f>
        <v>0.16635253459704177</v>
      </c>
      <c r="W8" s="447">
        <f t="shared" si="15"/>
        <v>0.16635253459704177</v>
      </c>
      <c r="X8" s="448">
        <f t="shared" si="16"/>
        <v>0.16635253459704177</v>
      </c>
      <c r="Y8" s="448">
        <f t="shared" si="17"/>
        <v>0.16635253459704177</v>
      </c>
      <c r="Z8" s="448">
        <f t="shared" si="18"/>
        <v>0.16635253459704177</v>
      </c>
      <c r="AA8" s="449">
        <f t="shared" si="19"/>
        <v>0.16635253459704177</v>
      </c>
      <c r="AB8" s="499"/>
      <c r="AC8" s="498">
        <f>AVERAGE('Cuadro Mando Integral Detallado'!Z140:Z146,'Cuadro Mando Integral Detallado'!Z190,'Cuadro Mando Integral Detallado'!Z196:Z198,'Cuadro Mando Integral Detallado'!Z286)</f>
        <v>0</v>
      </c>
      <c r="AD8" s="453">
        <f t="shared" si="20"/>
        <v>0</v>
      </c>
      <c r="AE8" s="444">
        <f t="shared" si="21"/>
        <v>0</v>
      </c>
      <c r="AF8" s="444">
        <f t="shared" si="22"/>
        <v>0</v>
      </c>
      <c r="AG8" s="444">
        <f t="shared" si="23"/>
        <v>0</v>
      </c>
      <c r="AH8" s="445">
        <f t="shared" si="24"/>
        <v>0</v>
      </c>
      <c r="AI8" s="498">
        <f>AVERAGE('Cuadro Mando Integral Detallado'!AC140:AC146,'Cuadro Mando Integral Detallado'!AC190,'Cuadro Mando Integral Detallado'!AC196:AC198,'Cuadro Mando Integral Detallado'!AC286)</f>
        <v>0.16635253459704177</v>
      </c>
      <c r="AJ8" s="453">
        <f t="shared" si="25"/>
        <v>0.16635253459704177</v>
      </c>
      <c r="AK8" s="448">
        <f t="shared" si="26"/>
        <v>0.16635253459704177</v>
      </c>
      <c r="AL8" s="448">
        <f t="shared" si="27"/>
        <v>0.16635253459704177</v>
      </c>
      <c r="AM8" s="448">
        <f t="shared" si="28"/>
        <v>0.16635253459704177</v>
      </c>
      <c r="AN8" s="449">
        <f t="shared" si="29"/>
        <v>0.16635253459704177</v>
      </c>
      <c r="AO8" s="483"/>
      <c r="AP8" s="498">
        <f>AVERAGE('Cuadro Mando Integral Detallado'!AG140:AG146,'Cuadro Mando Integral Detallado'!AG190,'Cuadro Mando Integral Detallado'!AG196:AG198,'Cuadro Mando Integral Detallado'!AG286)</f>
        <v>0</v>
      </c>
      <c r="AQ8" s="453">
        <f t="shared" si="30"/>
        <v>0</v>
      </c>
      <c r="AR8" s="444">
        <f t="shared" si="31"/>
        <v>0</v>
      </c>
      <c r="AS8" s="444">
        <f t="shared" si="32"/>
        <v>0</v>
      </c>
      <c r="AT8" s="444">
        <f t="shared" si="33"/>
        <v>0</v>
      </c>
      <c r="AU8" s="445">
        <f t="shared" si="34"/>
        <v>0</v>
      </c>
      <c r="AV8" s="498">
        <f>AVERAGE('Cuadro Mando Integral Detallado'!AI140:AI146,'Cuadro Mando Integral Detallado'!AI190,'Cuadro Mando Integral Detallado'!AI196:AI198,'Cuadro Mando Integral Detallado'!AI286)</f>
        <v>0.16635253459704177</v>
      </c>
      <c r="AW8" s="453">
        <f t="shared" si="39"/>
        <v>0.16635253459704177</v>
      </c>
      <c r="AX8" s="448">
        <f t="shared" si="35"/>
        <v>0.16635253459704177</v>
      </c>
      <c r="AY8" s="448">
        <f t="shared" si="36"/>
        <v>0.16635253459704177</v>
      </c>
      <c r="AZ8" s="448">
        <f t="shared" si="37"/>
        <v>0.16635253459704177</v>
      </c>
      <c r="BA8" s="449">
        <f t="shared" si="38"/>
        <v>0.16635253459704177</v>
      </c>
    </row>
    <row r="9" spans="1:53" ht="18" x14ac:dyDescent="0.25">
      <c r="A9" s="441" t="s">
        <v>164</v>
      </c>
      <c r="B9" s="496"/>
      <c r="C9" s="498">
        <f>AVERAGE('Cuadro Mando Integral Detallado'!L128,'Cuadro Mando Integral Detallado'!L130:L135,'Cuadro Mando Integral Detallado'!L191,'Cuadro Mando Integral Detallado'!L193:L194,'Cuadro Mando Integral Detallado'!L287)</f>
        <v>0.66666819025165036</v>
      </c>
      <c r="D9" s="453">
        <f t="shared" si="0"/>
        <v>0.66666819025165036</v>
      </c>
      <c r="E9" s="444">
        <f t="shared" si="1"/>
        <v>0.66666819025165036</v>
      </c>
      <c r="F9" s="444">
        <f t="shared" si="2"/>
        <v>0.66666819025165036</v>
      </c>
      <c r="G9" s="444">
        <f t="shared" si="3"/>
        <v>0.66666819025165036</v>
      </c>
      <c r="H9" s="445">
        <f t="shared" si="4"/>
        <v>0.66666819025165036</v>
      </c>
      <c r="I9" s="498">
        <f>AVERAGE('Cuadro Mando Integral Detallado'!O128,'Cuadro Mando Integral Detallado'!O130:O135,'Cuadro Mando Integral Detallado'!O191,'Cuadro Mando Integral Detallado'!O193:O194,'Cuadro Mando Integral Detallado'!O287)</f>
        <v>0.16666704756291259</v>
      </c>
      <c r="J9" s="447">
        <f t="shared" si="5"/>
        <v>0.16666704756291259</v>
      </c>
      <c r="K9" s="448">
        <f t="shared" si="6"/>
        <v>0.16666704756291259</v>
      </c>
      <c r="L9" s="448">
        <f t="shared" si="7"/>
        <v>0.16666704756291259</v>
      </c>
      <c r="M9" s="448">
        <f t="shared" si="8"/>
        <v>0.16666704756291259</v>
      </c>
      <c r="N9" s="449">
        <f t="shared" si="9"/>
        <v>0.16666704756291259</v>
      </c>
      <c r="O9" s="11"/>
      <c r="P9" s="498" t="e">
        <f>AVERAGE('Cuadro Mando Integral Detallado'!S128:S135,'Cuadro Mando Integral Detallado'!S191,'Cuadro Mando Integral Detallado'!S193:S194,'Cuadro Mando Integral Detallado'!S287)</f>
        <v>#VALUE!</v>
      </c>
      <c r="Q9" s="453" t="e">
        <f t="shared" si="10"/>
        <v>#VALUE!</v>
      </c>
      <c r="R9" s="444" t="e">
        <f t="shared" si="11"/>
        <v>#VALUE!</v>
      </c>
      <c r="S9" s="444" t="e">
        <f t="shared" si="12"/>
        <v>#VALUE!</v>
      </c>
      <c r="T9" s="444" t="e">
        <f t="shared" si="13"/>
        <v>#VALUE!</v>
      </c>
      <c r="U9" s="445" t="e">
        <f t="shared" si="14"/>
        <v>#VALUE!</v>
      </c>
      <c r="V9" s="498" t="e">
        <f>AVERAGE('Cuadro Mando Integral Detallado'!V128:V135,'Cuadro Mando Integral Detallado'!V191,'Cuadro Mando Integral Detallado'!V193:V194,'Cuadro Mando Integral Detallado'!V287)</f>
        <v>#VALUE!</v>
      </c>
      <c r="W9" s="447" t="e">
        <f t="shared" si="15"/>
        <v>#VALUE!</v>
      </c>
      <c r="X9" s="448" t="e">
        <f t="shared" si="16"/>
        <v>#VALUE!</v>
      </c>
      <c r="Y9" s="448" t="e">
        <f t="shared" si="17"/>
        <v>#VALUE!</v>
      </c>
      <c r="Z9" s="448" t="e">
        <f t="shared" si="18"/>
        <v>#VALUE!</v>
      </c>
      <c r="AA9" s="449" t="e">
        <f t="shared" si="19"/>
        <v>#VALUE!</v>
      </c>
      <c r="AB9" s="483"/>
      <c r="AC9" s="498" t="e">
        <f>AVERAGE('Cuadro Mando Integral Detallado'!Z128:Z135,'Cuadro Mando Integral Detallado'!Z191,'Cuadro Mando Integral Detallado'!Z193:Z194,'Cuadro Mando Integral Detallado'!Z287)</f>
        <v>#VALUE!</v>
      </c>
      <c r="AD9" s="453" t="e">
        <f t="shared" si="20"/>
        <v>#VALUE!</v>
      </c>
      <c r="AE9" s="444" t="e">
        <f t="shared" si="21"/>
        <v>#VALUE!</v>
      </c>
      <c r="AF9" s="444" t="e">
        <f t="shared" si="22"/>
        <v>#VALUE!</v>
      </c>
      <c r="AG9" s="444" t="e">
        <f t="shared" si="23"/>
        <v>#VALUE!</v>
      </c>
      <c r="AH9" s="445" t="e">
        <f t="shared" si="24"/>
        <v>#VALUE!</v>
      </c>
      <c r="AI9" s="498" t="e">
        <f>AVERAGE('Cuadro Mando Integral Detallado'!AC128:AC135,'Cuadro Mando Integral Detallado'!AC191,'Cuadro Mando Integral Detallado'!AC193:AC194,'Cuadro Mando Integral Detallado'!AC287)</f>
        <v>#VALUE!</v>
      </c>
      <c r="AJ9" s="453" t="e">
        <f t="shared" si="25"/>
        <v>#VALUE!</v>
      </c>
      <c r="AK9" s="448" t="e">
        <f t="shared" si="26"/>
        <v>#VALUE!</v>
      </c>
      <c r="AL9" s="448" t="e">
        <f t="shared" si="27"/>
        <v>#VALUE!</v>
      </c>
      <c r="AM9" s="448" t="e">
        <f t="shared" si="28"/>
        <v>#VALUE!</v>
      </c>
      <c r="AN9" s="449" t="e">
        <f t="shared" si="29"/>
        <v>#VALUE!</v>
      </c>
      <c r="AO9" s="483"/>
      <c r="AP9" s="498" t="e">
        <f>AVERAGE('Cuadro Mando Integral Detallado'!AG128:AG135,'Cuadro Mando Integral Detallado'!AG191,'Cuadro Mando Integral Detallado'!AG193:AG194,'Cuadro Mando Integral Detallado'!AG287)</f>
        <v>#VALUE!</v>
      </c>
      <c r="AQ9" s="453" t="e">
        <f t="shared" si="30"/>
        <v>#VALUE!</v>
      </c>
      <c r="AR9" s="444" t="e">
        <f t="shared" si="31"/>
        <v>#VALUE!</v>
      </c>
      <c r="AS9" s="444" t="e">
        <f t="shared" si="32"/>
        <v>#VALUE!</v>
      </c>
      <c r="AT9" s="444" t="e">
        <f t="shared" si="33"/>
        <v>#VALUE!</v>
      </c>
      <c r="AU9" s="445" t="e">
        <f t="shared" si="34"/>
        <v>#VALUE!</v>
      </c>
      <c r="AV9" s="498" t="e">
        <f>AVERAGE('Cuadro Mando Integral Detallado'!AI128:AI135,'Cuadro Mando Integral Detallado'!AI191,'Cuadro Mando Integral Detallado'!AI193:AI194,'Cuadro Mando Integral Detallado'!AI287)</f>
        <v>#VALUE!</v>
      </c>
      <c r="AW9" s="453" t="e">
        <f t="shared" si="39"/>
        <v>#VALUE!</v>
      </c>
      <c r="AX9" s="448" t="e">
        <f t="shared" si="35"/>
        <v>#VALUE!</v>
      </c>
      <c r="AY9" s="448" t="e">
        <f t="shared" si="36"/>
        <v>#VALUE!</v>
      </c>
      <c r="AZ9" s="448" t="e">
        <f t="shared" si="37"/>
        <v>#VALUE!</v>
      </c>
      <c r="BA9" s="449" t="e">
        <f t="shared" si="38"/>
        <v>#VALUE!</v>
      </c>
    </row>
    <row r="10" spans="1:53" ht="54" x14ac:dyDescent="0.25">
      <c r="A10" s="441" t="s">
        <v>232</v>
      </c>
      <c r="B10" s="496"/>
      <c r="C10" s="498">
        <f>AVERAGE('Cuadro Mando Integral Detallado'!L136:L139,'Cuadro Mando Integral Detallado'!L180:L183,'Cuadro Mando Integral Detallado'!L195,'Cuadro Mando Integral Detallado'!L268:L281,'Cuadro Mando Integral Detallado'!L335:L337)</f>
        <v>0.99880845177829691</v>
      </c>
      <c r="D10" s="453">
        <f t="shared" si="0"/>
        <v>0.99880845177829691</v>
      </c>
      <c r="E10" s="444">
        <f t="shared" si="1"/>
        <v>0.99880845177829691</v>
      </c>
      <c r="F10" s="444">
        <f t="shared" si="2"/>
        <v>0.99880845177829691</v>
      </c>
      <c r="G10" s="444">
        <f t="shared" si="3"/>
        <v>0.99880845177829691</v>
      </c>
      <c r="H10" s="445">
        <f t="shared" si="4"/>
        <v>0.99880845177829691</v>
      </c>
      <c r="I10" s="498">
        <f>AVERAGE('Cuadro Mando Integral Detallado'!O136:O139,'Cuadro Mando Integral Detallado'!O180:O183,'Cuadro Mando Integral Detallado'!O195,'Cuadro Mando Integral Detallado'!O268:O281,'Cuadro Mando Integral Detallado'!O335:O337)</f>
        <v>0.49641322747272248</v>
      </c>
      <c r="J10" s="447">
        <f t="shared" si="5"/>
        <v>0.49641322747272248</v>
      </c>
      <c r="K10" s="448">
        <f t="shared" si="6"/>
        <v>0.49641322747272248</v>
      </c>
      <c r="L10" s="448">
        <f t="shared" si="7"/>
        <v>0.49641322747272248</v>
      </c>
      <c r="M10" s="448">
        <f t="shared" si="8"/>
        <v>0.49641322747272248</v>
      </c>
      <c r="N10" s="449">
        <f t="shared" si="9"/>
        <v>0.49641322747272248</v>
      </c>
      <c r="O10" s="11"/>
      <c r="P10" s="498">
        <f>AVERAGE('Cuadro Mando Integral Detallado'!S136:S139,'Cuadro Mando Integral Detallado'!S180:S183,'Cuadro Mando Integral Detallado'!S195,'Cuadro Mando Integral Detallado'!S268:S281,'Cuadro Mando Integral Detallado'!S335:S337)</f>
        <v>0</v>
      </c>
      <c r="Q10" s="453">
        <f t="shared" si="10"/>
        <v>0</v>
      </c>
      <c r="R10" s="444">
        <f t="shared" si="11"/>
        <v>0</v>
      </c>
      <c r="S10" s="444">
        <f t="shared" si="12"/>
        <v>0</v>
      </c>
      <c r="T10" s="444">
        <f t="shared" si="13"/>
        <v>0</v>
      </c>
      <c r="U10" s="445">
        <f t="shared" si="14"/>
        <v>0</v>
      </c>
      <c r="V10" s="498">
        <f>AVERAGE('Cuadro Mando Integral Detallado'!V136:V139,'Cuadro Mando Integral Detallado'!V180:V183,'Cuadro Mando Integral Detallado'!V195,'Cuadro Mando Integral Detallado'!V268:V281,'Cuadro Mando Integral Detallado'!V335:V337)</f>
        <v>0.32111210412771252</v>
      </c>
      <c r="W10" s="447">
        <f t="shared" si="15"/>
        <v>0.32111210412771252</v>
      </c>
      <c r="X10" s="448">
        <f t="shared" si="16"/>
        <v>0.32111210412771252</v>
      </c>
      <c r="Y10" s="448">
        <f t="shared" si="17"/>
        <v>0.32111210412771252</v>
      </c>
      <c r="Z10" s="448">
        <f t="shared" si="18"/>
        <v>0.32111210412771252</v>
      </c>
      <c r="AA10" s="449">
        <f t="shared" si="19"/>
        <v>0.32111210412771252</v>
      </c>
      <c r="AB10" s="483"/>
      <c r="AC10" s="498">
        <f>AVERAGE('Cuadro Mando Integral Detallado'!Z136:Z139,'Cuadro Mando Integral Detallado'!Z180:Z183,'Cuadro Mando Integral Detallado'!Z195,'Cuadro Mando Integral Detallado'!Z268:Z281,'Cuadro Mando Integral Detallado'!Z335:Z337)</f>
        <v>0</v>
      </c>
      <c r="AD10" s="453">
        <f t="shared" si="20"/>
        <v>0</v>
      </c>
      <c r="AE10" s="444">
        <f t="shared" si="21"/>
        <v>0</v>
      </c>
      <c r="AF10" s="444">
        <f t="shared" si="22"/>
        <v>0</v>
      </c>
      <c r="AG10" s="444">
        <f t="shared" si="23"/>
        <v>0</v>
      </c>
      <c r="AH10" s="445">
        <f t="shared" si="24"/>
        <v>0</v>
      </c>
      <c r="AI10" s="498">
        <f>AVERAGE('Cuadro Mando Integral Detallado'!AC136:AC139,'Cuadro Mando Integral Detallado'!AC180:AC183,'Cuadro Mando Integral Detallado'!AC195,'Cuadro Mando Integral Detallado'!AC268:AC281,'Cuadro Mando Integral Detallado'!AC335:AC337)</f>
        <v>0.30327254278728399</v>
      </c>
      <c r="AJ10" s="453">
        <f t="shared" si="25"/>
        <v>0.30327254278728399</v>
      </c>
      <c r="AK10" s="448">
        <f t="shared" si="26"/>
        <v>0.30327254278728399</v>
      </c>
      <c r="AL10" s="448">
        <f t="shared" si="27"/>
        <v>0.30327254278728399</v>
      </c>
      <c r="AM10" s="448">
        <f t="shared" si="28"/>
        <v>0.30327254278728399</v>
      </c>
      <c r="AN10" s="449">
        <f t="shared" si="29"/>
        <v>0.30327254278728399</v>
      </c>
      <c r="AO10" s="483"/>
      <c r="AP10" s="498">
        <f>AVERAGE('Cuadro Mando Integral Detallado'!AG136:AG139,'Cuadro Mando Integral Detallado'!AG180:AG183,'Cuadro Mando Integral Detallado'!AG195,'Cuadro Mando Integral Detallado'!AG268:AG281,'Cuadro Mando Integral Detallado'!AG335:AG337)</f>
        <v>0</v>
      </c>
      <c r="AQ10" s="453">
        <f t="shared" si="30"/>
        <v>0</v>
      </c>
      <c r="AR10" s="444">
        <f t="shared" si="31"/>
        <v>0</v>
      </c>
      <c r="AS10" s="444">
        <f t="shared" si="32"/>
        <v>0</v>
      </c>
      <c r="AT10" s="444">
        <f t="shared" si="33"/>
        <v>0</v>
      </c>
      <c r="AU10" s="445">
        <f t="shared" si="34"/>
        <v>0</v>
      </c>
      <c r="AV10" s="498">
        <f>AVERAGE('Cuadro Mando Integral Detallado'!AI136:AI139,'Cuadro Mando Integral Detallado'!AI180:AI183,'Cuadro Mando Integral Detallado'!AI195,'Cuadro Mando Integral Detallado'!AI268:AI281,'Cuadro Mando Integral Detallado'!AI335:AI337)</f>
        <v>0.29835623080684448</v>
      </c>
      <c r="AW10" s="453">
        <f t="shared" si="39"/>
        <v>0.29835623080684448</v>
      </c>
      <c r="AX10" s="448">
        <f t="shared" si="35"/>
        <v>0.29835623080684448</v>
      </c>
      <c r="AY10" s="448">
        <f t="shared" si="36"/>
        <v>0.29835623080684448</v>
      </c>
      <c r="AZ10" s="448">
        <f t="shared" si="37"/>
        <v>0.29835623080684448</v>
      </c>
      <c r="BA10" s="449">
        <f t="shared" si="38"/>
        <v>0.29835623080684448</v>
      </c>
    </row>
    <row r="11" spans="1:53" ht="36" x14ac:dyDescent="0.25">
      <c r="A11" s="500" t="s">
        <v>14</v>
      </c>
      <c r="B11" s="496"/>
      <c r="C11" s="498">
        <f>AVERAGE('Cuadro Mando Integral Detallado'!L167:L179,'Cuadro Mando Integral Detallado'!L237:L267,'Cuadro Mando Integral Detallado'!L289:L334)</f>
        <v>0.82668842422977573</v>
      </c>
      <c r="D11" s="453">
        <f t="shared" si="0"/>
        <v>0.82668842422977573</v>
      </c>
      <c r="E11" s="444">
        <f t="shared" si="1"/>
        <v>0.82668842422977573</v>
      </c>
      <c r="F11" s="444">
        <f t="shared" si="2"/>
        <v>0.82668842422977573</v>
      </c>
      <c r="G11" s="444">
        <f t="shared" si="3"/>
        <v>0.82668842422977573</v>
      </c>
      <c r="H11" s="445">
        <f t="shared" si="4"/>
        <v>0.82668842422977573</v>
      </c>
      <c r="I11" s="498">
        <f>AVERAGE('Cuadro Mando Integral Detallado'!O167:O179,'Cuadro Mando Integral Detallado'!O237:O267,'Cuadro Mando Integral Detallado'!O289:O334)</f>
        <v>0.39574847268300917</v>
      </c>
      <c r="J11" s="447">
        <f t="shared" si="5"/>
        <v>0.39574847268300917</v>
      </c>
      <c r="K11" s="448">
        <f t="shared" si="6"/>
        <v>0.39574847268300917</v>
      </c>
      <c r="L11" s="448">
        <f t="shared" si="7"/>
        <v>0.39574847268300917</v>
      </c>
      <c r="M11" s="448">
        <f t="shared" si="8"/>
        <v>0.39574847268300917</v>
      </c>
      <c r="N11" s="449">
        <f t="shared" si="9"/>
        <v>0.39574847268300917</v>
      </c>
      <c r="O11" s="11"/>
      <c r="P11" s="498">
        <f>AVERAGE('Cuadro Mando Integral Detallado'!S167:S179,'Cuadro Mando Integral Detallado'!S237:S267,'Cuadro Mando Integral Detallado'!S289:S334)</f>
        <v>0</v>
      </c>
      <c r="Q11" s="453">
        <f t="shared" si="10"/>
        <v>0</v>
      </c>
      <c r="R11" s="444">
        <f t="shared" si="11"/>
        <v>0</v>
      </c>
      <c r="S11" s="444">
        <f t="shared" si="12"/>
        <v>0</v>
      </c>
      <c r="T11" s="444">
        <f t="shared" si="13"/>
        <v>0</v>
      </c>
      <c r="U11" s="445">
        <f t="shared" si="14"/>
        <v>0</v>
      </c>
      <c r="V11" s="498" t="e">
        <f>AVERAGE('Cuadro Mando Integral Detallado'!V167:V179,'Cuadro Mando Integral Detallado'!V237:V267,'Cuadro Mando Integral Detallado'!V289:V334)</f>
        <v>#DIV/0!</v>
      </c>
      <c r="W11" s="447" t="e">
        <f t="shared" si="15"/>
        <v>#DIV/0!</v>
      </c>
      <c r="X11" s="448" t="e">
        <f t="shared" si="16"/>
        <v>#DIV/0!</v>
      </c>
      <c r="Y11" s="448" t="e">
        <f t="shared" si="17"/>
        <v>#DIV/0!</v>
      </c>
      <c r="Z11" s="448" t="e">
        <f t="shared" si="18"/>
        <v>#DIV/0!</v>
      </c>
      <c r="AA11" s="449" t="e">
        <f t="shared" si="19"/>
        <v>#DIV/0!</v>
      </c>
      <c r="AB11" s="483"/>
      <c r="AC11" s="498">
        <f>AVERAGE('Cuadro Mando Integral Detallado'!Z167:Z179,'Cuadro Mando Integral Detallado'!Z237:Z267,'Cuadro Mando Integral Detallado'!Z289:Z334)</f>
        <v>6.6666666666666666E-2</v>
      </c>
      <c r="AD11" s="453">
        <f t="shared" si="20"/>
        <v>6.6666666666666666E-2</v>
      </c>
      <c r="AE11" s="444">
        <f t="shared" si="21"/>
        <v>6.6666666666666666E-2</v>
      </c>
      <c r="AF11" s="444">
        <f t="shared" si="22"/>
        <v>6.6666666666666666E-2</v>
      </c>
      <c r="AG11" s="444">
        <f t="shared" si="23"/>
        <v>6.6666666666666666E-2</v>
      </c>
      <c r="AH11" s="445">
        <f t="shared" si="24"/>
        <v>6.6666666666666666E-2</v>
      </c>
      <c r="AI11" s="498" t="e">
        <f>AVERAGE('Cuadro Mando Integral Detallado'!AC167:AC179,'Cuadro Mando Integral Detallado'!AC237:AC267,'Cuadro Mando Integral Detallado'!AC289:AC334)</f>
        <v>#DIV/0!</v>
      </c>
      <c r="AJ11" s="453" t="e">
        <f t="shared" si="25"/>
        <v>#DIV/0!</v>
      </c>
      <c r="AK11" s="448" t="e">
        <f t="shared" si="26"/>
        <v>#DIV/0!</v>
      </c>
      <c r="AL11" s="448" t="e">
        <f t="shared" si="27"/>
        <v>#DIV/0!</v>
      </c>
      <c r="AM11" s="448" t="e">
        <f t="shared" si="28"/>
        <v>#DIV/0!</v>
      </c>
      <c r="AN11" s="449" t="e">
        <f t="shared" si="29"/>
        <v>#DIV/0!</v>
      </c>
      <c r="AO11" s="483"/>
      <c r="AP11" s="498">
        <f>AVERAGE('Cuadro Mando Integral Detallado'!AG167:AG179,'Cuadro Mando Integral Detallado'!AG237:AG267,'Cuadro Mando Integral Detallado'!AG289:AG334)</f>
        <v>0</v>
      </c>
      <c r="AQ11" s="453">
        <f t="shared" si="30"/>
        <v>0</v>
      </c>
      <c r="AR11" s="444">
        <f t="shared" si="31"/>
        <v>0</v>
      </c>
      <c r="AS11" s="444">
        <f t="shared" si="32"/>
        <v>0</v>
      </c>
      <c r="AT11" s="444">
        <f t="shared" si="33"/>
        <v>0</v>
      </c>
      <c r="AU11" s="445">
        <f t="shared" si="34"/>
        <v>0</v>
      </c>
      <c r="AV11" s="498" t="e">
        <f>AVERAGE('Cuadro Mando Integral Detallado'!AI167:AI179,'Cuadro Mando Integral Detallado'!AI237:AI267,'Cuadro Mando Integral Detallado'!AI289:AI334)</f>
        <v>#DIV/0!</v>
      </c>
      <c r="AW11" s="453" t="e">
        <f t="shared" si="39"/>
        <v>#DIV/0!</v>
      </c>
      <c r="AX11" s="448" t="e">
        <f t="shared" si="35"/>
        <v>#DIV/0!</v>
      </c>
      <c r="AY11" s="448" t="e">
        <f t="shared" si="36"/>
        <v>#DIV/0!</v>
      </c>
      <c r="AZ11" s="448" t="e">
        <f t="shared" si="37"/>
        <v>#DIV/0!</v>
      </c>
      <c r="BA11" s="449" t="e">
        <f t="shared" si="38"/>
        <v>#DIV/0!</v>
      </c>
    </row>
    <row r="12" spans="1:53" ht="36" x14ac:dyDescent="0.25">
      <c r="A12" s="500" t="s">
        <v>233</v>
      </c>
      <c r="B12" s="496"/>
      <c r="C12" s="498">
        <f>AVERAGE('Cuadro Mando Integral Detallado'!L184:L189,'Cuadro Mando Integral Detallado'!L227:L229,'Cuadro Mando Integral Detallado'!L282:L283,'Cuadro Mando Integral Detallado'!L285,'Cuadro Mando Integral Detallado'!L340:L341)</f>
        <v>0.72946859903381644</v>
      </c>
      <c r="D12" s="453">
        <f t="shared" si="0"/>
        <v>0.72946859903381644</v>
      </c>
      <c r="E12" s="444">
        <f t="shared" si="1"/>
        <v>0.72946859903381644</v>
      </c>
      <c r="F12" s="444">
        <f t="shared" si="2"/>
        <v>0.72946859903381644</v>
      </c>
      <c r="G12" s="444">
        <f t="shared" si="3"/>
        <v>0.72946859903381644</v>
      </c>
      <c r="H12" s="445">
        <f t="shared" si="4"/>
        <v>0.72946859903381644</v>
      </c>
      <c r="I12" s="498">
        <f>AVERAGE('Cuadro Mando Integral Detallado'!O184:O189,'Cuadro Mando Integral Detallado'!O227:O229,'Cuadro Mando Integral Detallado'!O282:O283,'Cuadro Mando Integral Detallado'!O285,'Cuadro Mando Integral Detallado'!O340:O341)</f>
        <v>0.47472826086956527</v>
      </c>
      <c r="J12" s="447">
        <f t="shared" si="5"/>
        <v>0.47472826086956527</v>
      </c>
      <c r="K12" s="448">
        <f t="shared" si="6"/>
        <v>0.47472826086956527</v>
      </c>
      <c r="L12" s="448">
        <f t="shared" si="7"/>
        <v>0.47472826086956527</v>
      </c>
      <c r="M12" s="448">
        <f t="shared" si="8"/>
        <v>0.47472826086956527</v>
      </c>
      <c r="N12" s="449">
        <f t="shared" si="9"/>
        <v>0.47472826086956527</v>
      </c>
      <c r="O12" s="11"/>
      <c r="P12" s="498">
        <f>AVERAGE('Cuadro Mando Integral Detallado'!S184:S189,'Cuadro Mando Integral Detallado'!S227:S229,'Cuadro Mando Integral Detallado'!S282:S285,'Cuadro Mando Integral Detallado'!S340:S341)</f>
        <v>0</v>
      </c>
      <c r="Q12" s="453">
        <f t="shared" si="10"/>
        <v>0</v>
      </c>
      <c r="R12" s="444">
        <f t="shared" si="11"/>
        <v>0</v>
      </c>
      <c r="S12" s="444">
        <f t="shared" si="12"/>
        <v>0</v>
      </c>
      <c r="T12" s="444">
        <f t="shared" si="13"/>
        <v>0</v>
      </c>
      <c r="U12" s="445">
        <f t="shared" si="14"/>
        <v>0</v>
      </c>
      <c r="V12" s="498" t="e">
        <f>AVERAGE('Cuadro Mando Integral Detallado'!V184:V189,'Cuadro Mando Integral Detallado'!V227:V229,'Cuadro Mando Integral Detallado'!V282:V285,'Cuadro Mando Integral Detallado'!V340:V341)</f>
        <v>#DIV/0!</v>
      </c>
      <c r="W12" s="447" t="e">
        <f t="shared" si="15"/>
        <v>#DIV/0!</v>
      </c>
      <c r="X12" s="448" t="e">
        <f t="shared" si="16"/>
        <v>#DIV/0!</v>
      </c>
      <c r="Y12" s="448" t="e">
        <f t="shared" si="17"/>
        <v>#DIV/0!</v>
      </c>
      <c r="Z12" s="448" t="e">
        <f t="shared" si="18"/>
        <v>#DIV/0!</v>
      </c>
      <c r="AA12" s="449" t="e">
        <f t="shared" si="19"/>
        <v>#DIV/0!</v>
      </c>
      <c r="AB12" s="483"/>
      <c r="AC12" s="498">
        <f>AVERAGE('Cuadro Mando Integral Detallado'!Z184:Z189,'Cuadro Mando Integral Detallado'!Z227:Z229,'Cuadro Mando Integral Detallado'!Z282:Z285,'Cuadro Mando Integral Detallado'!Z340:Z341)</f>
        <v>0</v>
      </c>
      <c r="AD12" s="453">
        <f t="shared" si="20"/>
        <v>0</v>
      </c>
      <c r="AE12" s="444">
        <f t="shared" si="21"/>
        <v>0</v>
      </c>
      <c r="AF12" s="444">
        <f t="shared" si="22"/>
        <v>0</v>
      </c>
      <c r="AG12" s="444">
        <f t="shared" si="23"/>
        <v>0</v>
      </c>
      <c r="AH12" s="445">
        <f t="shared" si="24"/>
        <v>0</v>
      </c>
      <c r="AI12" s="498" t="e">
        <f>AVERAGE('Cuadro Mando Integral Detallado'!AC184:AC189,'Cuadro Mando Integral Detallado'!AC227:AC229,'Cuadro Mando Integral Detallado'!AC282:AC285,'Cuadro Mando Integral Detallado'!AC340:AC341)</f>
        <v>#DIV/0!</v>
      </c>
      <c r="AJ12" s="453" t="e">
        <f t="shared" si="25"/>
        <v>#DIV/0!</v>
      </c>
      <c r="AK12" s="448" t="e">
        <f t="shared" si="26"/>
        <v>#DIV/0!</v>
      </c>
      <c r="AL12" s="448" t="e">
        <f t="shared" si="27"/>
        <v>#DIV/0!</v>
      </c>
      <c r="AM12" s="448" t="e">
        <f t="shared" si="28"/>
        <v>#DIV/0!</v>
      </c>
      <c r="AN12" s="449" t="e">
        <f t="shared" si="29"/>
        <v>#DIV/0!</v>
      </c>
      <c r="AO12" s="483"/>
      <c r="AP12" s="498">
        <f>AVERAGE('Cuadro Mando Integral Detallado'!AG184:AG189,'Cuadro Mando Integral Detallado'!AG227:AG229,'Cuadro Mando Integral Detallado'!AG282:AG285,'Cuadro Mando Integral Detallado'!AG340:AG341)</f>
        <v>0</v>
      </c>
      <c r="AQ12" s="453">
        <f t="shared" si="30"/>
        <v>0</v>
      </c>
      <c r="AR12" s="444">
        <f t="shared" si="31"/>
        <v>0</v>
      </c>
      <c r="AS12" s="444">
        <f t="shared" si="32"/>
        <v>0</v>
      </c>
      <c r="AT12" s="444">
        <f t="shared" si="33"/>
        <v>0</v>
      </c>
      <c r="AU12" s="445">
        <f t="shared" si="34"/>
        <v>0</v>
      </c>
      <c r="AV12" s="498" t="e">
        <f>AVERAGE('Cuadro Mando Integral Detallado'!AI184:AI189,'Cuadro Mando Integral Detallado'!AI227:AI229,'Cuadro Mando Integral Detallado'!AI282:AI285,'Cuadro Mando Integral Detallado'!AI340:AI341)</f>
        <v>#DIV/0!</v>
      </c>
      <c r="AW12" s="453" t="e">
        <f>+AV12</f>
        <v>#DIV/0!</v>
      </c>
      <c r="AX12" s="448" t="e">
        <f t="shared" si="35"/>
        <v>#DIV/0!</v>
      </c>
      <c r="AY12" s="448" t="e">
        <f t="shared" si="36"/>
        <v>#DIV/0!</v>
      </c>
      <c r="AZ12" s="448" t="e">
        <f t="shared" si="37"/>
        <v>#DIV/0!</v>
      </c>
      <c r="BA12" s="449" t="e">
        <f t="shared" si="38"/>
        <v>#DIV/0!</v>
      </c>
    </row>
    <row r="13" spans="1:53" ht="18" x14ac:dyDescent="0.25">
      <c r="A13" s="500" t="s">
        <v>125</v>
      </c>
      <c r="B13" s="496"/>
      <c r="C13" s="498">
        <f>AVERAGE('Cuadro Mando Integral Detallado'!L147:L149,'Cuadro Mando Integral Detallado'!L153:L158,'Cuadro Mando Integral Detallado'!L199:L204,'Cuadro Mando Integral Detallado'!L207:L220,'Cuadro Mando Integral Detallado'!L230)</f>
        <v>0.64375638738322771</v>
      </c>
      <c r="D13" s="453">
        <f t="shared" si="0"/>
        <v>0.64375638738322771</v>
      </c>
      <c r="E13" s="444">
        <f t="shared" si="1"/>
        <v>0.64375638738322771</v>
      </c>
      <c r="F13" s="444">
        <f t="shared" si="2"/>
        <v>0.64375638738322771</v>
      </c>
      <c r="G13" s="444">
        <f t="shared" si="3"/>
        <v>0.64375638738322771</v>
      </c>
      <c r="H13" s="445">
        <f t="shared" si="4"/>
        <v>0.64375638738322771</v>
      </c>
      <c r="I13" s="498">
        <f>AVERAGE('Cuadro Mando Integral Detallado'!O147:O149,'Cuadro Mando Integral Detallado'!O153:O158,'Cuadro Mando Integral Detallado'!O199:O204,'Cuadro Mando Integral Detallado'!O207:O220,'Cuadro Mando Integral Detallado'!O230)</f>
        <v>0.24942773320944328</v>
      </c>
      <c r="J13" s="447">
        <f t="shared" si="5"/>
        <v>0.24942773320944328</v>
      </c>
      <c r="K13" s="448">
        <f t="shared" si="6"/>
        <v>0.24942773320944328</v>
      </c>
      <c r="L13" s="448">
        <f t="shared" si="7"/>
        <v>0.24942773320944328</v>
      </c>
      <c r="M13" s="448">
        <f t="shared" si="8"/>
        <v>0.24942773320944328</v>
      </c>
      <c r="N13" s="449">
        <f t="shared" si="9"/>
        <v>0.24942773320944328</v>
      </c>
      <c r="O13" s="11"/>
      <c r="P13" s="498">
        <f>AVERAGE('Cuadro Mando Integral Detallado'!S147:S149,'Cuadro Mando Integral Detallado'!S153:S158,'Cuadro Mando Integral Detallado'!S199:S204,'Cuadro Mando Integral Detallado'!S207:S220,'Cuadro Mando Integral Detallado'!S230)</f>
        <v>0</v>
      </c>
      <c r="Q13" s="453">
        <f t="shared" si="10"/>
        <v>0</v>
      </c>
      <c r="R13" s="444">
        <f t="shared" si="11"/>
        <v>0</v>
      </c>
      <c r="S13" s="444">
        <f t="shared" si="12"/>
        <v>0</v>
      </c>
      <c r="T13" s="444">
        <f t="shared" si="13"/>
        <v>0</v>
      </c>
      <c r="U13" s="445">
        <f t="shared" si="14"/>
        <v>0</v>
      </c>
      <c r="V13" s="498">
        <f>AVERAGE('Cuadro Mando Integral Detallado'!V147:V149,'Cuadro Mando Integral Detallado'!V153:V158,'Cuadro Mando Integral Detallado'!V199:V204,'Cuadro Mando Integral Detallado'!V207:V220,'Cuadro Mando Integral Detallado'!V230)</f>
        <v>0.1440128071382453</v>
      </c>
      <c r="W13" s="447">
        <f t="shared" si="15"/>
        <v>0.1440128071382453</v>
      </c>
      <c r="X13" s="448">
        <f t="shared" si="16"/>
        <v>0.1440128071382453</v>
      </c>
      <c r="Y13" s="448">
        <f t="shared" si="17"/>
        <v>0.1440128071382453</v>
      </c>
      <c r="Z13" s="448">
        <f t="shared" si="18"/>
        <v>0.1440128071382453</v>
      </c>
      <c r="AA13" s="449">
        <f t="shared" si="19"/>
        <v>0.1440128071382453</v>
      </c>
      <c r="AB13" s="483"/>
      <c r="AC13" s="498">
        <f>AVERAGE('Cuadro Mando Integral Detallado'!Z147:Z149,'Cuadro Mando Integral Detallado'!Z153:Z158,'Cuadro Mando Integral Detallado'!Z199:Z204,'Cuadro Mando Integral Detallado'!Z207:Z220,'Cuadro Mando Integral Detallado'!Z230)</f>
        <v>0</v>
      </c>
      <c r="AD13" s="453">
        <f t="shared" si="20"/>
        <v>0</v>
      </c>
      <c r="AE13" s="444">
        <f t="shared" si="21"/>
        <v>0</v>
      </c>
      <c r="AF13" s="444">
        <f t="shared" si="22"/>
        <v>0</v>
      </c>
      <c r="AG13" s="444">
        <f t="shared" si="23"/>
        <v>0</v>
      </c>
      <c r="AH13" s="445">
        <f t="shared" si="24"/>
        <v>0</v>
      </c>
      <c r="AI13" s="498">
        <f>AVERAGE('Cuadro Mando Integral Detallado'!AC147:AC149,'Cuadro Mando Integral Detallado'!AC153:AC158,'Cuadro Mando Integral Detallado'!AC199:AC204,'Cuadro Mando Integral Detallado'!AC207:AC220,'Cuadro Mando Integral Detallado'!AC230)</f>
        <v>0.15121344749515758</v>
      </c>
      <c r="AJ13" s="453">
        <f t="shared" si="25"/>
        <v>0.15121344749515758</v>
      </c>
      <c r="AK13" s="448">
        <f t="shared" si="26"/>
        <v>0.15121344749515758</v>
      </c>
      <c r="AL13" s="448">
        <f t="shared" si="27"/>
        <v>0.15121344749515758</v>
      </c>
      <c r="AM13" s="448">
        <f t="shared" si="28"/>
        <v>0.15121344749515758</v>
      </c>
      <c r="AN13" s="449">
        <f t="shared" si="29"/>
        <v>0.15121344749515758</v>
      </c>
      <c r="AO13" s="483"/>
      <c r="AP13" s="498">
        <f>AVERAGE('Cuadro Mando Integral Detallado'!AG147:AG149,'Cuadro Mando Integral Detallado'!AG153:AG158,'Cuadro Mando Integral Detallado'!AG199:AG204,'Cuadro Mando Integral Detallado'!AG207:AG220,'Cuadro Mando Integral Detallado'!AG230)</f>
        <v>0</v>
      </c>
      <c r="AQ13" s="453">
        <f t="shared" si="30"/>
        <v>0</v>
      </c>
      <c r="AR13" s="444">
        <f t="shared" si="31"/>
        <v>0</v>
      </c>
      <c r="AS13" s="444">
        <f t="shared" si="32"/>
        <v>0</v>
      </c>
      <c r="AT13" s="444">
        <f t="shared" si="33"/>
        <v>0</v>
      </c>
      <c r="AU13" s="445">
        <f t="shared" si="34"/>
        <v>0</v>
      </c>
      <c r="AV13" s="498">
        <f>AVERAGE('Cuadro Mando Integral Detallado'!AI147:AI149,'Cuadro Mando Integral Detallado'!AI153:AI158,'Cuadro Mando Integral Detallado'!AI199:AI204,'Cuadro Mando Integral Detallado'!AI207:AI220,'Cuadro Mando Integral Detallado'!AI230)</f>
        <v>0.1794381767822554</v>
      </c>
      <c r="AW13" s="453">
        <f t="shared" si="39"/>
        <v>0.1794381767822554</v>
      </c>
      <c r="AX13" s="448">
        <f t="shared" si="35"/>
        <v>0.1794381767822554</v>
      </c>
      <c r="AY13" s="448">
        <f t="shared" si="36"/>
        <v>0.1794381767822554</v>
      </c>
      <c r="AZ13" s="448">
        <f t="shared" si="37"/>
        <v>0.1794381767822554</v>
      </c>
      <c r="BA13" s="449">
        <f t="shared" si="38"/>
        <v>0.1794381767822554</v>
      </c>
    </row>
    <row r="14" spans="1:53" ht="18.75" thickBot="1" x14ac:dyDescent="0.3">
      <c r="A14" s="455" t="s">
        <v>3</v>
      </c>
      <c r="B14" s="501"/>
      <c r="C14" s="502">
        <f>AVERAGE('Cuadro Mando Integral Detallado'!L166,'Cuadro Mando Integral Detallado'!L231:L236,'Cuadro Mando Integral Detallado'!L339)</f>
        <v>0.8571428571428571</v>
      </c>
      <c r="D14" s="467">
        <f t="shared" si="0"/>
        <v>0.8571428571428571</v>
      </c>
      <c r="E14" s="458">
        <f t="shared" si="1"/>
        <v>0.8571428571428571</v>
      </c>
      <c r="F14" s="458">
        <f t="shared" si="2"/>
        <v>0.8571428571428571</v>
      </c>
      <c r="G14" s="458">
        <f t="shared" si="3"/>
        <v>0.8571428571428571</v>
      </c>
      <c r="H14" s="459">
        <f t="shared" si="4"/>
        <v>0.8571428571428571</v>
      </c>
      <c r="I14" s="502">
        <f>AVERAGE('Cuadro Mando Integral Detallado'!O166,'Cuadro Mando Integral Detallado'!O231:R236,'Cuadro Mando Integral Detallado'!O339)</f>
        <v>0.11265432098765432</v>
      </c>
      <c r="J14" s="461">
        <f t="shared" si="5"/>
        <v>0.11265432098765432</v>
      </c>
      <c r="K14" s="462">
        <f t="shared" si="6"/>
        <v>0.11265432098765432</v>
      </c>
      <c r="L14" s="462">
        <f t="shared" si="7"/>
        <v>0.11265432098765432</v>
      </c>
      <c r="M14" s="462">
        <f t="shared" si="8"/>
        <v>0.11265432098765432</v>
      </c>
      <c r="N14" s="463">
        <f t="shared" si="9"/>
        <v>0.11265432098765432</v>
      </c>
      <c r="O14" s="11"/>
      <c r="P14" s="502">
        <f>AVERAGE('Cuadro Mando Integral Detallado'!S166,'Cuadro Mando Integral Detallado'!S231:S236,'Cuadro Mando Integral Detallado'!S339)</f>
        <v>0</v>
      </c>
      <c r="Q14" s="467">
        <f t="shared" si="10"/>
        <v>0</v>
      </c>
      <c r="R14" s="458">
        <f t="shared" si="11"/>
        <v>0</v>
      </c>
      <c r="S14" s="458">
        <f t="shared" si="12"/>
        <v>0</v>
      </c>
      <c r="T14" s="458">
        <f t="shared" si="13"/>
        <v>0</v>
      </c>
      <c r="U14" s="459">
        <f t="shared" si="14"/>
        <v>0</v>
      </c>
      <c r="V14" s="502">
        <f>AVERAGE('Cuadro Mando Integral Detallado'!V166,'Cuadro Mando Integral Detallado'!V231:V236,'Cuadro Mando Integral Detallado'!V339)</f>
        <v>0.25347222222222221</v>
      </c>
      <c r="W14" s="461">
        <f t="shared" si="15"/>
        <v>0.25347222222222221</v>
      </c>
      <c r="X14" s="462">
        <f t="shared" si="16"/>
        <v>0.25347222222222221</v>
      </c>
      <c r="Y14" s="462">
        <f t="shared" si="17"/>
        <v>0.25347222222222221</v>
      </c>
      <c r="Z14" s="462">
        <f t="shared" si="18"/>
        <v>0.25347222222222221</v>
      </c>
      <c r="AA14" s="463">
        <f>+W14</f>
        <v>0.25347222222222221</v>
      </c>
      <c r="AB14" s="483"/>
      <c r="AC14" s="502">
        <f>AVERAGE('Cuadro Mando Integral Detallado'!Z166,'Cuadro Mando Integral Detallado'!Z231:Z236,'Cuadro Mando Integral Detallado'!Z339)</f>
        <v>0</v>
      </c>
      <c r="AD14" s="467">
        <f t="shared" si="20"/>
        <v>0</v>
      </c>
      <c r="AE14" s="458">
        <f t="shared" si="21"/>
        <v>0</v>
      </c>
      <c r="AF14" s="458">
        <f t="shared" si="22"/>
        <v>0</v>
      </c>
      <c r="AG14" s="458">
        <f t="shared" si="23"/>
        <v>0</v>
      </c>
      <c r="AH14" s="459">
        <f t="shared" si="24"/>
        <v>0</v>
      </c>
      <c r="AI14" s="502">
        <f>AVERAGE('Cuadro Mando Integral Detallado'!AC166,'Cuadro Mando Integral Detallado'!AC231:AC236,'Cuadro Mando Integral Detallado'!AC339)</f>
        <v>0.25347222222222221</v>
      </c>
      <c r="AJ14" s="467">
        <f t="shared" si="25"/>
        <v>0.25347222222222221</v>
      </c>
      <c r="AK14" s="462">
        <f t="shared" si="26"/>
        <v>0.25347222222222221</v>
      </c>
      <c r="AL14" s="462">
        <f t="shared" si="27"/>
        <v>0.25347222222222221</v>
      </c>
      <c r="AM14" s="462">
        <f t="shared" si="28"/>
        <v>0.25347222222222221</v>
      </c>
      <c r="AN14" s="463">
        <f t="shared" si="29"/>
        <v>0.25347222222222221</v>
      </c>
      <c r="AO14" s="483"/>
      <c r="AP14" s="502">
        <f>AVERAGE('Cuadro Mando Integral Detallado'!AG166,'Cuadro Mando Integral Detallado'!AG231:AG236,'Cuadro Mando Integral Detallado'!AG339)</f>
        <v>0</v>
      </c>
      <c r="AQ14" s="467">
        <f t="shared" si="30"/>
        <v>0</v>
      </c>
      <c r="AR14" s="458">
        <f t="shared" si="31"/>
        <v>0</v>
      </c>
      <c r="AS14" s="458">
        <f t="shared" si="32"/>
        <v>0</v>
      </c>
      <c r="AT14" s="458">
        <f t="shared" si="33"/>
        <v>0</v>
      </c>
      <c r="AU14" s="459">
        <f t="shared" si="34"/>
        <v>0</v>
      </c>
      <c r="AV14" s="502">
        <f>AVERAGE('Cuadro Mando Integral Detallado'!AI166,'Cuadro Mando Integral Detallado'!AI231:AI236,'Cuadro Mando Integral Detallado'!AI339)</f>
        <v>0.25347222222222221</v>
      </c>
      <c r="AW14" s="467">
        <f t="shared" si="39"/>
        <v>0.25347222222222221</v>
      </c>
      <c r="AX14" s="462">
        <f>+AV14</f>
        <v>0.25347222222222221</v>
      </c>
      <c r="AY14" s="462">
        <f t="shared" si="36"/>
        <v>0.25347222222222221</v>
      </c>
      <c r="AZ14" s="462">
        <f t="shared" si="37"/>
        <v>0.25347222222222221</v>
      </c>
      <c r="BA14" s="463">
        <f t="shared" si="38"/>
        <v>0.25347222222222221</v>
      </c>
    </row>
    <row r="15" spans="1:53" x14ac:dyDescent="0.25">
      <c r="A15" s="13"/>
    </row>
  </sheetData>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601" priority="301" stopIfTrue="1" operator="between">
      <formula>0</formula>
      <formula>0.5</formula>
    </cfRule>
  </conditionalFormatting>
  <conditionalFormatting sqref="R6">
    <cfRule type="cellIs" dxfId="600" priority="300" operator="between">
      <formula>0.51</formula>
      <formula>0.75</formula>
    </cfRule>
  </conditionalFormatting>
  <conditionalFormatting sqref="S6">
    <cfRule type="cellIs" dxfId="599" priority="299" operator="between">
      <formula>0.76</formula>
      <formula>0.95</formula>
    </cfRule>
  </conditionalFormatting>
  <conditionalFormatting sqref="T6">
    <cfRule type="cellIs" dxfId="598" priority="298" operator="between">
      <formula>0.95</formula>
      <formula>1</formula>
    </cfRule>
  </conditionalFormatting>
  <conditionalFormatting sqref="U6">
    <cfRule type="cellIs" dxfId="597" priority="297" operator="greaterThan">
      <formula>1</formula>
    </cfRule>
  </conditionalFormatting>
  <conditionalFormatting sqref="Q7">
    <cfRule type="cellIs" dxfId="596" priority="296" stopIfTrue="1" operator="between">
      <formula>0</formula>
      <formula>0.5</formula>
    </cfRule>
  </conditionalFormatting>
  <conditionalFormatting sqref="R7">
    <cfRule type="cellIs" dxfId="595" priority="295" operator="between">
      <formula>0.51</formula>
      <formula>0.75</formula>
    </cfRule>
  </conditionalFormatting>
  <conditionalFormatting sqref="S7">
    <cfRule type="cellIs" dxfId="594" priority="294" operator="between">
      <formula>0.76</formula>
      <formula>0.95</formula>
    </cfRule>
  </conditionalFormatting>
  <conditionalFormatting sqref="T7">
    <cfRule type="cellIs" dxfId="593" priority="293" operator="between">
      <formula>0.95</formula>
      <formula>1</formula>
    </cfRule>
  </conditionalFormatting>
  <conditionalFormatting sqref="U7">
    <cfRule type="cellIs" dxfId="592" priority="292" operator="greaterThan">
      <formula>1</formula>
    </cfRule>
  </conditionalFormatting>
  <conditionalFormatting sqref="Q8">
    <cfRule type="cellIs" dxfId="591" priority="291" stopIfTrue="1" operator="between">
      <formula>0</formula>
      <formula>0.5</formula>
    </cfRule>
  </conditionalFormatting>
  <conditionalFormatting sqref="R8">
    <cfRule type="cellIs" dxfId="590" priority="290" operator="between">
      <formula>0.51</formula>
      <formula>0.75</formula>
    </cfRule>
  </conditionalFormatting>
  <conditionalFormatting sqref="S8">
    <cfRule type="cellIs" dxfId="589" priority="289" operator="between">
      <formula>0.76</formula>
      <formula>0.95</formula>
    </cfRule>
  </conditionalFormatting>
  <conditionalFormatting sqref="T8">
    <cfRule type="cellIs" dxfId="588" priority="288" operator="between">
      <formula>0.95</formula>
      <formula>1</formula>
    </cfRule>
  </conditionalFormatting>
  <conditionalFormatting sqref="U8">
    <cfRule type="cellIs" dxfId="587" priority="287" operator="greaterThan">
      <formula>1</formula>
    </cfRule>
  </conditionalFormatting>
  <conditionalFormatting sqref="Q9">
    <cfRule type="cellIs" dxfId="586" priority="286" stopIfTrue="1" operator="between">
      <formula>0</formula>
      <formula>0.5</formula>
    </cfRule>
  </conditionalFormatting>
  <conditionalFormatting sqref="R9">
    <cfRule type="cellIs" dxfId="585" priority="285" operator="between">
      <formula>0.51</formula>
      <formula>0.75</formula>
    </cfRule>
  </conditionalFormatting>
  <conditionalFormatting sqref="S9">
    <cfRule type="cellIs" dxfId="584" priority="284" operator="between">
      <formula>0.76</formula>
      <formula>0.95</formula>
    </cfRule>
  </conditionalFormatting>
  <conditionalFormatting sqref="T9">
    <cfRule type="cellIs" dxfId="583" priority="283" operator="between">
      <formula>0.95</formula>
      <formula>1</formula>
    </cfRule>
  </conditionalFormatting>
  <conditionalFormatting sqref="U9">
    <cfRule type="cellIs" dxfId="582" priority="282" operator="greaterThan">
      <formula>1</formula>
    </cfRule>
  </conditionalFormatting>
  <conditionalFormatting sqref="Q10">
    <cfRule type="cellIs" dxfId="581" priority="281" stopIfTrue="1" operator="between">
      <formula>0</formula>
      <formula>0.5</formula>
    </cfRule>
  </conditionalFormatting>
  <conditionalFormatting sqref="R10">
    <cfRule type="cellIs" dxfId="580" priority="280" operator="between">
      <formula>0.51</formula>
      <formula>0.75</formula>
    </cfRule>
  </conditionalFormatting>
  <conditionalFormatting sqref="S10">
    <cfRule type="cellIs" dxfId="579" priority="279" operator="between">
      <formula>0.76</formula>
      <formula>0.95</formula>
    </cfRule>
  </conditionalFormatting>
  <conditionalFormatting sqref="T10">
    <cfRule type="cellIs" dxfId="578" priority="278" operator="between">
      <formula>0.95</formula>
      <formula>1</formula>
    </cfRule>
  </conditionalFormatting>
  <conditionalFormatting sqref="U10">
    <cfRule type="cellIs" dxfId="577" priority="277" operator="greaterThan">
      <formula>1</formula>
    </cfRule>
  </conditionalFormatting>
  <conditionalFormatting sqref="Q11">
    <cfRule type="cellIs" dxfId="576" priority="276" stopIfTrue="1" operator="between">
      <formula>0</formula>
      <formula>0.5</formula>
    </cfRule>
  </conditionalFormatting>
  <conditionalFormatting sqref="R11">
    <cfRule type="cellIs" dxfId="575" priority="275" operator="between">
      <formula>0.51</formula>
      <formula>0.75</formula>
    </cfRule>
  </conditionalFormatting>
  <conditionalFormatting sqref="S11">
    <cfRule type="cellIs" dxfId="574" priority="274" operator="between">
      <formula>0.76</formula>
      <formula>0.95</formula>
    </cfRule>
  </conditionalFormatting>
  <conditionalFormatting sqref="T11">
    <cfRule type="cellIs" dxfId="573" priority="273" operator="between">
      <formula>0.95</formula>
      <formula>1</formula>
    </cfRule>
  </conditionalFormatting>
  <conditionalFormatting sqref="U11">
    <cfRule type="cellIs" dxfId="572" priority="272" operator="greaterThan">
      <formula>1</formula>
    </cfRule>
  </conditionalFormatting>
  <conditionalFormatting sqref="Q12">
    <cfRule type="cellIs" dxfId="571" priority="271" stopIfTrue="1" operator="between">
      <formula>0</formula>
      <formula>0.5</formula>
    </cfRule>
  </conditionalFormatting>
  <conditionalFormatting sqref="R12">
    <cfRule type="cellIs" dxfId="570" priority="270" operator="between">
      <formula>0.51</formula>
      <formula>0.75</formula>
    </cfRule>
  </conditionalFormatting>
  <conditionalFormatting sqref="S12">
    <cfRule type="cellIs" dxfId="569" priority="269" operator="between">
      <formula>0.76</formula>
      <formula>0.95</formula>
    </cfRule>
  </conditionalFormatting>
  <conditionalFormatting sqref="T12">
    <cfRule type="cellIs" dxfId="568" priority="268" operator="between">
      <formula>0.95</formula>
      <formula>1</formula>
    </cfRule>
  </conditionalFormatting>
  <conditionalFormatting sqref="U12">
    <cfRule type="cellIs" dxfId="567" priority="267" operator="greaterThan">
      <formula>1</formula>
    </cfRule>
  </conditionalFormatting>
  <conditionalFormatting sqref="Q13">
    <cfRule type="cellIs" dxfId="566" priority="266" stopIfTrue="1" operator="between">
      <formula>0</formula>
      <formula>0.5</formula>
    </cfRule>
  </conditionalFormatting>
  <conditionalFormatting sqref="R13">
    <cfRule type="cellIs" dxfId="565" priority="265" operator="between">
      <formula>0.51</formula>
      <formula>0.75</formula>
    </cfRule>
  </conditionalFormatting>
  <conditionalFormatting sqref="S13">
    <cfRule type="cellIs" dxfId="564" priority="264" operator="between">
      <formula>0.76</formula>
      <formula>0.95</formula>
    </cfRule>
  </conditionalFormatting>
  <conditionalFormatting sqref="T13">
    <cfRule type="cellIs" dxfId="563" priority="263" operator="between">
      <formula>0.95</formula>
      <formula>1</formula>
    </cfRule>
  </conditionalFormatting>
  <conditionalFormatting sqref="U13">
    <cfRule type="cellIs" dxfId="562" priority="262" operator="greaterThan">
      <formula>1</formula>
    </cfRule>
  </conditionalFormatting>
  <conditionalFormatting sqref="Q14">
    <cfRule type="cellIs" dxfId="561" priority="261" stopIfTrue="1" operator="between">
      <formula>0</formula>
      <formula>0.5</formula>
    </cfRule>
  </conditionalFormatting>
  <conditionalFormatting sqref="R14">
    <cfRule type="cellIs" dxfId="560" priority="260" operator="between">
      <formula>0.51</formula>
      <formula>0.75</formula>
    </cfRule>
  </conditionalFormatting>
  <conditionalFormatting sqref="S14">
    <cfRule type="cellIs" dxfId="559" priority="259" operator="between">
      <formula>0.76</formula>
      <formula>0.95</formula>
    </cfRule>
  </conditionalFormatting>
  <conditionalFormatting sqref="T14">
    <cfRule type="cellIs" dxfId="558" priority="258" operator="between">
      <formula>0.95</formula>
      <formula>1</formula>
    </cfRule>
  </conditionalFormatting>
  <conditionalFormatting sqref="U14">
    <cfRule type="cellIs" dxfId="557" priority="257" operator="greaterThan">
      <formula>1</formula>
    </cfRule>
  </conditionalFormatting>
  <conditionalFormatting sqref="W7">
    <cfRule type="cellIs" dxfId="556" priority="256" stopIfTrue="1" operator="between">
      <formula>0</formula>
      <formula>0.255</formula>
    </cfRule>
  </conditionalFormatting>
  <conditionalFormatting sqref="X7">
    <cfRule type="cellIs" dxfId="555" priority="255" operator="between">
      <formula>0.2551</formula>
      <formula>0.375</formula>
    </cfRule>
  </conditionalFormatting>
  <conditionalFormatting sqref="Y7">
    <cfRule type="cellIs" dxfId="554" priority="254" operator="between">
      <formula>0.3751</formula>
      <formula>0.475</formula>
    </cfRule>
  </conditionalFormatting>
  <conditionalFormatting sqref="Z7">
    <cfRule type="cellIs" dxfId="553" priority="253" operator="between">
      <formula>0.48</formula>
      <formula>0.51</formula>
    </cfRule>
  </conditionalFormatting>
  <conditionalFormatting sqref="AA7">
    <cfRule type="cellIs" dxfId="552" priority="252" operator="greaterThan">
      <formula>0.505</formula>
    </cfRule>
  </conditionalFormatting>
  <conditionalFormatting sqref="W9">
    <cfRule type="cellIs" dxfId="551" priority="251" stopIfTrue="1" operator="between">
      <formula>0</formula>
      <formula>0.255</formula>
    </cfRule>
  </conditionalFormatting>
  <conditionalFormatting sqref="X9">
    <cfRule type="cellIs" dxfId="550" priority="250" operator="between">
      <formula>0.2551</formula>
      <formula>0.375</formula>
    </cfRule>
  </conditionalFormatting>
  <conditionalFormatting sqref="Y9">
    <cfRule type="cellIs" dxfId="549" priority="249" operator="between">
      <formula>0.38</formula>
      <formula>0.475</formula>
    </cfRule>
  </conditionalFormatting>
  <conditionalFormatting sqref="Z9">
    <cfRule type="cellIs" dxfId="548" priority="248" operator="between">
      <formula>0.48</formula>
      <formula>0.51</formula>
    </cfRule>
  </conditionalFormatting>
  <conditionalFormatting sqref="AA9">
    <cfRule type="cellIs" dxfId="547" priority="247" operator="greaterThan">
      <formula>0.505</formula>
    </cfRule>
  </conditionalFormatting>
  <conditionalFormatting sqref="W10">
    <cfRule type="cellIs" dxfId="546" priority="246" stopIfTrue="1" operator="between">
      <formula>0</formula>
      <formula>0.255</formula>
    </cfRule>
  </conditionalFormatting>
  <conditionalFormatting sqref="X10">
    <cfRule type="cellIs" dxfId="545" priority="245" operator="between">
      <formula>0.2551</formula>
      <formula>0.375</formula>
    </cfRule>
  </conditionalFormatting>
  <conditionalFormatting sqref="Y10">
    <cfRule type="cellIs" dxfId="544" priority="244" operator="between">
      <formula>0.38</formula>
      <formula>0.475</formula>
    </cfRule>
  </conditionalFormatting>
  <conditionalFormatting sqref="Z10">
    <cfRule type="cellIs" dxfId="543" priority="243" operator="between">
      <formula>0.48</formula>
      <formula>0.51</formula>
    </cfRule>
  </conditionalFormatting>
  <conditionalFormatting sqref="AA10">
    <cfRule type="cellIs" dxfId="542" priority="242" operator="greaterThan">
      <formula>0.505</formula>
    </cfRule>
  </conditionalFormatting>
  <conditionalFormatting sqref="W11">
    <cfRule type="cellIs" dxfId="541" priority="241" stopIfTrue="1" operator="between">
      <formula>0</formula>
      <formula>0.255</formula>
    </cfRule>
  </conditionalFormatting>
  <conditionalFormatting sqref="X11">
    <cfRule type="cellIs" dxfId="540" priority="240" operator="between">
      <formula>0.2551</formula>
      <formula>0.375</formula>
    </cfRule>
  </conditionalFormatting>
  <conditionalFormatting sqref="Y11">
    <cfRule type="cellIs" dxfId="539" priority="239" operator="between">
      <formula>0.38</formula>
      <formula>0.475</formula>
    </cfRule>
  </conditionalFormatting>
  <conditionalFormatting sqref="Z11">
    <cfRule type="cellIs" dxfId="538" priority="238" operator="between">
      <formula>0.48</formula>
      <formula>0.51</formula>
    </cfRule>
  </conditionalFormatting>
  <conditionalFormatting sqref="AA11">
    <cfRule type="cellIs" dxfId="537" priority="237" operator="greaterThan">
      <formula>0.505</formula>
    </cfRule>
  </conditionalFormatting>
  <conditionalFormatting sqref="W12">
    <cfRule type="cellIs" dxfId="536" priority="236" stopIfTrue="1" operator="between">
      <formula>0</formula>
      <formula>0.255</formula>
    </cfRule>
  </conditionalFormatting>
  <conditionalFormatting sqref="X12">
    <cfRule type="cellIs" dxfId="535" priority="235" operator="between">
      <formula>0.2551</formula>
      <formula>0.375</formula>
    </cfRule>
  </conditionalFormatting>
  <conditionalFormatting sqref="Y12">
    <cfRule type="cellIs" dxfId="534" priority="234" operator="between">
      <formula>0.38</formula>
      <formula>0.475</formula>
    </cfRule>
  </conditionalFormatting>
  <conditionalFormatting sqref="Z12">
    <cfRule type="cellIs" dxfId="533" priority="233" operator="between">
      <formula>0.48</formula>
      <formula>0.51</formula>
    </cfRule>
  </conditionalFormatting>
  <conditionalFormatting sqref="AA12">
    <cfRule type="cellIs" dxfId="532" priority="232" operator="greaterThan">
      <formula>0.505</formula>
    </cfRule>
  </conditionalFormatting>
  <conditionalFormatting sqref="W13">
    <cfRule type="cellIs" dxfId="531" priority="231" stopIfTrue="1" operator="between">
      <formula>0</formula>
      <formula>0.255</formula>
    </cfRule>
  </conditionalFormatting>
  <conditionalFormatting sqref="X13">
    <cfRule type="cellIs" dxfId="530" priority="230" operator="between">
      <formula>0.2551</formula>
      <formula>0.375</formula>
    </cfRule>
  </conditionalFormatting>
  <conditionalFormatting sqref="Y13">
    <cfRule type="cellIs" dxfId="529" priority="229" operator="between">
      <formula>0.38</formula>
      <formula>0.475</formula>
    </cfRule>
  </conditionalFormatting>
  <conditionalFormatting sqref="Z13">
    <cfRule type="cellIs" dxfId="528" priority="228" operator="between">
      <formula>0.48</formula>
      <formula>0.51</formula>
    </cfRule>
  </conditionalFormatting>
  <conditionalFormatting sqref="AA13">
    <cfRule type="cellIs" dxfId="527" priority="227" operator="greaterThan">
      <formula>0.505</formula>
    </cfRule>
  </conditionalFormatting>
  <conditionalFormatting sqref="W14">
    <cfRule type="cellIs" dxfId="526" priority="226" stopIfTrue="1" operator="between">
      <formula>0</formula>
      <formula>0.255</formula>
    </cfRule>
  </conditionalFormatting>
  <conditionalFormatting sqref="X14">
    <cfRule type="cellIs" dxfId="525" priority="225" operator="between">
      <formula>0.2551</formula>
      <formula>0.375</formula>
    </cfRule>
  </conditionalFormatting>
  <conditionalFormatting sqref="Y14">
    <cfRule type="cellIs" dxfId="524" priority="224" operator="between">
      <formula>0.38</formula>
      <formula>0.475</formula>
    </cfRule>
  </conditionalFormatting>
  <conditionalFormatting sqref="Z14">
    <cfRule type="cellIs" dxfId="523" priority="223" operator="between">
      <formula>0.48</formula>
      <formula>0.51</formula>
    </cfRule>
  </conditionalFormatting>
  <conditionalFormatting sqref="AA14">
    <cfRule type="cellIs" dxfId="522" priority="222" operator="greaterThan">
      <formula>0.505</formula>
    </cfRule>
  </conditionalFormatting>
  <conditionalFormatting sqref="AD6">
    <cfRule type="cellIs" dxfId="521" priority="221" stopIfTrue="1" operator="between">
      <formula>0</formula>
      <formula>0.5</formula>
    </cfRule>
  </conditionalFormatting>
  <conditionalFormatting sqref="AE6">
    <cfRule type="cellIs" dxfId="520" priority="220" operator="between">
      <formula>0.51</formula>
      <formula>0.75</formula>
    </cfRule>
  </conditionalFormatting>
  <conditionalFormatting sqref="AF6">
    <cfRule type="cellIs" dxfId="519" priority="219" operator="between">
      <formula>0.76</formula>
      <formula>0.95</formula>
    </cfRule>
  </conditionalFormatting>
  <conditionalFormatting sqref="AG6">
    <cfRule type="cellIs" dxfId="518" priority="218" operator="between">
      <formula>0.95</formula>
      <formula>1</formula>
    </cfRule>
  </conditionalFormatting>
  <conditionalFormatting sqref="AH6">
    <cfRule type="cellIs" dxfId="517" priority="217" operator="greaterThan">
      <formula>1</formula>
    </cfRule>
  </conditionalFormatting>
  <conditionalFormatting sqref="AD7">
    <cfRule type="cellIs" dxfId="516" priority="216" stopIfTrue="1" operator="between">
      <formula>0</formula>
      <formula>0.5</formula>
    </cfRule>
  </conditionalFormatting>
  <conditionalFormatting sqref="AE7">
    <cfRule type="cellIs" dxfId="515" priority="215" operator="between">
      <formula>0.51</formula>
      <formula>0.75</formula>
    </cfRule>
  </conditionalFormatting>
  <conditionalFormatting sqref="AF7">
    <cfRule type="cellIs" dxfId="514" priority="214" operator="between">
      <formula>0.76</formula>
      <formula>0.95</formula>
    </cfRule>
  </conditionalFormatting>
  <conditionalFormatting sqref="AG7">
    <cfRule type="cellIs" dxfId="513" priority="213" operator="between">
      <formula>0.95</formula>
      <formula>1</formula>
    </cfRule>
  </conditionalFormatting>
  <conditionalFormatting sqref="AH7">
    <cfRule type="cellIs" dxfId="512" priority="212" operator="greaterThan">
      <formula>1</formula>
    </cfRule>
  </conditionalFormatting>
  <conditionalFormatting sqref="AD8">
    <cfRule type="cellIs" dxfId="511" priority="211" stopIfTrue="1" operator="between">
      <formula>0</formula>
      <formula>0.5</formula>
    </cfRule>
  </conditionalFormatting>
  <conditionalFormatting sqref="AE8">
    <cfRule type="cellIs" dxfId="510" priority="210" operator="between">
      <formula>0.51</formula>
      <formula>0.75</formula>
    </cfRule>
  </conditionalFormatting>
  <conditionalFormatting sqref="AF8">
    <cfRule type="cellIs" dxfId="509" priority="209" operator="between">
      <formula>0.76</formula>
      <formula>0.95</formula>
    </cfRule>
  </conditionalFormatting>
  <conditionalFormatting sqref="AG8">
    <cfRule type="cellIs" dxfId="508" priority="208" operator="between">
      <formula>0.95</formula>
      <formula>1</formula>
    </cfRule>
  </conditionalFormatting>
  <conditionalFormatting sqref="AH8">
    <cfRule type="cellIs" dxfId="507" priority="207" operator="greaterThan">
      <formula>1</formula>
    </cfRule>
  </conditionalFormatting>
  <conditionalFormatting sqref="AD9">
    <cfRule type="cellIs" dxfId="506" priority="206" stopIfTrue="1" operator="between">
      <formula>0</formula>
      <formula>0.5</formula>
    </cfRule>
  </conditionalFormatting>
  <conditionalFormatting sqref="AE9">
    <cfRule type="cellIs" dxfId="505" priority="205" operator="between">
      <formula>0.51</formula>
      <formula>0.75</formula>
    </cfRule>
  </conditionalFormatting>
  <conditionalFormatting sqref="AF9">
    <cfRule type="cellIs" dxfId="504" priority="204" operator="between">
      <formula>0.76</formula>
      <formula>0.95</formula>
    </cfRule>
  </conditionalFormatting>
  <conditionalFormatting sqref="AG9">
    <cfRule type="cellIs" dxfId="503" priority="203" operator="between">
      <formula>0.95</formula>
      <formula>1</formula>
    </cfRule>
  </conditionalFormatting>
  <conditionalFormatting sqref="AH9">
    <cfRule type="cellIs" dxfId="502" priority="202" operator="greaterThan">
      <formula>1</formula>
    </cfRule>
  </conditionalFormatting>
  <conditionalFormatting sqref="AD10">
    <cfRule type="cellIs" dxfId="501" priority="201" stopIfTrue="1" operator="between">
      <formula>0</formula>
      <formula>0.5</formula>
    </cfRule>
  </conditionalFormatting>
  <conditionalFormatting sqref="AE10">
    <cfRule type="cellIs" dxfId="500" priority="200" operator="between">
      <formula>0.51</formula>
      <formula>0.75</formula>
    </cfRule>
  </conditionalFormatting>
  <conditionalFormatting sqref="AF10">
    <cfRule type="cellIs" dxfId="499" priority="199" operator="between">
      <formula>0.76</formula>
      <formula>0.95</formula>
    </cfRule>
  </conditionalFormatting>
  <conditionalFormatting sqref="AG10">
    <cfRule type="cellIs" dxfId="498" priority="198" operator="between">
      <formula>0.95</formula>
      <formula>1</formula>
    </cfRule>
  </conditionalFormatting>
  <conditionalFormatting sqref="AH10">
    <cfRule type="cellIs" dxfId="497" priority="197" operator="greaterThan">
      <formula>1</formula>
    </cfRule>
  </conditionalFormatting>
  <conditionalFormatting sqref="AD11">
    <cfRule type="cellIs" dxfId="496" priority="196" stopIfTrue="1" operator="between">
      <formula>0</formula>
      <formula>0.5</formula>
    </cfRule>
  </conditionalFormatting>
  <conditionalFormatting sqref="AE11">
    <cfRule type="cellIs" dxfId="495" priority="195" operator="between">
      <formula>0.51</formula>
      <formula>0.75</formula>
    </cfRule>
  </conditionalFormatting>
  <conditionalFormatting sqref="AF11">
    <cfRule type="cellIs" dxfId="494" priority="194" operator="between">
      <formula>0.76</formula>
      <formula>0.95</formula>
    </cfRule>
  </conditionalFormatting>
  <conditionalFormatting sqref="AG11">
    <cfRule type="cellIs" dxfId="493" priority="193" operator="between">
      <formula>0.95</formula>
      <formula>1</formula>
    </cfRule>
  </conditionalFormatting>
  <conditionalFormatting sqref="AH11">
    <cfRule type="cellIs" dxfId="492" priority="192" operator="greaterThan">
      <formula>1</formula>
    </cfRule>
  </conditionalFormatting>
  <conditionalFormatting sqref="AD12">
    <cfRule type="cellIs" dxfId="491" priority="191" stopIfTrue="1" operator="between">
      <formula>0</formula>
      <formula>0.5</formula>
    </cfRule>
  </conditionalFormatting>
  <conditionalFormatting sqref="AE12">
    <cfRule type="cellIs" dxfId="490" priority="190" operator="between">
      <formula>0.51</formula>
      <formula>0.75</formula>
    </cfRule>
  </conditionalFormatting>
  <conditionalFormatting sqref="AF12">
    <cfRule type="cellIs" dxfId="489" priority="189" operator="between">
      <formula>0.76</formula>
      <formula>0.95</formula>
    </cfRule>
  </conditionalFormatting>
  <conditionalFormatting sqref="AG12">
    <cfRule type="cellIs" dxfId="488" priority="188" operator="between">
      <formula>0.95</formula>
      <formula>1</formula>
    </cfRule>
  </conditionalFormatting>
  <conditionalFormatting sqref="AH12">
    <cfRule type="cellIs" dxfId="487" priority="187" operator="greaterThan">
      <formula>1</formula>
    </cfRule>
  </conditionalFormatting>
  <conditionalFormatting sqref="AD13">
    <cfRule type="cellIs" dxfId="486" priority="186" stopIfTrue="1" operator="between">
      <formula>0</formula>
      <formula>0.5</formula>
    </cfRule>
  </conditionalFormatting>
  <conditionalFormatting sqref="AE13">
    <cfRule type="cellIs" dxfId="485" priority="185" operator="between">
      <formula>0.51</formula>
      <formula>0.75</formula>
    </cfRule>
  </conditionalFormatting>
  <conditionalFormatting sqref="AF13">
    <cfRule type="cellIs" dxfId="484" priority="184" operator="between">
      <formula>0.76</formula>
      <formula>0.95</formula>
    </cfRule>
  </conditionalFormatting>
  <conditionalFormatting sqref="AG13">
    <cfRule type="cellIs" dxfId="483" priority="183" operator="between">
      <formula>0.95</formula>
      <formula>1</formula>
    </cfRule>
  </conditionalFormatting>
  <conditionalFormatting sqref="AH13">
    <cfRule type="cellIs" dxfId="482" priority="182" operator="greaterThan">
      <formula>1</formula>
    </cfRule>
  </conditionalFormatting>
  <conditionalFormatting sqref="AD14">
    <cfRule type="cellIs" dxfId="481" priority="181" stopIfTrue="1" operator="between">
      <formula>0</formula>
      <formula>0.5</formula>
    </cfRule>
  </conditionalFormatting>
  <conditionalFormatting sqref="AE14">
    <cfRule type="cellIs" dxfId="480" priority="180" operator="between">
      <formula>0.51</formula>
      <formula>0.75</formula>
    </cfRule>
  </conditionalFormatting>
  <conditionalFormatting sqref="AF14">
    <cfRule type="cellIs" dxfId="479" priority="179" operator="between">
      <formula>0.76</formula>
      <formula>0.95</formula>
    </cfRule>
  </conditionalFormatting>
  <conditionalFormatting sqref="AG14">
    <cfRule type="cellIs" dxfId="478" priority="178" operator="between">
      <formula>0.95</formula>
      <formula>1</formula>
    </cfRule>
  </conditionalFormatting>
  <conditionalFormatting sqref="AH14">
    <cfRule type="cellIs" dxfId="477" priority="177" operator="greaterThan">
      <formula>1</formula>
    </cfRule>
  </conditionalFormatting>
  <conditionalFormatting sqref="AJ6">
    <cfRule type="cellIs" dxfId="476" priority="176" stopIfTrue="1" operator="between">
      <formula>0</formula>
      <formula>0.375</formula>
    </cfRule>
  </conditionalFormatting>
  <conditionalFormatting sqref="AK6">
    <cfRule type="cellIs" dxfId="475" priority="175" operator="between">
      <formula>0.3751</formula>
      <formula>0.5625</formula>
    </cfRule>
  </conditionalFormatting>
  <conditionalFormatting sqref="AL6">
    <cfRule type="cellIs" dxfId="474" priority="174" operator="between">
      <formula>0.563</formula>
      <formula>0.7125</formula>
    </cfRule>
  </conditionalFormatting>
  <conditionalFormatting sqref="AM6">
    <cfRule type="cellIs" dxfId="473" priority="173" operator="between">
      <formula>0.713</formula>
      <formula>0.75</formula>
    </cfRule>
  </conditionalFormatting>
  <conditionalFormatting sqref="AN6">
    <cfRule type="cellIs" dxfId="472" priority="172" operator="greaterThan">
      <formula>0.755</formula>
    </cfRule>
  </conditionalFormatting>
  <conditionalFormatting sqref="AJ7">
    <cfRule type="cellIs" dxfId="471" priority="171" stopIfTrue="1" operator="between">
      <formula>0</formula>
      <formula>0.375</formula>
    </cfRule>
  </conditionalFormatting>
  <conditionalFormatting sqref="AK7">
    <cfRule type="cellIs" dxfId="470" priority="170" operator="between">
      <formula>0.3751</formula>
      <formula>0.5625</formula>
    </cfRule>
  </conditionalFormatting>
  <conditionalFormatting sqref="AL7">
    <cfRule type="cellIs" dxfId="469" priority="169" operator="between">
      <formula>0.563</formula>
      <formula>0.7125</formula>
    </cfRule>
  </conditionalFormatting>
  <conditionalFormatting sqref="AM7">
    <cfRule type="cellIs" dxfId="468" priority="168" operator="between">
      <formula>0.713</formula>
      <formula>0.75</formula>
    </cfRule>
  </conditionalFormatting>
  <conditionalFormatting sqref="AN7">
    <cfRule type="cellIs" dxfId="467" priority="167" operator="greaterThan">
      <formula>0.755</formula>
    </cfRule>
  </conditionalFormatting>
  <conditionalFormatting sqref="AJ8">
    <cfRule type="cellIs" dxfId="466" priority="166" stopIfTrue="1" operator="between">
      <formula>0</formula>
      <formula>0.375</formula>
    </cfRule>
  </conditionalFormatting>
  <conditionalFormatting sqref="AK8">
    <cfRule type="cellIs" dxfId="465" priority="165" operator="between">
      <formula>0.3751</formula>
      <formula>0.5625</formula>
    </cfRule>
  </conditionalFormatting>
  <conditionalFormatting sqref="AL8">
    <cfRule type="cellIs" dxfId="464" priority="164" operator="between">
      <formula>0.563</formula>
      <formula>0.7125</formula>
    </cfRule>
  </conditionalFormatting>
  <conditionalFormatting sqref="AM8">
    <cfRule type="cellIs" dxfId="463" priority="163" operator="between">
      <formula>0.713</formula>
      <formula>0.75</formula>
    </cfRule>
  </conditionalFormatting>
  <conditionalFormatting sqref="AN8">
    <cfRule type="cellIs" dxfId="462" priority="162" operator="greaterThan">
      <formula>0.755</formula>
    </cfRule>
  </conditionalFormatting>
  <conditionalFormatting sqref="AJ9">
    <cfRule type="cellIs" dxfId="461" priority="161" stopIfTrue="1" operator="between">
      <formula>0</formula>
      <formula>0.375</formula>
    </cfRule>
  </conditionalFormatting>
  <conditionalFormatting sqref="AK9">
    <cfRule type="cellIs" dxfId="460" priority="160" operator="between">
      <formula>0.3751</formula>
      <formula>0.5625</formula>
    </cfRule>
  </conditionalFormatting>
  <conditionalFormatting sqref="AL9">
    <cfRule type="cellIs" dxfId="459" priority="159" operator="between">
      <formula>0.563</formula>
      <formula>0.7125</formula>
    </cfRule>
  </conditionalFormatting>
  <conditionalFormatting sqref="AM9">
    <cfRule type="cellIs" dxfId="458" priority="158" operator="between">
      <formula>0.713</formula>
      <formula>0.75</formula>
    </cfRule>
  </conditionalFormatting>
  <conditionalFormatting sqref="AN9">
    <cfRule type="cellIs" dxfId="457" priority="157" operator="greaterThan">
      <formula>0.755</formula>
    </cfRule>
  </conditionalFormatting>
  <conditionalFormatting sqref="AJ10">
    <cfRule type="cellIs" dxfId="456" priority="156" stopIfTrue="1" operator="between">
      <formula>0</formula>
      <formula>0.375</formula>
    </cfRule>
  </conditionalFormatting>
  <conditionalFormatting sqref="AK10">
    <cfRule type="cellIs" dxfId="455" priority="155" operator="between">
      <formula>0.3751</formula>
      <formula>0.5625</formula>
    </cfRule>
  </conditionalFormatting>
  <conditionalFormatting sqref="AL10">
    <cfRule type="cellIs" dxfId="454" priority="154" operator="between">
      <formula>0.563</formula>
      <formula>0.7125</formula>
    </cfRule>
  </conditionalFormatting>
  <conditionalFormatting sqref="AM10">
    <cfRule type="cellIs" dxfId="453" priority="153" operator="between">
      <formula>0.713</formula>
      <formula>0.75</formula>
    </cfRule>
  </conditionalFormatting>
  <conditionalFormatting sqref="AN10">
    <cfRule type="cellIs" dxfId="452" priority="152" operator="greaterThan">
      <formula>0.755</formula>
    </cfRule>
  </conditionalFormatting>
  <conditionalFormatting sqref="AJ11">
    <cfRule type="cellIs" dxfId="451" priority="151" stopIfTrue="1" operator="between">
      <formula>0</formula>
      <formula>0.375</formula>
    </cfRule>
  </conditionalFormatting>
  <conditionalFormatting sqref="AK11">
    <cfRule type="cellIs" dxfId="450" priority="150" operator="between">
      <formula>0.3751</formula>
      <formula>0.5625</formula>
    </cfRule>
  </conditionalFormatting>
  <conditionalFormatting sqref="AL11">
    <cfRule type="cellIs" dxfId="449" priority="149" operator="between">
      <formula>0.563</formula>
      <formula>0.7125</formula>
    </cfRule>
  </conditionalFormatting>
  <conditionalFormatting sqref="AM11">
    <cfRule type="cellIs" dxfId="448" priority="148" operator="between">
      <formula>0.713</formula>
      <formula>0.75</formula>
    </cfRule>
  </conditionalFormatting>
  <conditionalFormatting sqref="AN11">
    <cfRule type="cellIs" dxfId="447" priority="147" operator="greaterThan">
      <formula>0.755</formula>
    </cfRule>
  </conditionalFormatting>
  <conditionalFormatting sqref="AJ12">
    <cfRule type="cellIs" dxfId="446" priority="146" stopIfTrue="1" operator="between">
      <formula>0</formula>
      <formula>0.375</formula>
    </cfRule>
  </conditionalFormatting>
  <conditionalFormatting sqref="AK12">
    <cfRule type="cellIs" dxfId="445" priority="145" operator="between">
      <formula>0.3751</formula>
      <formula>0.5625</formula>
    </cfRule>
  </conditionalFormatting>
  <conditionalFormatting sqref="AL12">
    <cfRule type="cellIs" dxfId="444" priority="144" operator="between">
      <formula>0.563</formula>
      <formula>0.7125</formula>
    </cfRule>
  </conditionalFormatting>
  <conditionalFormatting sqref="AM12">
    <cfRule type="cellIs" dxfId="443" priority="143" operator="between">
      <formula>0.713</formula>
      <formula>0.75</formula>
    </cfRule>
  </conditionalFormatting>
  <conditionalFormatting sqref="AN12">
    <cfRule type="cellIs" dxfId="442" priority="142" operator="greaterThan">
      <formula>0.755</formula>
    </cfRule>
  </conditionalFormatting>
  <conditionalFormatting sqref="AJ13">
    <cfRule type="cellIs" dxfId="441" priority="141" stopIfTrue="1" operator="between">
      <formula>0</formula>
      <formula>0.375</formula>
    </cfRule>
  </conditionalFormatting>
  <conditionalFormatting sqref="AK13">
    <cfRule type="cellIs" dxfId="440" priority="140" operator="between">
      <formula>0.3751</formula>
      <formula>0.5625</formula>
    </cfRule>
  </conditionalFormatting>
  <conditionalFormatting sqref="AL13">
    <cfRule type="cellIs" dxfId="439" priority="139" operator="between">
      <formula>0.563</formula>
      <formula>0.7125</formula>
    </cfRule>
  </conditionalFormatting>
  <conditionalFormatting sqref="AM13">
    <cfRule type="cellIs" dxfId="438" priority="138" operator="between">
      <formula>0.713</formula>
      <formula>0.75</formula>
    </cfRule>
  </conditionalFormatting>
  <conditionalFormatting sqref="AN13">
    <cfRule type="cellIs" dxfId="437" priority="137" operator="greaterThan">
      <formula>0.755</formula>
    </cfRule>
  </conditionalFormatting>
  <conditionalFormatting sqref="AJ14">
    <cfRule type="cellIs" dxfId="436" priority="136" stopIfTrue="1" operator="between">
      <formula>0</formula>
      <formula>0.375</formula>
    </cfRule>
  </conditionalFormatting>
  <conditionalFormatting sqref="AK14">
    <cfRule type="cellIs" dxfId="435" priority="135" operator="between">
      <formula>0.3751</formula>
      <formula>0.5625</formula>
    </cfRule>
  </conditionalFormatting>
  <conditionalFormatting sqref="AL14">
    <cfRule type="cellIs" dxfId="434" priority="134" operator="between">
      <formula>0.563</formula>
      <formula>0.7125</formula>
    </cfRule>
  </conditionalFormatting>
  <conditionalFormatting sqref="AM14">
    <cfRule type="cellIs" dxfId="433" priority="133" operator="between">
      <formula>0.713</formula>
      <formula>0.75</formula>
    </cfRule>
  </conditionalFormatting>
  <conditionalFormatting sqref="AN14">
    <cfRule type="cellIs" dxfId="432" priority="132" operator="greaterThan">
      <formula>0.755</formula>
    </cfRule>
  </conditionalFormatting>
  <conditionalFormatting sqref="AQ6">
    <cfRule type="cellIs" dxfId="431" priority="131" stopIfTrue="1" operator="between">
      <formula>0</formula>
      <formula>0.5</formula>
    </cfRule>
  </conditionalFormatting>
  <conditionalFormatting sqref="AR6">
    <cfRule type="cellIs" dxfId="430" priority="130" operator="between">
      <formula>0.51</formula>
      <formula>0.75</formula>
    </cfRule>
  </conditionalFormatting>
  <conditionalFormatting sqref="AS6">
    <cfRule type="cellIs" dxfId="429" priority="129" operator="between">
      <formula>0.76</formula>
      <formula>0.95</formula>
    </cfRule>
  </conditionalFormatting>
  <conditionalFormatting sqref="AT6">
    <cfRule type="cellIs" dxfId="428" priority="128" operator="between">
      <formula>0.95</formula>
      <formula>1</formula>
    </cfRule>
  </conditionalFormatting>
  <conditionalFormatting sqref="AU6">
    <cfRule type="cellIs" dxfId="427" priority="127" operator="greaterThan">
      <formula>1</formula>
    </cfRule>
  </conditionalFormatting>
  <conditionalFormatting sqref="AQ7">
    <cfRule type="cellIs" dxfId="426" priority="126" stopIfTrue="1" operator="between">
      <formula>0</formula>
      <formula>0.5</formula>
    </cfRule>
  </conditionalFormatting>
  <conditionalFormatting sqref="AR7">
    <cfRule type="cellIs" dxfId="425" priority="125" operator="between">
      <formula>0.51</formula>
      <formula>0.75</formula>
    </cfRule>
  </conditionalFormatting>
  <conditionalFormatting sqref="AS7">
    <cfRule type="cellIs" dxfId="424" priority="124" operator="between">
      <formula>0.76</formula>
      <formula>0.95</formula>
    </cfRule>
  </conditionalFormatting>
  <conditionalFormatting sqref="AT7">
    <cfRule type="cellIs" dxfId="423" priority="123" operator="between">
      <formula>0.95</formula>
      <formula>1</formula>
    </cfRule>
  </conditionalFormatting>
  <conditionalFormatting sqref="AU7">
    <cfRule type="cellIs" dxfId="422" priority="122" operator="greaterThan">
      <formula>1</formula>
    </cfRule>
  </conditionalFormatting>
  <conditionalFormatting sqref="AQ8">
    <cfRule type="cellIs" dxfId="421" priority="121" stopIfTrue="1" operator="between">
      <formula>0</formula>
      <formula>0.5</formula>
    </cfRule>
  </conditionalFormatting>
  <conditionalFormatting sqref="AR8">
    <cfRule type="cellIs" dxfId="420" priority="120" operator="between">
      <formula>0.51</formula>
      <formula>0.75</formula>
    </cfRule>
  </conditionalFormatting>
  <conditionalFormatting sqref="AS8">
    <cfRule type="cellIs" dxfId="419" priority="119" operator="between">
      <formula>0.76</formula>
      <formula>0.95</formula>
    </cfRule>
  </conditionalFormatting>
  <conditionalFormatting sqref="AT8">
    <cfRule type="cellIs" dxfId="418" priority="118" operator="between">
      <formula>0.95</formula>
      <formula>1</formula>
    </cfRule>
  </conditionalFormatting>
  <conditionalFormatting sqref="AU8">
    <cfRule type="cellIs" dxfId="417" priority="117" operator="greaterThan">
      <formula>1</formula>
    </cfRule>
  </conditionalFormatting>
  <conditionalFormatting sqref="AQ9">
    <cfRule type="cellIs" dxfId="416" priority="116" stopIfTrue="1" operator="between">
      <formula>0</formula>
      <formula>0.5</formula>
    </cfRule>
  </conditionalFormatting>
  <conditionalFormatting sqref="AR9">
    <cfRule type="cellIs" dxfId="415" priority="115" operator="between">
      <formula>0.51</formula>
      <formula>0.75</formula>
    </cfRule>
  </conditionalFormatting>
  <conditionalFormatting sqref="AS9">
    <cfRule type="cellIs" dxfId="414" priority="114" operator="between">
      <formula>0.76</formula>
      <formula>0.95</formula>
    </cfRule>
  </conditionalFormatting>
  <conditionalFormatting sqref="AT9">
    <cfRule type="cellIs" dxfId="413" priority="113" operator="between">
      <formula>0.95</formula>
      <formula>1</formula>
    </cfRule>
  </conditionalFormatting>
  <conditionalFormatting sqref="AU9">
    <cfRule type="cellIs" dxfId="412" priority="112" operator="greaterThan">
      <formula>1</formula>
    </cfRule>
  </conditionalFormatting>
  <conditionalFormatting sqref="AQ10">
    <cfRule type="cellIs" dxfId="411" priority="111" stopIfTrue="1" operator="between">
      <formula>0</formula>
      <formula>0.5</formula>
    </cfRule>
  </conditionalFormatting>
  <conditionalFormatting sqref="AR10">
    <cfRule type="cellIs" dxfId="410" priority="110" operator="between">
      <formula>0.51</formula>
      <formula>0.75</formula>
    </cfRule>
  </conditionalFormatting>
  <conditionalFormatting sqref="AS10">
    <cfRule type="cellIs" dxfId="409" priority="109" operator="between">
      <formula>0.76</formula>
      <formula>0.95</formula>
    </cfRule>
  </conditionalFormatting>
  <conditionalFormatting sqref="AT10">
    <cfRule type="cellIs" dxfId="408" priority="108" operator="between">
      <formula>0.95</formula>
      <formula>1</formula>
    </cfRule>
  </conditionalFormatting>
  <conditionalFormatting sqref="AU10">
    <cfRule type="cellIs" dxfId="407" priority="107" operator="greaterThan">
      <formula>1</formula>
    </cfRule>
  </conditionalFormatting>
  <conditionalFormatting sqref="AQ11">
    <cfRule type="cellIs" dxfId="406" priority="106" stopIfTrue="1" operator="between">
      <formula>0</formula>
      <formula>0.5</formula>
    </cfRule>
  </conditionalFormatting>
  <conditionalFormatting sqref="AR11">
    <cfRule type="cellIs" dxfId="405" priority="105" operator="between">
      <formula>0.51</formula>
      <formula>0.75</formula>
    </cfRule>
  </conditionalFormatting>
  <conditionalFormatting sqref="AS11">
    <cfRule type="cellIs" dxfId="404" priority="104" operator="between">
      <formula>0.76</formula>
      <formula>0.95</formula>
    </cfRule>
  </conditionalFormatting>
  <conditionalFormatting sqref="AT11">
    <cfRule type="cellIs" dxfId="403" priority="103" operator="between">
      <formula>0.95</formula>
      <formula>1</formula>
    </cfRule>
  </conditionalFormatting>
  <conditionalFormatting sqref="AU11">
    <cfRule type="cellIs" dxfId="402" priority="102" operator="greaterThan">
      <formula>1</formula>
    </cfRule>
  </conditionalFormatting>
  <conditionalFormatting sqref="AQ12">
    <cfRule type="cellIs" dxfId="401" priority="101" stopIfTrue="1" operator="between">
      <formula>0</formula>
      <formula>0.5</formula>
    </cfRule>
  </conditionalFormatting>
  <conditionalFormatting sqref="AR12">
    <cfRule type="cellIs" dxfId="400" priority="100" operator="between">
      <formula>0.51</formula>
      <formula>0.75</formula>
    </cfRule>
  </conditionalFormatting>
  <conditionalFormatting sqref="AS12">
    <cfRule type="cellIs" dxfId="399" priority="99" operator="between">
      <formula>0.76</formula>
      <formula>0.95</formula>
    </cfRule>
  </conditionalFormatting>
  <conditionalFormatting sqref="AT12">
    <cfRule type="cellIs" dxfId="398" priority="98" operator="between">
      <formula>0.95</formula>
      <formula>1</formula>
    </cfRule>
  </conditionalFormatting>
  <conditionalFormatting sqref="AU12">
    <cfRule type="cellIs" dxfId="397" priority="97" operator="greaterThan">
      <formula>1</formula>
    </cfRule>
  </conditionalFormatting>
  <conditionalFormatting sqref="AQ13">
    <cfRule type="cellIs" dxfId="396" priority="96" stopIfTrue="1" operator="between">
      <formula>0</formula>
      <formula>0.5</formula>
    </cfRule>
  </conditionalFormatting>
  <conditionalFormatting sqref="AR13">
    <cfRule type="cellIs" dxfId="395" priority="95" operator="between">
      <formula>0.51</formula>
      <formula>0.75</formula>
    </cfRule>
  </conditionalFormatting>
  <conditionalFormatting sqref="AS13">
    <cfRule type="cellIs" dxfId="394" priority="94" operator="between">
      <formula>0.76</formula>
      <formula>0.95</formula>
    </cfRule>
  </conditionalFormatting>
  <conditionalFormatting sqref="AT13">
    <cfRule type="cellIs" dxfId="393" priority="93" operator="between">
      <formula>0.95</formula>
      <formula>1</formula>
    </cfRule>
  </conditionalFormatting>
  <conditionalFormatting sqref="AU13">
    <cfRule type="cellIs" dxfId="392" priority="92" operator="greaterThan">
      <formula>1</formula>
    </cfRule>
  </conditionalFormatting>
  <conditionalFormatting sqref="AQ14">
    <cfRule type="cellIs" dxfId="391" priority="91" stopIfTrue="1" operator="between">
      <formula>0</formula>
      <formula>0.5</formula>
    </cfRule>
  </conditionalFormatting>
  <conditionalFormatting sqref="AR14">
    <cfRule type="cellIs" dxfId="390" priority="90" operator="between">
      <formula>0.51</formula>
      <formula>0.75</formula>
    </cfRule>
  </conditionalFormatting>
  <conditionalFormatting sqref="AS14">
    <cfRule type="cellIs" dxfId="389" priority="89" operator="between">
      <formula>0.76</formula>
      <formula>0.95</formula>
    </cfRule>
  </conditionalFormatting>
  <conditionalFormatting sqref="AT14">
    <cfRule type="cellIs" dxfId="388" priority="88" operator="between">
      <formula>0.95</formula>
      <formula>1</formula>
    </cfRule>
  </conditionalFormatting>
  <conditionalFormatting sqref="AU14">
    <cfRule type="cellIs" dxfId="387" priority="87" operator="greaterThan">
      <formula>1</formula>
    </cfRule>
  </conditionalFormatting>
  <conditionalFormatting sqref="AX6">
    <cfRule type="cellIs" dxfId="386" priority="86" operator="between">
      <formula>0.501</formula>
      <formula>0.75</formula>
    </cfRule>
  </conditionalFormatting>
  <conditionalFormatting sqref="AY6">
    <cfRule type="cellIs" dxfId="385" priority="85" operator="between">
      <formula>0.76</formula>
      <formula>0.95</formula>
    </cfRule>
  </conditionalFormatting>
  <conditionalFormatting sqref="AZ6">
    <cfRule type="cellIs" dxfId="384" priority="84" operator="between">
      <formula>0.95</formula>
      <formula>1</formula>
    </cfRule>
  </conditionalFormatting>
  <conditionalFormatting sqref="BA6">
    <cfRule type="cellIs" dxfId="383" priority="83" operator="greaterThan">
      <formula>1</formula>
    </cfRule>
  </conditionalFormatting>
  <conditionalFormatting sqref="AW6">
    <cfRule type="cellIs" dxfId="382" priority="82" stopIfTrue="1" operator="between">
      <formula>0</formula>
      <formula>0.5</formula>
    </cfRule>
  </conditionalFormatting>
  <conditionalFormatting sqref="AX7">
    <cfRule type="cellIs" dxfId="381" priority="81" operator="between">
      <formula>0.501</formula>
      <formula>0.75</formula>
    </cfRule>
  </conditionalFormatting>
  <conditionalFormatting sqref="AY7">
    <cfRule type="cellIs" dxfId="380" priority="80" operator="between">
      <formula>0.76</formula>
      <formula>0.95</formula>
    </cfRule>
  </conditionalFormatting>
  <conditionalFormatting sqref="AZ7">
    <cfRule type="cellIs" dxfId="379" priority="79" operator="between">
      <formula>0.95</formula>
      <formula>1</formula>
    </cfRule>
  </conditionalFormatting>
  <conditionalFormatting sqref="BA7">
    <cfRule type="cellIs" dxfId="378" priority="78" operator="greaterThan">
      <formula>1</formula>
    </cfRule>
  </conditionalFormatting>
  <conditionalFormatting sqref="AW7">
    <cfRule type="cellIs" dxfId="377" priority="77" stopIfTrue="1" operator="between">
      <formula>0</formula>
      <formula>0.5</formula>
    </cfRule>
  </conditionalFormatting>
  <conditionalFormatting sqref="AX8">
    <cfRule type="cellIs" dxfId="376" priority="76" operator="between">
      <formula>0.501</formula>
      <formula>0.75</formula>
    </cfRule>
  </conditionalFormatting>
  <conditionalFormatting sqref="AY8">
    <cfRule type="cellIs" dxfId="375" priority="75" operator="between">
      <formula>0.76</formula>
      <formula>0.95</formula>
    </cfRule>
  </conditionalFormatting>
  <conditionalFormatting sqref="AZ8">
    <cfRule type="cellIs" dxfId="374" priority="74" operator="between">
      <formula>0.95</formula>
      <formula>1</formula>
    </cfRule>
  </conditionalFormatting>
  <conditionalFormatting sqref="BA8">
    <cfRule type="cellIs" dxfId="373" priority="73" operator="greaterThan">
      <formula>1</formula>
    </cfRule>
  </conditionalFormatting>
  <conditionalFormatting sqref="AW8">
    <cfRule type="cellIs" dxfId="372" priority="72" stopIfTrue="1" operator="between">
      <formula>0</formula>
      <formula>0.5</formula>
    </cfRule>
  </conditionalFormatting>
  <conditionalFormatting sqref="AX9">
    <cfRule type="cellIs" dxfId="371" priority="71" operator="between">
      <formula>0.501</formula>
      <formula>0.75</formula>
    </cfRule>
  </conditionalFormatting>
  <conditionalFormatting sqref="AY9">
    <cfRule type="cellIs" dxfId="370" priority="70" operator="between">
      <formula>0.76</formula>
      <formula>0.95</formula>
    </cfRule>
  </conditionalFormatting>
  <conditionalFormatting sqref="AZ9">
    <cfRule type="cellIs" dxfId="369" priority="69" operator="between">
      <formula>0.95</formula>
      <formula>1</formula>
    </cfRule>
  </conditionalFormatting>
  <conditionalFormatting sqref="BA9">
    <cfRule type="cellIs" dxfId="368" priority="68" operator="greaterThan">
      <formula>1</formula>
    </cfRule>
  </conditionalFormatting>
  <conditionalFormatting sqref="AW9">
    <cfRule type="cellIs" dxfId="367" priority="67" stopIfTrue="1" operator="between">
      <formula>0</formula>
      <formula>0.5</formula>
    </cfRule>
  </conditionalFormatting>
  <conditionalFormatting sqref="AX10">
    <cfRule type="cellIs" dxfId="366" priority="66" operator="between">
      <formula>0.501</formula>
      <formula>0.75</formula>
    </cfRule>
  </conditionalFormatting>
  <conditionalFormatting sqref="AY10">
    <cfRule type="cellIs" dxfId="365" priority="65" operator="between">
      <formula>0.76</formula>
      <formula>0.95</formula>
    </cfRule>
  </conditionalFormatting>
  <conditionalFormatting sqref="AZ10">
    <cfRule type="cellIs" dxfId="364" priority="64" operator="between">
      <formula>0.95</formula>
      <formula>1</formula>
    </cfRule>
  </conditionalFormatting>
  <conditionalFormatting sqref="BA10">
    <cfRule type="cellIs" dxfId="363" priority="63" operator="greaterThan">
      <formula>1</formula>
    </cfRule>
  </conditionalFormatting>
  <conditionalFormatting sqref="AW10">
    <cfRule type="cellIs" dxfId="362" priority="62" stopIfTrue="1" operator="between">
      <formula>0</formula>
      <formula>0.5</formula>
    </cfRule>
  </conditionalFormatting>
  <conditionalFormatting sqref="AX11">
    <cfRule type="cellIs" dxfId="361" priority="61" operator="between">
      <formula>0.501</formula>
      <formula>0.75</formula>
    </cfRule>
  </conditionalFormatting>
  <conditionalFormatting sqref="AY11">
    <cfRule type="cellIs" dxfId="360" priority="60" operator="between">
      <formula>0.76</formula>
      <formula>0.95</formula>
    </cfRule>
  </conditionalFormatting>
  <conditionalFormatting sqref="AZ11">
    <cfRule type="cellIs" dxfId="359" priority="59" operator="between">
      <formula>0.95</formula>
      <formula>1</formula>
    </cfRule>
  </conditionalFormatting>
  <conditionalFormatting sqref="BA11">
    <cfRule type="cellIs" dxfId="358" priority="58" operator="greaterThan">
      <formula>1</formula>
    </cfRule>
  </conditionalFormatting>
  <conditionalFormatting sqref="AW11">
    <cfRule type="cellIs" dxfId="357" priority="57" stopIfTrue="1" operator="between">
      <formula>0</formula>
      <formula>0.5</formula>
    </cfRule>
  </conditionalFormatting>
  <conditionalFormatting sqref="AX12">
    <cfRule type="cellIs" dxfId="356" priority="56" operator="between">
      <formula>0.501</formula>
      <formula>0.75</formula>
    </cfRule>
  </conditionalFormatting>
  <conditionalFormatting sqref="AY12">
    <cfRule type="cellIs" dxfId="355" priority="55" operator="between">
      <formula>0.76</formula>
      <formula>0.95</formula>
    </cfRule>
  </conditionalFormatting>
  <conditionalFormatting sqref="AZ12">
    <cfRule type="cellIs" dxfId="354" priority="54" operator="between">
      <formula>0.95</formula>
      <formula>1</formula>
    </cfRule>
  </conditionalFormatting>
  <conditionalFormatting sqref="BA12">
    <cfRule type="cellIs" dxfId="353" priority="53" operator="greaterThan">
      <formula>1</formula>
    </cfRule>
  </conditionalFormatting>
  <conditionalFormatting sqref="AW12">
    <cfRule type="cellIs" dxfId="352" priority="52" stopIfTrue="1" operator="between">
      <formula>0</formula>
      <formula>0.5</formula>
    </cfRule>
  </conditionalFormatting>
  <conditionalFormatting sqref="AX13">
    <cfRule type="cellIs" dxfId="351" priority="51" operator="between">
      <formula>0.501</formula>
      <formula>0.75</formula>
    </cfRule>
  </conditionalFormatting>
  <conditionalFormatting sqref="AY13">
    <cfRule type="cellIs" dxfId="350" priority="50" operator="between">
      <formula>0.76</formula>
      <formula>0.95</formula>
    </cfRule>
  </conditionalFormatting>
  <conditionalFormatting sqref="AZ13">
    <cfRule type="cellIs" dxfId="349" priority="49" operator="between">
      <formula>0.95</formula>
      <formula>1</formula>
    </cfRule>
  </conditionalFormatting>
  <conditionalFormatting sqref="BA13">
    <cfRule type="cellIs" dxfId="348" priority="48" operator="greaterThan">
      <formula>1</formula>
    </cfRule>
  </conditionalFormatting>
  <conditionalFormatting sqref="AW13">
    <cfRule type="cellIs" dxfId="347" priority="47" stopIfTrue="1" operator="between">
      <formula>0</formula>
      <formula>0.5</formula>
    </cfRule>
  </conditionalFormatting>
  <conditionalFormatting sqref="AX14">
    <cfRule type="cellIs" dxfId="346" priority="46" operator="between">
      <formula>0.501</formula>
      <formula>0.75</formula>
    </cfRule>
  </conditionalFormatting>
  <conditionalFormatting sqref="AY14">
    <cfRule type="cellIs" dxfId="345" priority="45" operator="between">
      <formula>0.76</formula>
      <formula>0.95</formula>
    </cfRule>
  </conditionalFormatting>
  <conditionalFormatting sqref="AZ14">
    <cfRule type="cellIs" dxfId="344" priority="44" operator="between">
      <formula>0.95</formula>
      <formula>1</formula>
    </cfRule>
  </conditionalFormatting>
  <conditionalFormatting sqref="BA14">
    <cfRule type="cellIs" dxfId="343" priority="43" operator="greaterThan">
      <formula>1</formula>
    </cfRule>
  </conditionalFormatting>
  <conditionalFormatting sqref="AW14">
    <cfRule type="cellIs" dxfId="342" priority="42" stopIfTrue="1" operator="between">
      <formula>0</formula>
      <formula>0.5</formula>
    </cfRule>
  </conditionalFormatting>
  <conditionalFormatting sqref="W6">
    <cfRule type="cellIs" dxfId="341" priority="41" stopIfTrue="1" operator="between">
      <formula>0</formula>
      <formula>0.255</formula>
    </cfRule>
  </conditionalFormatting>
  <conditionalFormatting sqref="X6">
    <cfRule type="cellIs" dxfId="340" priority="40" operator="between">
      <formula>0.2551</formula>
      <formula>0.375</formula>
    </cfRule>
  </conditionalFormatting>
  <conditionalFormatting sqref="Y6">
    <cfRule type="cellIs" dxfId="339" priority="39" operator="between">
      <formula>0.3751</formula>
      <formula>0.475</formula>
    </cfRule>
  </conditionalFormatting>
  <conditionalFormatting sqref="Z6">
    <cfRule type="cellIs" dxfId="338" priority="38" operator="between">
      <formula>0.4751</formula>
      <formula>0.51</formula>
    </cfRule>
  </conditionalFormatting>
  <conditionalFormatting sqref="AA6">
    <cfRule type="cellIs" dxfId="337" priority="37" operator="greaterThan">
      <formula>0.505</formula>
    </cfRule>
  </conditionalFormatting>
  <conditionalFormatting sqref="AB8">
    <cfRule type="cellIs" dxfId="336" priority="36" operator="greaterThan">
      <formula>0.505</formula>
    </cfRule>
  </conditionalFormatting>
  <conditionalFormatting sqref="W8">
    <cfRule type="cellIs" dxfId="335" priority="35" stopIfTrue="1" operator="between">
      <formula>0</formula>
      <formula>0.255</formula>
    </cfRule>
  </conditionalFormatting>
  <conditionalFormatting sqref="X8">
    <cfRule type="cellIs" dxfId="334" priority="34" operator="between">
      <formula>0.2551</formula>
      <formula>0.375</formula>
    </cfRule>
  </conditionalFormatting>
  <conditionalFormatting sqref="Y8">
    <cfRule type="cellIs" dxfId="333" priority="33" operator="between">
      <formula>0.3751</formula>
      <formula>0.475</formula>
    </cfRule>
  </conditionalFormatting>
  <conditionalFormatting sqref="Z8">
    <cfRule type="cellIs" dxfId="332" priority="32" operator="between">
      <formula>0.48</formula>
      <formula>0.51</formula>
    </cfRule>
  </conditionalFormatting>
  <conditionalFormatting sqref="AA8">
    <cfRule type="cellIs" dxfId="331" priority="31" operator="greaterThan">
      <formula>0.505</formula>
    </cfRule>
  </conditionalFormatting>
  <conditionalFormatting sqref="D6">
    <cfRule type="cellIs" dxfId="330" priority="30" stopIfTrue="1" operator="between">
      <formula>0</formula>
      <formula>0.5</formula>
    </cfRule>
  </conditionalFormatting>
  <conditionalFormatting sqref="E6">
    <cfRule type="cellIs" dxfId="329" priority="29" operator="between">
      <formula>0.51</formula>
      <formula>0.75</formula>
    </cfRule>
  </conditionalFormatting>
  <conditionalFormatting sqref="F6">
    <cfRule type="cellIs" dxfId="328" priority="28" operator="between">
      <formula>0.76</formula>
      <formula>0.95</formula>
    </cfRule>
  </conditionalFormatting>
  <conditionalFormatting sqref="G6">
    <cfRule type="cellIs" dxfId="327" priority="27" operator="between">
      <formula>0.96</formula>
      <formula>1</formula>
    </cfRule>
  </conditionalFormatting>
  <conditionalFormatting sqref="H6">
    <cfRule type="cellIs" dxfId="326" priority="26" operator="greaterThan">
      <formula>1</formula>
    </cfRule>
  </conditionalFormatting>
  <conditionalFormatting sqref="D7">
    <cfRule type="cellIs" dxfId="325" priority="25" stopIfTrue="1" operator="between">
      <formula>0</formula>
      <formula>0.5</formula>
    </cfRule>
  </conditionalFormatting>
  <conditionalFormatting sqref="E7">
    <cfRule type="cellIs" dxfId="324" priority="24" operator="between">
      <formula>0.51</formula>
      <formula>0.75</formula>
    </cfRule>
  </conditionalFormatting>
  <conditionalFormatting sqref="F7">
    <cfRule type="cellIs" dxfId="323" priority="23" operator="between">
      <formula>0.76</formula>
      <formula>0.95</formula>
    </cfRule>
  </conditionalFormatting>
  <conditionalFormatting sqref="G7">
    <cfRule type="cellIs" dxfId="322" priority="22" operator="between">
      <formula>0.96</formula>
      <formula>1</formula>
    </cfRule>
  </conditionalFormatting>
  <conditionalFormatting sqref="H7">
    <cfRule type="cellIs" dxfId="321" priority="21" operator="greaterThan">
      <formula>1</formula>
    </cfRule>
  </conditionalFormatting>
  <conditionalFormatting sqref="D8:D14">
    <cfRule type="cellIs" dxfId="320" priority="20" stopIfTrue="1" operator="between">
      <formula>0</formula>
      <formula>0.5</formula>
    </cfRule>
  </conditionalFormatting>
  <conditionalFormatting sqref="E8:E14">
    <cfRule type="cellIs" dxfId="319" priority="19" operator="between">
      <formula>0.51</formula>
      <formula>0.75</formula>
    </cfRule>
  </conditionalFormatting>
  <conditionalFormatting sqref="F8:F14">
    <cfRule type="cellIs" dxfId="318" priority="18" operator="between">
      <formula>0.76</formula>
      <formula>0.95</formula>
    </cfRule>
  </conditionalFormatting>
  <conditionalFormatting sqref="G8:G14">
    <cfRule type="cellIs" dxfId="317" priority="17" operator="between">
      <formula>0.96</formula>
      <formula>1</formula>
    </cfRule>
  </conditionalFormatting>
  <conditionalFormatting sqref="H8:H14">
    <cfRule type="cellIs" dxfId="316" priority="16" operator="greaterThan">
      <formula>1</formula>
    </cfRule>
  </conditionalFormatting>
  <conditionalFormatting sqref="J6">
    <cfRule type="cellIs" dxfId="315" priority="15" stopIfTrue="1" operator="between">
      <formula>0</formula>
      <formula>0.125</formula>
    </cfRule>
  </conditionalFormatting>
  <conditionalFormatting sqref="K6">
    <cfRule type="cellIs" dxfId="314" priority="14" operator="between">
      <formula>0.1251</formula>
      <formula>0.1875</formula>
    </cfRule>
  </conditionalFormatting>
  <conditionalFormatting sqref="L6">
    <cfRule type="cellIs" dxfId="313" priority="13" operator="between">
      <formula>0.1876</formula>
      <formula>0.2375</formula>
    </cfRule>
  </conditionalFormatting>
  <conditionalFormatting sqref="M6">
    <cfRule type="cellIs" dxfId="312" priority="12" operator="between">
      <formula>0.2376</formula>
      <formula>0.25</formula>
    </cfRule>
  </conditionalFormatting>
  <conditionalFormatting sqref="N6">
    <cfRule type="cellIs" dxfId="311" priority="11" operator="greaterThan">
      <formula>0.25</formula>
    </cfRule>
  </conditionalFormatting>
  <conditionalFormatting sqref="J7">
    <cfRule type="cellIs" dxfId="310" priority="10" stopIfTrue="1" operator="between">
      <formula>0</formula>
      <formula>0.125</formula>
    </cfRule>
  </conditionalFormatting>
  <conditionalFormatting sqref="K7">
    <cfRule type="cellIs" dxfId="309" priority="9" operator="between">
      <formula>0.1251</formula>
      <formula>0.1875</formula>
    </cfRule>
  </conditionalFormatting>
  <conditionalFormatting sqref="L7">
    <cfRule type="cellIs" dxfId="308" priority="8" operator="between">
      <formula>0.1876</formula>
      <formula>0.2375</formula>
    </cfRule>
  </conditionalFormatting>
  <conditionalFormatting sqref="M7">
    <cfRule type="cellIs" dxfId="307" priority="7" operator="between">
      <formula>0.2376</formula>
      <formula>0.25</formula>
    </cfRule>
  </conditionalFormatting>
  <conditionalFormatting sqref="N7">
    <cfRule type="cellIs" dxfId="306" priority="6" operator="greaterThan">
      <formula>0.25</formula>
    </cfRule>
  </conditionalFormatting>
  <conditionalFormatting sqref="J8:J14">
    <cfRule type="cellIs" dxfId="305" priority="5" stopIfTrue="1" operator="between">
      <formula>0</formula>
      <formula>0.125</formula>
    </cfRule>
  </conditionalFormatting>
  <conditionalFormatting sqref="K8:K14">
    <cfRule type="cellIs" dxfId="304" priority="4" operator="between">
      <formula>0.1251</formula>
      <formula>0.1875</formula>
    </cfRule>
  </conditionalFormatting>
  <conditionalFormatting sqref="L8:L14">
    <cfRule type="cellIs" dxfId="303" priority="3" operator="between">
      <formula>0.1876</formula>
      <formula>0.2375</formula>
    </cfRule>
  </conditionalFormatting>
  <conditionalFormatting sqref="M8:M14">
    <cfRule type="cellIs" dxfId="302" priority="2" operator="between">
      <formula>0.2376</formula>
      <formula>0.25</formula>
    </cfRule>
  </conditionalFormatting>
  <conditionalFormatting sqref="N8:N14">
    <cfRule type="cellIs" dxfId="301" priority="1" operator="greaterThan">
      <formula>0.25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E1BC-4B63-41B3-9EB9-ACB3D99D7E73}">
  <dimension ref="A1:BA19"/>
  <sheetViews>
    <sheetView showGridLines="0" zoomScale="80" zoomScaleNormal="80" workbookViewId="0">
      <selection activeCell="A13" sqref="A13"/>
    </sheetView>
  </sheetViews>
  <sheetFormatPr baseColWidth="10" defaultRowHeight="15" x14ac:dyDescent="0.25"/>
  <cols>
    <col min="1" max="1" width="49" customWidth="1"/>
    <col min="2" max="2" width="2.28515625" customWidth="1"/>
    <col min="3" max="3" width="21.7109375" customWidth="1"/>
    <col min="4" max="8" width="3.28515625" customWidth="1"/>
    <col min="9" max="9" width="15.140625" customWidth="1"/>
    <col min="10" max="14" width="3.28515625" customWidth="1"/>
    <col min="15" max="15" width="2.7109375" hidden="1" customWidth="1"/>
    <col min="16" max="16" width="16.7109375" hidden="1" customWidth="1"/>
    <col min="17" max="21" width="3.28515625" hidden="1" customWidth="1"/>
    <col min="22" max="22" width="16.42578125" hidden="1" customWidth="1"/>
    <col min="23" max="27" width="3.28515625" hidden="1" customWidth="1"/>
    <col min="28" max="28" width="3.140625" hidden="1" customWidth="1"/>
    <col min="29" max="29" width="17.28515625" hidden="1" customWidth="1"/>
    <col min="30" max="34" width="3.28515625" hidden="1" customWidth="1"/>
    <col min="35" max="35" width="15.140625" hidden="1" customWidth="1"/>
    <col min="36" max="40" width="3.28515625" hidden="1" customWidth="1"/>
    <col min="41" max="41" width="2.85546875" hidden="1" customWidth="1"/>
    <col min="42" max="42" width="16.7109375" hidden="1" customWidth="1"/>
    <col min="43" max="47" width="3.28515625" hidden="1" customWidth="1"/>
    <col min="48" max="48" width="15.85546875" hidden="1" customWidth="1"/>
    <col min="49" max="53" width="3.28515625" hidden="1" customWidth="1"/>
  </cols>
  <sheetData>
    <row r="1" spans="1:53" ht="33" customHeight="1" x14ac:dyDescent="0.25">
      <c r="A1" s="1108"/>
      <c r="B1" s="1082" t="s">
        <v>248</v>
      </c>
      <c r="C1" s="1083"/>
      <c r="D1" s="1083"/>
      <c r="E1" s="1083"/>
      <c r="F1" s="1083"/>
      <c r="G1" s="1083"/>
      <c r="H1" s="1047"/>
      <c r="I1" s="1049" t="s">
        <v>249</v>
      </c>
      <c r="J1" s="1083"/>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1083"/>
      <c r="AO1" s="1113"/>
      <c r="AP1" s="1084"/>
      <c r="AQ1" s="1085"/>
      <c r="AR1" s="1085"/>
      <c r="AS1" s="1085"/>
      <c r="AT1" s="1085"/>
      <c r="AU1" s="1085"/>
      <c r="AV1" s="1085"/>
      <c r="AW1" s="1085"/>
      <c r="AX1" s="1085"/>
      <c r="AY1" s="1085"/>
      <c r="AZ1" s="1085"/>
      <c r="BA1" s="1086"/>
    </row>
    <row r="2" spans="1:53" ht="28.5" customHeight="1" x14ac:dyDescent="0.25">
      <c r="A2" s="1109"/>
      <c r="B2" s="1093" t="s">
        <v>250</v>
      </c>
      <c r="C2" s="1094"/>
      <c r="D2" s="1094"/>
      <c r="E2" s="1094"/>
      <c r="F2" s="1094"/>
      <c r="G2" s="1094"/>
      <c r="H2" s="1052"/>
      <c r="I2" s="1054" t="s">
        <v>211</v>
      </c>
      <c r="J2" s="1094"/>
      <c r="K2" s="1094"/>
      <c r="L2" s="1094"/>
      <c r="M2" s="1094"/>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114"/>
      <c r="AP2" s="1087"/>
      <c r="AQ2" s="1088"/>
      <c r="AR2" s="1088"/>
      <c r="AS2" s="1088"/>
      <c r="AT2" s="1088"/>
      <c r="AU2" s="1088"/>
      <c r="AV2" s="1088"/>
      <c r="AW2" s="1088"/>
      <c r="AX2" s="1088"/>
      <c r="AY2" s="1088"/>
      <c r="AZ2" s="1088"/>
      <c r="BA2" s="1089"/>
    </row>
    <row r="3" spans="1:53" ht="15.75" customHeight="1" thickBot="1" x14ac:dyDescent="0.3">
      <c r="A3" s="1110"/>
      <c r="B3" s="1095" t="s">
        <v>244</v>
      </c>
      <c r="C3" s="1062"/>
      <c r="D3" s="1062"/>
      <c r="E3" s="1062"/>
      <c r="F3" s="1062"/>
      <c r="G3" s="1062"/>
      <c r="H3" s="1057"/>
      <c r="I3" s="1059" t="s">
        <v>253</v>
      </c>
      <c r="J3" s="1062"/>
      <c r="K3" s="1062"/>
      <c r="L3" s="1062"/>
      <c r="M3" s="1062"/>
      <c r="N3" s="1057"/>
      <c r="O3" s="1096" t="s">
        <v>225</v>
      </c>
      <c r="P3" s="1097"/>
      <c r="Q3" s="1097"/>
      <c r="R3" s="1097"/>
      <c r="S3" s="1097"/>
      <c r="T3" s="1097"/>
      <c r="U3" s="1097"/>
      <c r="V3" s="1097"/>
      <c r="W3" s="1097"/>
      <c r="X3" s="1097"/>
      <c r="Y3" s="1097"/>
      <c r="Z3" s="1097"/>
      <c r="AA3" s="1097"/>
      <c r="AB3" s="1097"/>
      <c r="AC3" s="1097"/>
      <c r="AD3" s="1097"/>
      <c r="AE3" s="1097"/>
      <c r="AF3" s="1097"/>
      <c r="AG3" s="1097"/>
      <c r="AH3" s="1098"/>
      <c r="AI3" s="420" t="s">
        <v>251</v>
      </c>
      <c r="AJ3" s="1059">
        <v>1</v>
      </c>
      <c r="AK3" s="1062"/>
      <c r="AL3" s="1062"/>
      <c r="AM3" s="1062"/>
      <c r="AN3" s="1062"/>
      <c r="AO3" s="1115"/>
      <c r="AP3" s="1090"/>
      <c r="AQ3" s="1091"/>
      <c r="AR3" s="1091"/>
      <c r="AS3" s="1091"/>
      <c r="AT3" s="1091"/>
      <c r="AU3" s="1091"/>
      <c r="AV3" s="1091"/>
      <c r="AW3" s="1091"/>
      <c r="AX3" s="1091"/>
      <c r="AY3" s="1091"/>
      <c r="AZ3" s="1091"/>
      <c r="BA3" s="1092"/>
    </row>
    <row r="4" spans="1:53" ht="15.75" thickBot="1" x14ac:dyDescent="0.3"/>
    <row r="5" spans="1:53" ht="72.75" customHeight="1" thickBot="1" x14ac:dyDescent="0.3">
      <c r="A5" s="422" t="s">
        <v>234</v>
      </c>
      <c r="B5" s="494"/>
      <c r="C5" s="1104" t="s">
        <v>1305</v>
      </c>
      <c r="D5" s="1111"/>
      <c r="E5" s="1111"/>
      <c r="F5" s="1111"/>
      <c r="G5" s="1111"/>
      <c r="H5" s="1112"/>
      <c r="I5" s="1104" t="s">
        <v>1306</v>
      </c>
      <c r="J5" s="1105"/>
      <c r="K5" s="1105"/>
      <c r="L5" s="1105"/>
      <c r="M5" s="1105"/>
      <c r="N5" s="1106"/>
      <c r="O5" s="17"/>
      <c r="P5" s="1107" t="s">
        <v>1308</v>
      </c>
      <c r="Q5" s="1103"/>
      <c r="R5" s="1103"/>
      <c r="S5" s="1103"/>
      <c r="T5" s="1103"/>
      <c r="U5" s="1116"/>
      <c r="V5" s="1102" t="s">
        <v>1309</v>
      </c>
      <c r="W5" s="1103"/>
      <c r="X5" s="1103"/>
      <c r="Y5" s="1103"/>
      <c r="Z5" s="1103"/>
      <c r="AA5" s="1103"/>
      <c r="AB5" s="495"/>
      <c r="AC5" s="1107" t="s">
        <v>1310</v>
      </c>
      <c r="AD5" s="1103"/>
      <c r="AE5" s="1103"/>
      <c r="AF5" s="1103"/>
      <c r="AG5" s="1103"/>
      <c r="AH5" s="1116"/>
      <c r="AI5" s="1102" t="s">
        <v>1311</v>
      </c>
      <c r="AJ5" s="1103"/>
      <c r="AK5" s="1103"/>
      <c r="AL5" s="1103"/>
      <c r="AM5" s="1103"/>
      <c r="AN5" s="1103"/>
      <c r="AO5" s="495"/>
      <c r="AP5" s="1107" t="s">
        <v>1312</v>
      </c>
      <c r="AQ5" s="1103"/>
      <c r="AR5" s="1103"/>
      <c r="AS5" s="1103"/>
      <c r="AT5" s="1103"/>
      <c r="AU5" s="1116"/>
      <c r="AV5" s="1102" t="s">
        <v>1313</v>
      </c>
      <c r="AW5" s="1103"/>
      <c r="AX5" s="1103"/>
      <c r="AY5" s="1103"/>
      <c r="AZ5" s="1103"/>
      <c r="BA5" s="1103"/>
    </row>
    <row r="6" spans="1:53" ht="18" x14ac:dyDescent="0.25">
      <c r="A6" s="490" t="s">
        <v>332</v>
      </c>
      <c r="B6" s="496"/>
      <c r="C6" s="497">
        <f>AVERAGE('Cuadro Mando Integral Detallado'!L128,'Cuadro Mando Integral Detallado'!L130:L159,'Cuadro Mando Integral Detallado'!L166,'Cuadro Mando Integral Detallado'!L168:L169,'Cuadro Mando Integral Detallado'!L180:L182,'Cuadro Mando Integral Detallado'!L193:L224,'Cuadro Mando Integral Detallado'!L226:L229,'Cuadro Mando Integral Detallado'!L231:L234,'Cuadro Mando Integral Detallado'!L241:L242,'Cuadro Mando Integral Detallado'!L268:L271,'Cuadro Mando Integral Detallado'!L276:L277,'Cuadro Mando Integral Detallado'!L285,'Cuadro Mando Integral Detallado'!L339)</f>
        <v>0.78549270337445021</v>
      </c>
      <c r="D6" s="657">
        <f>+C6</f>
        <v>0.78549270337445021</v>
      </c>
      <c r="E6" s="649">
        <f>+C6</f>
        <v>0.78549270337445021</v>
      </c>
      <c r="F6" s="649">
        <f>+C6</f>
        <v>0.78549270337445021</v>
      </c>
      <c r="G6" s="649">
        <f>+C6</f>
        <v>0.78549270337445021</v>
      </c>
      <c r="H6" s="658">
        <f>+C6</f>
        <v>0.78549270337445021</v>
      </c>
      <c r="I6" s="497">
        <f>AVERAGE('Cuadro Mando Integral Detallado'!O128,'Cuadro Mando Integral Detallado'!O130:O159,'Cuadro Mando Integral Detallado'!O166,'Cuadro Mando Integral Detallado'!O168:O169,'Cuadro Mando Integral Detallado'!O180:O182,'Cuadro Mando Integral Detallado'!O193:O224,'Cuadro Mando Integral Detallado'!O226:O229,'Cuadro Mando Integral Detallado'!O231:O234,'Cuadro Mando Integral Detallado'!O241:O242,'Cuadro Mando Integral Detallado'!O268:O271,'Cuadro Mando Integral Detallado'!O276:O277,'Cuadro Mando Integral Detallado'!O285,'Cuadro Mando Integral Detallado'!O339)</f>
        <v>0.26864481265558665</v>
      </c>
      <c r="J6" s="646">
        <f>+I6</f>
        <v>0.26864481265558665</v>
      </c>
      <c r="K6" s="647">
        <f>+I6</f>
        <v>0.26864481265558665</v>
      </c>
      <c r="L6" s="647">
        <f>+I6</f>
        <v>0.26864481265558665</v>
      </c>
      <c r="M6" s="647">
        <f>+I6</f>
        <v>0.26864481265558665</v>
      </c>
      <c r="N6" s="648">
        <f>+I6</f>
        <v>0.26864481265558665</v>
      </c>
      <c r="O6" s="17"/>
      <c r="P6" s="497" t="e">
        <f>AVERAGE('Cuadro Mando Integral Detallado'!S128:S159,'Cuadro Mando Integral Detallado'!S166,'Cuadro Mando Integral Detallado'!S168:S169,'Cuadro Mando Integral Detallado'!S180,'Cuadro Mando Integral Detallado'!S193:S224,'Cuadro Mando Integral Detallado'!S226:S229,'Cuadro Mando Integral Detallado'!S231:S234,'Cuadro Mando Integral Detallado'!S241:S242,'Cuadro Mando Integral Detallado'!S268:S271,'Cuadro Mando Integral Detallado'!S276:S277,'Cuadro Mando Integral Detallado'!S285,'Cuadro Mando Integral Detallado'!S339)</f>
        <v>#VALUE!</v>
      </c>
      <c r="Q6" s="439" t="e">
        <f t="shared" ref="Q6:Q18" si="0">+P6</f>
        <v>#VALUE!</v>
      </c>
      <c r="R6" s="429" t="e">
        <f t="shared" ref="R6:R18" si="1">+P6</f>
        <v>#VALUE!</v>
      </c>
      <c r="S6" s="429" t="e">
        <f t="shared" ref="S6:S18" si="2">+P6</f>
        <v>#VALUE!</v>
      </c>
      <c r="T6" s="429" t="e">
        <f t="shared" ref="T6:T18" si="3">+P6</f>
        <v>#VALUE!</v>
      </c>
      <c r="U6" s="430" t="e">
        <f t="shared" ref="U6:U18" si="4">+P6</f>
        <v>#VALUE!</v>
      </c>
      <c r="V6" s="497" t="e">
        <f>AVERAGE('Cuadro Mando Integral Detallado'!V128:V159,'Cuadro Mando Integral Detallado'!V166,'Cuadro Mando Integral Detallado'!V168:V169,'Cuadro Mando Integral Detallado'!V180,'Cuadro Mando Integral Detallado'!V193:V224,'Cuadro Mando Integral Detallado'!V226:V229,'Cuadro Mando Integral Detallado'!V231:V234,'Cuadro Mando Integral Detallado'!V241:V242,'Cuadro Mando Integral Detallado'!V268:V271,'Cuadro Mando Integral Detallado'!V276:V277,'Cuadro Mando Integral Detallado'!V285,'Cuadro Mando Integral Detallado'!V339)</f>
        <v>#VALUE!</v>
      </c>
      <c r="W6" s="432" t="e">
        <f t="shared" ref="W6:W18" si="5">+V6</f>
        <v>#VALUE!</v>
      </c>
      <c r="X6" s="433" t="e">
        <f t="shared" ref="X6:X18" si="6">+V6</f>
        <v>#VALUE!</v>
      </c>
      <c r="Y6" s="433" t="e">
        <f t="shared" ref="Y6:Y18" si="7">+V6</f>
        <v>#VALUE!</v>
      </c>
      <c r="Z6" s="433" t="e">
        <f t="shared" ref="Z6:Z18" si="8">+V6</f>
        <v>#VALUE!</v>
      </c>
      <c r="AA6" s="434" t="e">
        <f t="shared" ref="AA6:AA17" si="9">+V6</f>
        <v>#VALUE!</v>
      </c>
      <c r="AB6" s="483"/>
      <c r="AC6" s="497" t="e">
        <f>AVERAGE('Cuadro Mando Integral Detallado'!Z128:Z159,'Cuadro Mando Integral Detallado'!Z166,'Cuadro Mando Integral Detallado'!Z168:Z169,'Cuadro Mando Integral Detallado'!Z180,'Cuadro Mando Integral Detallado'!Z193:Z224,'Cuadro Mando Integral Detallado'!Z226:Z229,'Cuadro Mando Integral Detallado'!Z231:Z234,'Cuadro Mando Integral Detallado'!Z241:Z242,'Cuadro Mando Integral Detallado'!Z268:Z271,'Cuadro Mando Integral Detallado'!Z276:Z277,'Cuadro Mando Integral Detallado'!Z285,'Cuadro Mando Integral Detallado'!Z339)</f>
        <v>#VALUE!</v>
      </c>
      <c r="AD6" s="439" t="e">
        <f t="shared" ref="AD6:AD18" si="10">+AC6</f>
        <v>#VALUE!</v>
      </c>
      <c r="AE6" s="429" t="e">
        <f t="shared" ref="AE6:AE18" si="11">+AC6</f>
        <v>#VALUE!</v>
      </c>
      <c r="AF6" s="429" t="e">
        <f t="shared" ref="AF6:AF18" si="12">+AC6</f>
        <v>#VALUE!</v>
      </c>
      <c r="AG6" s="429" t="e">
        <f t="shared" ref="AG6:AG18" si="13">+AC6</f>
        <v>#VALUE!</v>
      </c>
      <c r="AH6" s="430" t="e">
        <f t="shared" ref="AH6:AH18" si="14">+AC6</f>
        <v>#VALUE!</v>
      </c>
      <c r="AI6" s="497" t="e">
        <f>AVERAGE('Cuadro Mando Integral Detallado'!AC128:AC159,'Cuadro Mando Integral Detallado'!AC166,'Cuadro Mando Integral Detallado'!AC168:AC169,'Cuadro Mando Integral Detallado'!AC180,'Cuadro Mando Integral Detallado'!AC193:AC224,'Cuadro Mando Integral Detallado'!AC226:AC229,'Cuadro Mando Integral Detallado'!AC231:AC234,'Cuadro Mando Integral Detallado'!AC241:AC242,'Cuadro Mando Integral Detallado'!AC268:AC271,'Cuadro Mando Integral Detallado'!AC276:AC277,'Cuadro Mando Integral Detallado'!AC285,'Cuadro Mando Integral Detallado'!AC339)</f>
        <v>#VALUE!</v>
      </c>
      <c r="AJ6" s="439" t="e">
        <f t="shared" ref="AJ6:AJ18" si="15">+AI6</f>
        <v>#VALUE!</v>
      </c>
      <c r="AK6" s="433" t="e">
        <f t="shared" ref="AK6:AK18" si="16">+AI6</f>
        <v>#VALUE!</v>
      </c>
      <c r="AL6" s="433" t="e">
        <f t="shared" ref="AL6:AL18" si="17">+AI6</f>
        <v>#VALUE!</v>
      </c>
      <c r="AM6" s="433" t="e">
        <f t="shared" ref="AM6:AM18" si="18">+AI6</f>
        <v>#VALUE!</v>
      </c>
      <c r="AN6" s="434" t="e">
        <f t="shared" ref="AN6:AN18" si="19">+AI6</f>
        <v>#VALUE!</v>
      </c>
      <c r="AO6" s="483"/>
      <c r="AP6" s="497" t="e">
        <f>AVERAGE('Cuadro Mando Integral Detallado'!AG128:AG159,'Cuadro Mando Integral Detallado'!AG166,'Cuadro Mando Integral Detallado'!AG168:AG169,'Cuadro Mando Integral Detallado'!AG180,'Cuadro Mando Integral Detallado'!AG193:AG224,'Cuadro Mando Integral Detallado'!AG226:AG229,'Cuadro Mando Integral Detallado'!AG231:AG234,'Cuadro Mando Integral Detallado'!AG241:AG242,'Cuadro Mando Integral Detallado'!AG268:AG271,'Cuadro Mando Integral Detallado'!AG276:AG277,'Cuadro Mando Integral Detallado'!AG285,'Cuadro Mando Integral Detallado'!AG339)</f>
        <v>#VALUE!</v>
      </c>
      <c r="AQ6" s="439" t="e">
        <f t="shared" ref="AQ6:AQ18" si="20">+AP6</f>
        <v>#VALUE!</v>
      </c>
      <c r="AR6" s="429" t="e">
        <f t="shared" ref="AR6:AR18" si="21">+AP6</f>
        <v>#VALUE!</v>
      </c>
      <c r="AS6" s="429" t="e">
        <f t="shared" ref="AS6:AS18" si="22">+AP6</f>
        <v>#VALUE!</v>
      </c>
      <c r="AT6" s="429" t="e">
        <f t="shared" ref="AT6:AT18" si="23">+AP6</f>
        <v>#VALUE!</v>
      </c>
      <c r="AU6" s="430" t="e">
        <f t="shared" ref="AU6:AU18" si="24">+AP6</f>
        <v>#VALUE!</v>
      </c>
      <c r="AV6" s="497" t="e">
        <f>AVERAGE('Cuadro Mando Integral Detallado'!AI128:AI159,'Cuadro Mando Integral Detallado'!AI166,'Cuadro Mando Integral Detallado'!AI168:AI169,'Cuadro Mando Integral Detallado'!AI180,'Cuadro Mando Integral Detallado'!AI193:AI224,'Cuadro Mando Integral Detallado'!AI226:AI229,'Cuadro Mando Integral Detallado'!AI231:AI234,'Cuadro Mando Integral Detallado'!AI241:AI242,'Cuadro Mando Integral Detallado'!AI268:AI271,'Cuadro Mando Integral Detallado'!AI276:AI277,'Cuadro Mando Integral Detallado'!AI285,'Cuadro Mando Integral Detallado'!AI339)</f>
        <v>#VALUE!</v>
      </c>
      <c r="AW6" s="439" t="e">
        <f>+AV6</f>
        <v>#VALUE!</v>
      </c>
      <c r="AX6" s="433" t="e">
        <f t="shared" ref="AX6:AX17" si="25">+AV6</f>
        <v>#VALUE!</v>
      </c>
      <c r="AY6" s="433" t="e">
        <f t="shared" ref="AY6:AY18" si="26">+AV6</f>
        <v>#VALUE!</v>
      </c>
      <c r="AZ6" s="433" t="e">
        <f t="shared" ref="AZ6:AZ18" si="27">+AV6</f>
        <v>#VALUE!</v>
      </c>
      <c r="BA6" s="434" t="e">
        <f t="shared" ref="BA6:BA18" si="28">+AV6</f>
        <v>#VALUE!</v>
      </c>
    </row>
    <row r="7" spans="1:53" ht="36" x14ac:dyDescent="0.25">
      <c r="A7" s="441" t="s">
        <v>338</v>
      </c>
      <c r="B7" s="496"/>
      <c r="C7" s="498">
        <f>AVERAGE('Cuadro Mando Integral Detallado'!L160:L165,'Cuadro Mando Integral Detallado'!L172:L179,'Cuadro Mando Integral Detallado'!L183:L191,'Cuadro Mando Integral Detallado'!L225,'Cuadro Mando Integral Detallado'!L230,'Cuadro Mando Integral Detallado'!L235:L236,'Cuadro Mando Integral Detallado'!L261:L262,'Cuadro Mando Integral Detallado'!L279:L283,'Cuadro Mando Integral Detallado'!L286:L287,'Cuadro Mando Integral Detallado'!L334:L335,'Cuadro Mando Integral Detallado'!L338,'Cuadro Mando Integral Detallado'!L340:L341)</f>
        <v>0.89945652173913049</v>
      </c>
      <c r="D7" s="453">
        <f>+C7</f>
        <v>0.89945652173913049</v>
      </c>
      <c r="E7" s="444">
        <f>+C7</f>
        <v>0.89945652173913049</v>
      </c>
      <c r="F7" s="444">
        <f>+C7</f>
        <v>0.89945652173913049</v>
      </c>
      <c r="G7" s="444">
        <f>+C7</f>
        <v>0.89945652173913049</v>
      </c>
      <c r="H7" s="445">
        <f>+C7</f>
        <v>0.89945652173913049</v>
      </c>
      <c r="I7" s="498">
        <f>AVERAGE('Cuadro Mando Integral Detallado'!O160:O165,'Cuadro Mando Integral Detallado'!O172:O179,'Cuadro Mando Integral Detallado'!O183:O191,'Cuadro Mando Integral Detallado'!O225,'Cuadro Mando Integral Detallado'!O230,'Cuadro Mando Integral Detallado'!O235:O236,'Cuadro Mando Integral Detallado'!O261:O262,'Cuadro Mando Integral Detallado'!O279:O283,'Cuadro Mando Integral Detallado'!O286:O287,'Cuadro Mando Integral Detallado'!O334:O335,'Cuadro Mando Integral Detallado'!O338,'Cuadro Mando Integral Detallado'!O340:O341)</f>
        <v>0.48007246376811591</v>
      </c>
      <c r="J7" s="447">
        <f>+I7</f>
        <v>0.48007246376811591</v>
      </c>
      <c r="K7" s="448">
        <f>+I7</f>
        <v>0.48007246376811591</v>
      </c>
      <c r="L7" s="448">
        <f>+I7</f>
        <v>0.48007246376811591</v>
      </c>
      <c r="M7" s="448">
        <f>+I7</f>
        <v>0.48007246376811591</v>
      </c>
      <c r="N7" s="449">
        <f>+I7</f>
        <v>0.48007246376811591</v>
      </c>
      <c r="O7" s="11"/>
      <c r="P7" s="498">
        <f>AVERAGE('Cuadro Mando Integral Detallado'!S160:S165,'Cuadro Mando Integral Detallado'!S172:S179,'Cuadro Mando Integral Detallado'!S183:S191,'Cuadro Mando Integral Detallado'!S225,'Cuadro Mando Integral Detallado'!S230,'Cuadro Mando Integral Detallado'!S235:S236,'Cuadro Mando Integral Detallado'!S261:S262,'Cuadro Mando Integral Detallado'!S279,'Cuadro Mando Integral Detallado'!S280:S284,'Cuadro Mando Integral Detallado'!S286:S287,'Cuadro Mando Integral Detallado'!S334:S335,'Cuadro Mando Integral Detallado'!S340:S341)</f>
        <v>0</v>
      </c>
      <c r="Q7" s="453">
        <f t="shared" si="0"/>
        <v>0</v>
      </c>
      <c r="R7" s="444">
        <f t="shared" si="1"/>
        <v>0</v>
      </c>
      <c r="S7" s="444">
        <f t="shared" si="2"/>
        <v>0</v>
      </c>
      <c r="T7" s="444">
        <f t="shared" si="3"/>
        <v>0</v>
      </c>
      <c r="U7" s="445">
        <f t="shared" si="4"/>
        <v>0</v>
      </c>
      <c r="V7" s="498" t="e">
        <f>AVERAGE('Cuadro Mando Integral Detallado'!V160:V165,'Cuadro Mando Integral Detallado'!V172:V179,'Cuadro Mando Integral Detallado'!V183:V191,'Cuadro Mando Integral Detallado'!V225,'Cuadro Mando Integral Detallado'!V230,'Cuadro Mando Integral Detallado'!V235:V236,'Cuadro Mando Integral Detallado'!V261:V262,'Cuadro Mando Integral Detallado'!V279,'Cuadro Mando Integral Detallado'!V280:V284,'Cuadro Mando Integral Detallado'!V286:V287,'Cuadro Mando Integral Detallado'!V334:V335,'Cuadro Mando Integral Detallado'!V340:V341)</f>
        <v>#DIV/0!</v>
      </c>
      <c r="W7" s="447" t="e">
        <f t="shared" si="5"/>
        <v>#DIV/0!</v>
      </c>
      <c r="X7" s="448" t="e">
        <f t="shared" si="6"/>
        <v>#DIV/0!</v>
      </c>
      <c r="Y7" s="448" t="e">
        <f t="shared" si="7"/>
        <v>#DIV/0!</v>
      </c>
      <c r="Z7" s="448" t="e">
        <f t="shared" si="8"/>
        <v>#DIV/0!</v>
      </c>
      <c r="AA7" s="449" t="e">
        <f t="shared" si="9"/>
        <v>#DIV/0!</v>
      </c>
      <c r="AB7" s="483"/>
      <c r="AC7" s="498">
        <f>AVERAGE('Cuadro Mando Integral Detallado'!Z160:Z165,'Cuadro Mando Integral Detallado'!Z172:Z179,'Cuadro Mando Integral Detallado'!Z183:Z191,'Cuadro Mando Integral Detallado'!Z225,'Cuadro Mando Integral Detallado'!Z230,'Cuadro Mando Integral Detallado'!Z235:Z236,'Cuadro Mando Integral Detallado'!Z261:Z262,'Cuadro Mando Integral Detallado'!Z279,'Cuadro Mando Integral Detallado'!Z280:Z284,'Cuadro Mando Integral Detallado'!Z286:Z287,'Cuadro Mando Integral Detallado'!Z334:Z335,'Cuadro Mando Integral Detallado'!Z340:Z341)</f>
        <v>0</v>
      </c>
      <c r="AD7" s="453">
        <f t="shared" si="10"/>
        <v>0</v>
      </c>
      <c r="AE7" s="444">
        <f t="shared" si="11"/>
        <v>0</v>
      </c>
      <c r="AF7" s="444">
        <f t="shared" si="12"/>
        <v>0</v>
      </c>
      <c r="AG7" s="444">
        <f t="shared" si="13"/>
        <v>0</v>
      </c>
      <c r="AH7" s="445">
        <f t="shared" si="14"/>
        <v>0</v>
      </c>
      <c r="AI7" s="498" t="e">
        <f>AVERAGE('Cuadro Mando Integral Detallado'!AC160:AC165,'Cuadro Mando Integral Detallado'!AC172:AC179,'Cuadro Mando Integral Detallado'!AC183:AC191,'Cuadro Mando Integral Detallado'!AC225,'Cuadro Mando Integral Detallado'!AC230,'Cuadro Mando Integral Detallado'!AC235:AR236,'Cuadro Mando Integral Detallado'!AC261:AC262,'Cuadro Mando Integral Detallado'!AC279,'Cuadro Mando Integral Detallado'!AC280:AC284,'Cuadro Mando Integral Detallado'!AC286:AC287,'Cuadro Mando Integral Detallado'!AC334:AC335,'Cuadro Mando Integral Detallado'!AC340:AC341)</f>
        <v>#DIV/0!</v>
      </c>
      <c r="AJ7" s="453" t="e">
        <f t="shared" si="15"/>
        <v>#DIV/0!</v>
      </c>
      <c r="AK7" s="448" t="e">
        <f t="shared" si="16"/>
        <v>#DIV/0!</v>
      </c>
      <c r="AL7" s="448" t="e">
        <f t="shared" si="17"/>
        <v>#DIV/0!</v>
      </c>
      <c r="AM7" s="448" t="e">
        <f t="shared" si="18"/>
        <v>#DIV/0!</v>
      </c>
      <c r="AN7" s="449" t="e">
        <f t="shared" si="19"/>
        <v>#DIV/0!</v>
      </c>
      <c r="AO7" s="483"/>
      <c r="AP7" s="498">
        <f>AVERAGE('Cuadro Mando Integral Detallado'!AG160:AG165,'Cuadro Mando Integral Detallado'!AG172:AG179,'Cuadro Mando Integral Detallado'!AG183:AG191,'Cuadro Mando Integral Detallado'!AG225,'Cuadro Mando Integral Detallado'!AG230,'Cuadro Mando Integral Detallado'!AG235:AG236,'Cuadro Mando Integral Detallado'!AG261:AG262,'Cuadro Mando Integral Detallado'!AG279,'Cuadro Mando Integral Detallado'!AG280:AG284,'Cuadro Mando Integral Detallado'!AG286:AG287,'Cuadro Mando Integral Detallado'!AG334:AG335,'Cuadro Mando Integral Detallado'!AG340:AG341)</f>
        <v>0</v>
      </c>
      <c r="AQ7" s="453">
        <f t="shared" si="20"/>
        <v>0</v>
      </c>
      <c r="AR7" s="444">
        <f t="shared" si="21"/>
        <v>0</v>
      </c>
      <c r="AS7" s="444">
        <f t="shared" si="22"/>
        <v>0</v>
      </c>
      <c r="AT7" s="444">
        <f t="shared" si="23"/>
        <v>0</v>
      </c>
      <c r="AU7" s="445">
        <f t="shared" si="24"/>
        <v>0</v>
      </c>
      <c r="AV7" s="498" t="e">
        <f>AVERAGE('Cuadro Mando Integral Detallado'!AI160:AI165,'Cuadro Mando Integral Detallado'!AI172:AI179,'Cuadro Mando Integral Detallado'!AI183:AI191,'Cuadro Mando Integral Detallado'!AI225,'Cuadro Mando Integral Detallado'!AI230,'Cuadro Mando Integral Detallado'!AI235:AI236,'Cuadro Mando Integral Detallado'!AI261:AI262,'Cuadro Mando Integral Detallado'!AI279,'Cuadro Mando Integral Detallado'!AI280:AI284,'Cuadro Mando Integral Detallado'!AI286:AI287,'Cuadro Mando Integral Detallado'!AI334:AI335,'Cuadro Mando Integral Detallado'!AI340:AI341)</f>
        <v>#DIV/0!</v>
      </c>
      <c r="AW7" s="453" t="e">
        <f t="shared" ref="AW7:AW18" si="29">+AV7</f>
        <v>#DIV/0!</v>
      </c>
      <c r="AX7" s="448" t="e">
        <f t="shared" si="25"/>
        <v>#DIV/0!</v>
      </c>
      <c r="AY7" s="448" t="e">
        <f t="shared" si="26"/>
        <v>#DIV/0!</v>
      </c>
      <c r="AZ7" s="448" t="e">
        <f t="shared" si="27"/>
        <v>#DIV/0!</v>
      </c>
      <c r="BA7" s="449" t="e">
        <f t="shared" si="28"/>
        <v>#DIV/0!</v>
      </c>
    </row>
    <row r="8" spans="1:53" ht="18" x14ac:dyDescent="0.25">
      <c r="A8" s="441" t="s">
        <v>339</v>
      </c>
      <c r="B8" s="496"/>
      <c r="C8" s="498">
        <f>AVERAGE('Cuadro Mando Integral Detallado'!L237:L240)</f>
        <v>0.84</v>
      </c>
      <c r="D8" s="453">
        <f>+C8</f>
        <v>0.84</v>
      </c>
      <c r="E8" s="444">
        <f>+C8</f>
        <v>0.84</v>
      </c>
      <c r="F8" s="444">
        <f>+C8</f>
        <v>0.84</v>
      </c>
      <c r="G8" s="444">
        <f>+C8</f>
        <v>0.84</v>
      </c>
      <c r="H8" s="445">
        <f>+C8</f>
        <v>0.84</v>
      </c>
      <c r="I8" s="498">
        <f>AVERAGE('Cuadro Mando Integral Detallado'!O237:O240)</f>
        <v>0.10357583230579531</v>
      </c>
      <c r="J8" s="447">
        <f>+I8</f>
        <v>0.10357583230579531</v>
      </c>
      <c r="K8" s="448">
        <f>+I8</f>
        <v>0.10357583230579531</v>
      </c>
      <c r="L8" s="448">
        <f>+I8</f>
        <v>0.10357583230579531</v>
      </c>
      <c r="M8" s="448">
        <f>+I8</f>
        <v>0.10357583230579531</v>
      </c>
      <c r="N8" s="449">
        <f>+I8</f>
        <v>0.10357583230579531</v>
      </c>
      <c r="O8" s="11"/>
      <c r="P8" s="498">
        <f>AVERAGE('Cuadro Mando Integral Detallado'!S237:S240)</f>
        <v>0</v>
      </c>
      <c r="Q8" s="453">
        <f t="shared" si="0"/>
        <v>0</v>
      </c>
      <c r="R8" s="444">
        <f t="shared" si="1"/>
        <v>0</v>
      </c>
      <c r="S8" s="444">
        <f t="shared" si="2"/>
        <v>0</v>
      </c>
      <c r="T8" s="444">
        <f t="shared" si="3"/>
        <v>0</v>
      </c>
      <c r="U8" s="445">
        <f t="shared" si="4"/>
        <v>0</v>
      </c>
      <c r="V8" s="498">
        <f>AVERAGE('Cuadro Mando Integral Detallado'!V237:V240)</f>
        <v>5.1787916152897656E-2</v>
      </c>
      <c r="W8" s="447">
        <f t="shared" si="5"/>
        <v>5.1787916152897656E-2</v>
      </c>
      <c r="X8" s="448">
        <f t="shared" si="6"/>
        <v>5.1787916152897656E-2</v>
      </c>
      <c r="Y8" s="448">
        <f t="shared" si="7"/>
        <v>5.1787916152897656E-2</v>
      </c>
      <c r="Z8" s="448">
        <f t="shared" si="8"/>
        <v>5.1787916152897656E-2</v>
      </c>
      <c r="AA8" s="449">
        <f t="shared" si="9"/>
        <v>5.1787916152897656E-2</v>
      </c>
      <c r="AB8" s="499"/>
      <c r="AC8" s="498">
        <f>AVERAGE('Cuadro Mando Integral Detallado'!Z237:Z240)</f>
        <v>0</v>
      </c>
      <c r="AD8" s="453">
        <f t="shared" si="10"/>
        <v>0</v>
      </c>
      <c r="AE8" s="444">
        <f t="shared" si="11"/>
        <v>0</v>
      </c>
      <c r="AF8" s="444">
        <f t="shared" si="12"/>
        <v>0</v>
      </c>
      <c r="AG8" s="444">
        <f t="shared" si="13"/>
        <v>0</v>
      </c>
      <c r="AH8" s="445">
        <f t="shared" si="14"/>
        <v>0</v>
      </c>
      <c r="AI8" s="498">
        <f>AVERAGE('Cuadro Mando Integral Detallado'!AC237:AC240)</f>
        <v>3.4525277435265102E-2</v>
      </c>
      <c r="AJ8" s="453">
        <f t="shared" si="15"/>
        <v>3.4525277435265102E-2</v>
      </c>
      <c r="AK8" s="448">
        <f t="shared" si="16"/>
        <v>3.4525277435265102E-2</v>
      </c>
      <c r="AL8" s="448">
        <f t="shared" si="17"/>
        <v>3.4525277435265102E-2</v>
      </c>
      <c r="AM8" s="448">
        <f t="shared" si="18"/>
        <v>3.4525277435265102E-2</v>
      </c>
      <c r="AN8" s="449">
        <f t="shared" si="19"/>
        <v>3.4525277435265102E-2</v>
      </c>
      <c r="AO8" s="483"/>
      <c r="AP8" s="498">
        <f>AVERAGE('Cuadro Mando Integral Detallado'!AG237:AG240)</f>
        <v>0</v>
      </c>
      <c r="AQ8" s="453">
        <f t="shared" si="20"/>
        <v>0</v>
      </c>
      <c r="AR8" s="444">
        <f t="shared" si="21"/>
        <v>0</v>
      </c>
      <c r="AS8" s="444">
        <f t="shared" si="22"/>
        <v>0</v>
      </c>
      <c r="AT8" s="444">
        <f t="shared" si="23"/>
        <v>0</v>
      </c>
      <c r="AU8" s="445">
        <f t="shared" si="24"/>
        <v>0</v>
      </c>
      <c r="AV8" s="498">
        <f>AVERAGE('Cuadro Mando Integral Detallado'!AI237:AI240)</f>
        <v>2.5893958076448828E-2</v>
      </c>
      <c r="AW8" s="453">
        <f t="shared" si="29"/>
        <v>2.5893958076448828E-2</v>
      </c>
      <c r="AX8" s="448">
        <f t="shared" si="25"/>
        <v>2.5893958076448828E-2</v>
      </c>
      <c r="AY8" s="448">
        <f t="shared" si="26"/>
        <v>2.5893958076448828E-2</v>
      </c>
      <c r="AZ8" s="448">
        <f t="shared" si="27"/>
        <v>2.5893958076448828E-2</v>
      </c>
      <c r="BA8" s="449">
        <f t="shared" si="28"/>
        <v>2.5893958076448828E-2</v>
      </c>
    </row>
    <row r="9" spans="1:53" ht="18" x14ac:dyDescent="0.25">
      <c r="A9" s="441" t="s">
        <v>530</v>
      </c>
      <c r="B9" s="496"/>
      <c r="C9" s="498">
        <f>AVERAGE('Cuadro Mando Integral Detallado'!L293:L310,'Cuadro Mando Integral Detallado'!L335:L337,'Cuadro Mando Integral Detallado'!L340:L341)</f>
        <v>1</v>
      </c>
      <c r="D9" s="453">
        <f>+C9</f>
        <v>1</v>
      </c>
      <c r="E9" s="444">
        <f>+C9</f>
        <v>1</v>
      </c>
      <c r="F9" s="444">
        <f>+C9</f>
        <v>1</v>
      </c>
      <c r="G9" s="444">
        <f>+C9</f>
        <v>1</v>
      </c>
      <c r="H9" s="445">
        <f>+C9</f>
        <v>1</v>
      </c>
      <c r="I9" s="498">
        <f>AVERAGE('Cuadro Mando Integral Detallado'!O293:O310,'Cuadro Mando Integral Detallado'!O335,'Cuadro Mando Integral Detallado'!O336:O337,'Cuadro Mando Integral Detallado'!O340:O341)</f>
        <v>0.25</v>
      </c>
      <c r="J9" s="447">
        <f>+I9</f>
        <v>0.25</v>
      </c>
      <c r="K9" s="448">
        <f>+I9</f>
        <v>0.25</v>
      </c>
      <c r="L9" s="448">
        <f>+I9</f>
        <v>0.25</v>
      </c>
      <c r="M9" s="448">
        <f>+I9</f>
        <v>0.25</v>
      </c>
      <c r="N9" s="449">
        <f>+I9</f>
        <v>0.25</v>
      </c>
      <c r="O9" s="11"/>
      <c r="P9" s="498">
        <f>AVERAGE('Cuadro Mando Integral Detallado'!S293:S310,'Cuadro Mando Integral Detallado'!S335,'Cuadro Mando Integral Detallado'!S336:S337,'Cuadro Mando Integral Detallado'!S340:S341)</f>
        <v>0</v>
      </c>
      <c r="Q9" s="453">
        <f t="shared" si="0"/>
        <v>0</v>
      </c>
      <c r="R9" s="444">
        <f t="shared" si="1"/>
        <v>0</v>
      </c>
      <c r="S9" s="444">
        <f t="shared" si="2"/>
        <v>0</v>
      </c>
      <c r="T9" s="444">
        <f t="shared" si="3"/>
        <v>0</v>
      </c>
      <c r="U9" s="445">
        <f t="shared" si="4"/>
        <v>0</v>
      </c>
      <c r="V9" s="498">
        <f>AVERAGE('Cuadro Mando Integral Detallado'!V293:V310,'Cuadro Mando Integral Detallado'!V335,'Cuadro Mando Integral Detallado'!V336:V337,'Cuadro Mando Integral Detallado'!V340:V341)</f>
        <v>4.1666666666666664E-2</v>
      </c>
      <c r="W9" s="447">
        <f t="shared" si="5"/>
        <v>4.1666666666666664E-2</v>
      </c>
      <c r="X9" s="448">
        <f t="shared" si="6"/>
        <v>4.1666666666666664E-2</v>
      </c>
      <c r="Y9" s="448">
        <f t="shared" si="7"/>
        <v>4.1666666666666664E-2</v>
      </c>
      <c r="Z9" s="448">
        <f t="shared" si="8"/>
        <v>4.1666666666666664E-2</v>
      </c>
      <c r="AA9" s="449">
        <f t="shared" si="9"/>
        <v>4.1666666666666664E-2</v>
      </c>
      <c r="AB9" s="483"/>
      <c r="AC9" s="498">
        <f>AVERAGE('Cuadro Mando Integral Detallado'!Z293:Z310,'Cuadro Mando Integral Detallado'!Z335,'Cuadro Mando Integral Detallado'!Z336:Z337,'Cuadro Mando Integral Detallado'!Z340:Z341)</f>
        <v>0</v>
      </c>
      <c r="AD9" s="453">
        <f t="shared" si="10"/>
        <v>0</v>
      </c>
      <c r="AE9" s="444">
        <f t="shared" si="11"/>
        <v>0</v>
      </c>
      <c r="AF9" s="444">
        <f t="shared" si="12"/>
        <v>0</v>
      </c>
      <c r="AG9" s="444">
        <f t="shared" si="13"/>
        <v>0</v>
      </c>
      <c r="AH9" s="445">
        <f t="shared" si="14"/>
        <v>0</v>
      </c>
      <c r="AI9" s="498">
        <f>AVERAGE('Cuadro Mando Integral Detallado'!AC293:AC310,'Cuadro Mando Integral Detallado'!AC335,'Cuadro Mando Integral Detallado'!AC336:AC337,'Cuadro Mando Integral Detallado'!AC340:AC341)</f>
        <v>2.6315789473684209E-2</v>
      </c>
      <c r="AJ9" s="453">
        <f t="shared" si="15"/>
        <v>2.6315789473684209E-2</v>
      </c>
      <c r="AK9" s="448">
        <f t="shared" si="16"/>
        <v>2.6315789473684209E-2</v>
      </c>
      <c r="AL9" s="448">
        <f t="shared" si="17"/>
        <v>2.6315789473684209E-2</v>
      </c>
      <c r="AM9" s="448">
        <f t="shared" si="18"/>
        <v>2.6315789473684209E-2</v>
      </c>
      <c r="AN9" s="449">
        <f t="shared" si="19"/>
        <v>2.6315789473684209E-2</v>
      </c>
      <c r="AO9" s="483"/>
      <c r="AP9" s="498">
        <f>AVERAGE('Cuadro Mando Integral Detallado'!AG293:AG310,'Cuadro Mando Integral Detallado'!AG335,'Cuadro Mando Integral Detallado'!AG336:AG337,'Cuadro Mando Integral Detallado'!AG340:AG341)</f>
        <v>0</v>
      </c>
      <c r="AQ9" s="453">
        <f t="shared" si="20"/>
        <v>0</v>
      </c>
      <c r="AR9" s="444">
        <f t="shared" si="21"/>
        <v>0</v>
      </c>
      <c r="AS9" s="444">
        <f t="shared" si="22"/>
        <v>0</v>
      </c>
      <c r="AT9" s="444">
        <f t="shared" si="23"/>
        <v>0</v>
      </c>
      <c r="AU9" s="445">
        <f t="shared" si="24"/>
        <v>0</v>
      </c>
      <c r="AV9" s="498">
        <f>AVERAGE('Cuadro Mando Integral Detallado'!AI293:AI310,'Cuadro Mando Integral Detallado'!AI335,'Cuadro Mando Integral Detallado'!AI336:AI337,'Cuadro Mando Integral Detallado'!AI340:AI341)</f>
        <v>2.1739130434782608E-2</v>
      </c>
      <c r="AW9" s="453">
        <f t="shared" si="29"/>
        <v>2.1739130434782608E-2</v>
      </c>
      <c r="AX9" s="448">
        <f t="shared" si="25"/>
        <v>2.1739130434782608E-2</v>
      </c>
      <c r="AY9" s="448">
        <f t="shared" si="26"/>
        <v>2.1739130434782608E-2</v>
      </c>
      <c r="AZ9" s="448">
        <f t="shared" si="27"/>
        <v>2.1739130434782608E-2</v>
      </c>
      <c r="BA9" s="449">
        <f t="shared" si="28"/>
        <v>2.1739130434782608E-2</v>
      </c>
    </row>
    <row r="10" spans="1:53" ht="36" x14ac:dyDescent="0.25">
      <c r="A10" s="441" t="s">
        <v>1084</v>
      </c>
      <c r="B10" s="496"/>
      <c r="C10" s="498">
        <f>AVERAGE('Cuadro Mando Integral Detallado'!L167,'Cuadro Mando Integral Detallado'!L243:L257,'Cuadro Mando Integral Detallado'!L289:L292)</f>
        <v>0.66666666666666663</v>
      </c>
      <c r="D10" s="453">
        <f t="shared" ref="D10:D17" si="30">+C10</f>
        <v>0.66666666666666663</v>
      </c>
      <c r="E10" s="444">
        <f t="shared" ref="E10:E17" si="31">+C10</f>
        <v>0.66666666666666663</v>
      </c>
      <c r="F10" s="444">
        <f t="shared" ref="F10:F17" si="32">+C10</f>
        <v>0.66666666666666663</v>
      </c>
      <c r="G10" s="444">
        <f t="shared" ref="G10:G17" si="33">+C10</f>
        <v>0.66666666666666663</v>
      </c>
      <c r="H10" s="445">
        <f t="shared" ref="H10:H17" si="34">+C10</f>
        <v>0.66666666666666663</v>
      </c>
      <c r="I10" s="498">
        <f>AVERAGE('Cuadro Mando Integral Detallado'!O167,'Cuadro Mando Integral Detallado'!O243:O257,'Cuadro Mando Integral Detallado'!O289:O292)</f>
        <v>0.30555555555555552</v>
      </c>
      <c r="J10" s="447">
        <f t="shared" ref="J10:J17" si="35">+I10</f>
        <v>0.30555555555555552</v>
      </c>
      <c r="K10" s="448">
        <f t="shared" ref="K10:K17" si="36">+I10</f>
        <v>0.30555555555555552</v>
      </c>
      <c r="L10" s="448">
        <f t="shared" ref="L10:L17" si="37">+I10</f>
        <v>0.30555555555555552</v>
      </c>
      <c r="M10" s="448">
        <f t="shared" ref="M10:M17" si="38">+I10</f>
        <v>0.30555555555555552</v>
      </c>
      <c r="N10" s="449">
        <f t="shared" ref="N10:N17" si="39">+I10</f>
        <v>0.30555555555555552</v>
      </c>
      <c r="O10" s="11"/>
      <c r="P10" s="498">
        <f>AVERAGE('Cuadro Mando Integral Detallado'!S167,'Cuadro Mando Integral Detallado'!S243:S257,'Cuadro Mando Integral Detallado'!S289:S292)</f>
        <v>0</v>
      </c>
      <c r="Q10" s="453"/>
      <c r="R10" s="444"/>
      <c r="S10" s="444"/>
      <c r="T10" s="444"/>
      <c r="U10" s="445"/>
      <c r="V10" s="498" t="e">
        <f>AVERAGE('Cuadro Mando Integral Detallado'!V167,'Cuadro Mando Integral Detallado'!V243:V257,'Cuadro Mando Integral Detallado'!V289:V292)</f>
        <v>#DIV/0!</v>
      </c>
      <c r="W10" s="447"/>
      <c r="X10" s="448"/>
      <c r="Y10" s="448"/>
      <c r="Z10" s="448"/>
      <c r="AA10" s="449"/>
      <c r="AB10" s="483"/>
      <c r="AC10" s="498">
        <f>AVERAGE('Cuadro Mando Integral Detallado'!Z167,'Cuadro Mando Integral Detallado'!Z243:Z257,'Cuadro Mando Integral Detallado'!Z289:Z292)</f>
        <v>0.42857142857142855</v>
      </c>
      <c r="AD10" s="453"/>
      <c r="AE10" s="444"/>
      <c r="AF10" s="444"/>
      <c r="AG10" s="444"/>
      <c r="AH10" s="445"/>
      <c r="AI10" s="498" t="e">
        <f>AVERAGE('Cuadro Mando Integral Detallado'!AC167,'Cuadro Mando Integral Detallado'!AC243:AC257,'Cuadro Mando Integral Detallado'!AC289:AC292)</f>
        <v>#DIV/0!</v>
      </c>
      <c r="AJ10" s="453"/>
      <c r="AK10" s="448"/>
      <c r="AL10" s="448"/>
      <c r="AM10" s="448"/>
      <c r="AN10" s="449"/>
      <c r="AO10" s="483"/>
      <c r="AP10" s="498">
        <f>AVERAGE('Cuadro Mando Integral Detallado'!AG167,'Cuadro Mando Integral Detallado'!AG243:AG257,'Cuadro Mando Integral Detallado'!AG289:AG292)</f>
        <v>0</v>
      </c>
      <c r="AQ10" s="453"/>
      <c r="AR10" s="444"/>
      <c r="AS10" s="444"/>
      <c r="AT10" s="444"/>
      <c r="AU10" s="445"/>
      <c r="AV10" s="498" t="e">
        <f>AVERAGE('Cuadro Mando Integral Detallado'!AI167,'Cuadro Mando Integral Detallado'!AI243:AI257,'Cuadro Mando Integral Detallado'!AI289:AI292)</f>
        <v>#DIV/0!</v>
      </c>
      <c r="AW10" s="453"/>
      <c r="AX10" s="448"/>
      <c r="AY10" s="448"/>
      <c r="AZ10" s="448"/>
      <c r="BA10" s="449"/>
    </row>
    <row r="11" spans="1:53" ht="36" x14ac:dyDescent="0.25">
      <c r="A11" s="441" t="s">
        <v>1295</v>
      </c>
      <c r="B11" s="496"/>
      <c r="C11" s="498">
        <f>AVERAGE('Cuadro Mando Integral Detallado'!L311:L333)</f>
        <v>0.625</v>
      </c>
      <c r="D11" s="453">
        <f t="shared" si="30"/>
        <v>0.625</v>
      </c>
      <c r="E11" s="444">
        <f t="shared" si="31"/>
        <v>0.625</v>
      </c>
      <c r="F11" s="444">
        <f t="shared" si="32"/>
        <v>0.625</v>
      </c>
      <c r="G11" s="444">
        <f t="shared" si="33"/>
        <v>0.625</v>
      </c>
      <c r="H11" s="445">
        <f t="shared" si="34"/>
        <v>0.625</v>
      </c>
      <c r="I11" s="498">
        <f>AVERAGE('Cuadro Mando Integral Detallado'!O311:O333)</f>
        <v>0.53125</v>
      </c>
      <c r="J11" s="447">
        <f t="shared" si="35"/>
        <v>0.53125</v>
      </c>
      <c r="K11" s="448">
        <f t="shared" si="36"/>
        <v>0.53125</v>
      </c>
      <c r="L11" s="448">
        <f t="shared" si="37"/>
        <v>0.53125</v>
      </c>
      <c r="M11" s="448">
        <f t="shared" si="38"/>
        <v>0.53125</v>
      </c>
      <c r="N11" s="449">
        <f t="shared" si="39"/>
        <v>0.53125</v>
      </c>
      <c r="O11" s="11"/>
      <c r="P11" s="498">
        <f>AVERAGE('Cuadro Mando Integral Detallado'!S311:S333)</f>
        <v>0</v>
      </c>
      <c r="Q11" s="453">
        <f t="shared" si="0"/>
        <v>0</v>
      </c>
      <c r="R11" s="444">
        <f t="shared" si="1"/>
        <v>0</v>
      </c>
      <c r="S11" s="444">
        <f t="shared" si="2"/>
        <v>0</v>
      </c>
      <c r="T11" s="444">
        <f t="shared" si="3"/>
        <v>0</v>
      </c>
      <c r="U11" s="445">
        <f t="shared" si="4"/>
        <v>0</v>
      </c>
      <c r="V11" s="498">
        <f>AVERAGE('Cuadro Mando Integral Detallado'!V311:V333)</f>
        <v>9.6590909090909088E-2</v>
      </c>
      <c r="W11" s="447">
        <f t="shared" si="5"/>
        <v>9.6590909090909088E-2</v>
      </c>
      <c r="X11" s="448">
        <f t="shared" si="6"/>
        <v>9.6590909090909088E-2</v>
      </c>
      <c r="Y11" s="448">
        <f t="shared" si="7"/>
        <v>9.6590909090909088E-2</v>
      </c>
      <c r="Z11" s="448">
        <f t="shared" si="8"/>
        <v>9.6590909090909088E-2</v>
      </c>
      <c r="AA11" s="449">
        <f t="shared" si="9"/>
        <v>9.6590909090909088E-2</v>
      </c>
      <c r="AB11" s="483"/>
      <c r="AC11" s="498">
        <f>AVERAGE('Cuadro Mando Integral Detallado'!Z311:Z333)</f>
        <v>0</v>
      </c>
      <c r="AD11" s="453">
        <f t="shared" si="10"/>
        <v>0</v>
      </c>
      <c r="AE11" s="444">
        <f t="shared" si="11"/>
        <v>0</v>
      </c>
      <c r="AF11" s="444">
        <f t="shared" si="12"/>
        <v>0</v>
      </c>
      <c r="AG11" s="444">
        <f t="shared" si="13"/>
        <v>0</v>
      </c>
      <c r="AH11" s="445">
        <f t="shared" si="14"/>
        <v>0</v>
      </c>
      <c r="AI11" s="498">
        <f>AVERAGE('Cuadro Mando Integral Detallado'!AC311:AC333)</f>
        <v>6.25E-2</v>
      </c>
      <c r="AJ11" s="453">
        <f t="shared" si="15"/>
        <v>6.25E-2</v>
      </c>
      <c r="AK11" s="448">
        <f t="shared" si="16"/>
        <v>6.25E-2</v>
      </c>
      <c r="AL11" s="448">
        <f t="shared" si="17"/>
        <v>6.25E-2</v>
      </c>
      <c r="AM11" s="448">
        <f t="shared" si="18"/>
        <v>6.25E-2</v>
      </c>
      <c r="AN11" s="449">
        <f t="shared" si="19"/>
        <v>6.25E-2</v>
      </c>
      <c r="AO11" s="483"/>
      <c r="AP11" s="498">
        <f>AVERAGE('Cuadro Mando Integral Detallado'!AG311:AG333)</f>
        <v>0</v>
      </c>
      <c r="AQ11" s="453">
        <f t="shared" si="20"/>
        <v>0</v>
      </c>
      <c r="AR11" s="444">
        <f t="shared" si="21"/>
        <v>0</v>
      </c>
      <c r="AS11" s="444">
        <f t="shared" si="22"/>
        <v>0</v>
      </c>
      <c r="AT11" s="444">
        <f t="shared" si="23"/>
        <v>0</v>
      </c>
      <c r="AU11" s="445">
        <f t="shared" si="24"/>
        <v>0</v>
      </c>
      <c r="AV11" s="498">
        <f>AVERAGE('Cuadro Mando Integral Detallado'!AI311:AI333)</f>
        <v>4.619565217391304E-2</v>
      </c>
      <c r="AW11" s="453">
        <f t="shared" si="29"/>
        <v>4.619565217391304E-2</v>
      </c>
      <c r="AX11" s="448">
        <f t="shared" si="25"/>
        <v>4.619565217391304E-2</v>
      </c>
      <c r="AY11" s="448">
        <f t="shared" si="26"/>
        <v>4.619565217391304E-2</v>
      </c>
      <c r="AZ11" s="448">
        <f t="shared" si="27"/>
        <v>4.619565217391304E-2</v>
      </c>
      <c r="BA11" s="449">
        <f t="shared" si="28"/>
        <v>4.619565217391304E-2</v>
      </c>
    </row>
    <row r="12" spans="1:53" ht="18" x14ac:dyDescent="0.25">
      <c r="A12" s="500" t="s">
        <v>922</v>
      </c>
      <c r="B12" s="496"/>
      <c r="C12" s="498" t="e">
        <f>AVERAGE('Cuadro Mando Integral Detallado'!L258:L260)</f>
        <v>#DIV/0!</v>
      </c>
      <c r="D12" s="453" t="e">
        <f t="shared" si="30"/>
        <v>#DIV/0!</v>
      </c>
      <c r="E12" s="444" t="e">
        <f t="shared" si="31"/>
        <v>#DIV/0!</v>
      </c>
      <c r="F12" s="444" t="e">
        <f t="shared" si="32"/>
        <v>#DIV/0!</v>
      </c>
      <c r="G12" s="444" t="e">
        <f t="shared" si="33"/>
        <v>#DIV/0!</v>
      </c>
      <c r="H12" s="445" t="e">
        <f t="shared" si="34"/>
        <v>#DIV/0!</v>
      </c>
      <c r="I12" s="498" t="e">
        <f>AVERAGE('Cuadro Mando Integral Detallado'!O258:O260)</f>
        <v>#DIV/0!</v>
      </c>
      <c r="J12" s="447" t="e">
        <f t="shared" si="35"/>
        <v>#DIV/0!</v>
      </c>
      <c r="K12" s="448" t="e">
        <f t="shared" si="36"/>
        <v>#DIV/0!</v>
      </c>
      <c r="L12" s="448" t="e">
        <f t="shared" si="37"/>
        <v>#DIV/0!</v>
      </c>
      <c r="M12" s="448" t="e">
        <f t="shared" si="38"/>
        <v>#DIV/0!</v>
      </c>
      <c r="N12" s="449" t="e">
        <f t="shared" si="39"/>
        <v>#DIV/0!</v>
      </c>
      <c r="O12" s="11"/>
      <c r="P12" s="498" t="e">
        <f>AVERAGE('Cuadro Mando Integral Detallado'!S258:S260)</f>
        <v>#DIV/0!</v>
      </c>
      <c r="Q12" s="453" t="e">
        <f t="shared" si="0"/>
        <v>#DIV/0!</v>
      </c>
      <c r="R12" s="444" t="e">
        <f t="shared" si="1"/>
        <v>#DIV/0!</v>
      </c>
      <c r="S12" s="444" t="e">
        <f t="shared" si="2"/>
        <v>#DIV/0!</v>
      </c>
      <c r="T12" s="444" t="e">
        <f t="shared" si="3"/>
        <v>#DIV/0!</v>
      </c>
      <c r="U12" s="445" t="e">
        <f t="shared" si="4"/>
        <v>#DIV/0!</v>
      </c>
      <c r="V12" s="498" t="e">
        <f>AVERAGE('Cuadro Mando Integral Detallado'!V258:V260)</f>
        <v>#DIV/0!</v>
      </c>
      <c r="W12" s="447" t="e">
        <f t="shared" si="5"/>
        <v>#DIV/0!</v>
      </c>
      <c r="X12" s="448" t="e">
        <f t="shared" si="6"/>
        <v>#DIV/0!</v>
      </c>
      <c r="Y12" s="448" t="e">
        <f t="shared" si="7"/>
        <v>#DIV/0!</v>
      </c>
      <c r="Z12" s="448" t="e">
        <f t="shared" si="8"/>
        <v>#DIV/0!</v>
      </c>
      <c r="AA12" s="449" t="e">
        <f t="shared" si="9"/>
        <v>#DIV/0!</v>
      </c>
      <c r="AB12" s="483"/>
      <c r="AC12" s="498">
        <f>AVERAGE('Cuadro Mando Integral Detallado'!Z258:Z260)</f>
        <v>0</v>
      </c>
      <c r="AD12" s="453">
        <f t="shared" si="10"/>
        <v>0</v>
      </c>
      <c r="AE12" s="444">
        <f t="shared" si="11"/>
        <v>0</v>
      </c>
      <c r="AF12" s="444">
        <f t="shared" si="12"/>
        <v>0</v>
      </c>
      <c r="AG12" s="444">
        <f t="shared" si="13"/>
        <v>0</v>
      </c>
      <c r="AH12" s="445">
        <f t="shared" si="14"/>
        <v>0</v>
      </c>
      <c r="AI12" s="498">
        <f>AVERAGE('Cuadro Mando Integral Detallado'!AC258:AC260)</f>
        <v>0</v>
      </c>
      <c r="AJ12" s="453">
        <f t="shared" si="15"/>
        <v>0</v>
      </c>
      <c r="AK12" s="448">
        <f t="shared" si="16"/>
        <v>0</v>
      </c>
      <c r="AL12" s="448">
        <f t="shared" si="17"/>
        <v>0</v>
      </c>
      <c r="AM12" s="448">
        <f t="shared" si="18"/>
        <v>0</v>
      </c>
      <c r="AN12" s="449">
        <f t="shared" si="19"/>
        <v>0</v>
      </c>
      <c r="AO12" s="483"/>
      <c r="AP12" s="498" t="e">
        <f>AVERAGE('Cuadro Mando Integral Detallado'!AG258:AG260)</f>
        <v>#DIV/0!</v>
      </c>
      <c r="AQ12" s="453" t="e">
        <f t="shared" si="20"/>
        <v>#DIV/0!</v>
      </c>
      <c r="AR12" s="444" t="e">
        <f t="shared" si="21"/>
        <v>#DIV/0!</v>
      </c>
      <c r="AS12" s="444" t="e">
        <f t="shared" si="22"/>
        <v>#DIV/0!</v>
      </c>
      <c r="AT12" s="444" t="e">
        <f t="shared" si="23"/>
        <v>#DIV/0!</v>
      </c>
      <c r="AU12" s="445" t="e">
        <f t="shared" si="24"/>
        <v>#DIV/0!</v>
      </c>
      <c r="AV12" s="498">
        <f>AVERAGE('Cuadro Mando Integral Detallado'!AI258:AI260)</f>
        <v>0</v>
      </c>
      <c r="AW12" s="453">
        <f t="shared" si="29"/>
        <v>0</v>
      </c>
      <c r="AX12" s="448">
        <f t="shared" si="25"/>
        <v>0</v>
      </c>
      <c r="AY12" s="448">
        <f t="shared" si="26"/>
        <v>0</v>
      </c>
      <c r="AZ12" s="448">
        <f t="shared" si="27"/>
        <v>0</v>
      </c>
      <c r="BA12" s="449">
        <f t="shared" si="28"/>
        <v>0</v>
      </c>
    </row>
    <row r="13" spans="1:53" ht="36" x14ac:dyDescent="0.25">
      <c r="A13" s="500" t="s">
        <v>1081</v>
      </c>
      <c r="B13" s="496"/>
      <c r="C13" s="498">
        <f>AVERAGE('Cuadro Mando Integral Detallado'!L263:L265)</f>
        <v>0.66666666666666663</v>
      </c>
      <c r="D13" s="453">
        <f t="shared" si="30"/>
        <v>0.66666666666666663</v>
      </c>
      <c r="E13" s="444">
        <f t="shared" si="31"/>
        <v>0.66666666666666663</v>
      </c>
      <c r="F13" s="444">
        <f t="shared" si="32"/>
        <v>0.66666666666666663</v>
      </c>
      <c r="G13" s="444">
        <f t="shared" si="33"/>
        <v>0.66666666666666663</v>
      </c>
      <c r="H13" s="445">
        <f t="shared" si="34"/>
        <v>0.66666666666666663</v>
      </c>
      <c r="I13" s="498">
        <f>AVERAGE('Cuadro Mando Integral Detallado'!O263:O265)</f>
        <v>0.16666666666666666</v>
      </c>
      <c r="J13" s="447">
        <f t="shared" si="35"/>
        <v>0.16666666666666666</v>
      </c>
      <c r="K13" s="448">
        <f t="shared" si="36"/>
        <v>0.16666666666666666</v>
      </c>
      <c r="L13" s="448">
        <f t="shared" si="37"/>
        <v>0.16666666666666666</v>
      </c>
      <c r="M13" s="448">
        <f t="shared" si="38"/>
        <v>0.16666666666666666</v>
      </c>
      <c r="N13" s="449">
        <f t="shared" si="39"/>
        <v>0.16666666666666666</v>
      </c>
      <c r="O13" s="11"/>
      <c r="P13" s="498">
        <f>AVERAGE('Cuadro Mando Integral Detallado'!S263:S265)</f>
        <v>0</v>
      </c>
      <c r="Q13" s="453">
        <f t="shared" si="0"/>
        <v>0</v>
      </c>
      <c r="R13" s="444">
        <f t="shared" si="1"/>
        <v>0</v>
      </c>
      <c r="S13" s="444">
        <f t="shared" si="2"/>
        <v>0</v>
      </c>
      <c r="T13" s="444">
        <f t="shared" si="3"/>
        <v>0</v>
      </c>
      <c r="U13" s="445">
        <f t="shared" si="4"/>
        <v>0</v>
      </c>
      <c r="V13" s="498">
        <f>AVERAGE('Cuadro Mando Integral Detallado'!V263:V265)</f>
        <v>0.16666666666666666</v>
      </c>
      <c r="W13" s="447">
        <f t="shared" si="5"/>
        <v>0.16666666666666666</v>
      </c>
      <c r="X13" s="448">
        <f t="shared" si="6"/>
        <v>0.16666666666666666</v>
      </c>
      <c r="Y13" s="448">
        <f t="shared" si="7"/>
        <v>0.16666666666666666</v>
      </c>
      <c r="Z13" s="448">
        <f t="shared" si="8"/>
        <v>0.16666666666666666</v>
      </c>
      <c r="AA13" s="449">
        <f t="shared" si="9"/>
        <v>0.16666666666666666</v>
      </c>
      <c r="AB13" s="483"/>
      <c r="AC13" s="498">
        <f>AVERAGE('Cuadro Mando Integral Detallado'!Z263:Z265)</f>
        <v>0</v>
      </c>
      <c r="AD13" s="453">
        <f t="shared" si="10"/>
        <v>0</v>
      </c>
      <c r="AE13" s="444">
        <f t="shared" si="11"/>
        <v>0</v>
      </c>
      <c r="AF13" s="444">
        <f t="shared" si="12"/>
        <v>0</v>
      </c>
      <c r="AG13" s="444">
        <f t="shared" si="13"/>
        <v>0</v>
      </c>
      <c r="AH13" s="445">
        <f t="shared" si="14"/>
        <v>0</v>
      </c>
      <c r="AI13" s="498">
        <f>AVERAGE('Cuadro Mando Integral Detallado'!AC263:AC265)</f>
        <v>0.16666666666666666</v>
      </c>
      <c r="AJ13" s="453">
        <f t="shared" si="15"/>
        <v>0.16666666666666666</v>
      </c>
      <c r="AK13" s="448">
        <f t="shared" si="16"/>
        <v>0.16666666666666666</v>
      </c>
      <c r="AL13" s="448">
        <f t="shared" si="17"/>
        <v>0.16666666666666666</v>
      </c>
      <c r="AM13" s="448">
        <f t="shared" si="18"/>
        <v>0.16666666666666666</v>
      </c>
      <c r="AN13" s="449">
        <f t="shared" si="19"/>
        <v>0.16666666666666666</v>
      </c>
      <c r="AO13" s="483"/>
      <c r="AP13" s="498">
        <f>AVERAGE('Cuadro Mando Integral Detallado'!AG263:AG265)</f>
        <v>0</v>
      </c>
      <c r="AQ13" s="453">
        <f t="shared" si="20"/>
        <v>0</v>
      </c>
      <c r="AR13" s="444">
        <f t="shared" si="21"/>
        <v>0</v>
      </c>
      <c r="AS13" s="444">
        <f t="shared" si="22"/>
        <v>0</v>
      </c>
      <c r="AT13" s="444">
        <f t="shared" si="23"/>
        <v>0</v>
      </c>
      <c r="AU13" s="445">
        <f t="shared" si="24"/>
        <v>0</v>
      </c>
      <c r="AV13" s="498">
        <f>AVERAGE('Cuadro Mando Integral Detallado'!AI263:AI265)</f>
        <v>0.16666666666666666</v>
      </c>
      <c r="AW13" s="453">
        <f>+AV13</f>
        <v>0.16666666666666666</v>
      </c>
      <c r="AX13" s="448">
        <f t="shared" si="25"/>
        <v>0.16666666666666666</v>
      </c>
      <c r="AY13" s="448">
        <f t="shared" si="26"/>
        <v>0.16666666666666666</v>
      </c>
      <c r="AZ13" s="448">
        <f t="shared" si="27"/>
        <v>0.16666666666666666</v>
      </c>
      <c r="BA13" s="449">
        <f t="shared" si="28"/>
        <v>0.16666666666666666</v>
      </c>
    </row>
    <row r="14" spans="1:53" ht="36" x14ac:dyDescent="0.25">
      <c r="A14" s="500" t="s">
        <v>1340</v>
      </c>
      <c r="B14" s="496"/>
      <c r="C14" s="498">
        <f>AVERAGE('Cuadro Mando Integral Detallado'!L293:L310,'Cuadro Mando Integral Detallado'!L335:L337,'Cuadro Mando Integral Detallado'!L340:L341,'Cuadro Mando Integral Detallado'!L167,'Cuadro Mando Integral Detallado'!L243:L257,'Cuadro Mando Integral Detallado'!L289:L292,'Cuadro Mando Integral Detallado'!L311:L333,'Cuadro Mando Integral Detallado'!L258:L260,'Cuadro Mando Integral Detallado'!L263:L265)</f>
        <v>0.71153846153846156</v>
      </c>
      <c r="D14" s="453">
        <f t="shared" si="30"/>
        <v>0.71153846153846156</v>
      </c>
      <c r="E14" s="444">
        <f t="shared" si="31"/>
        <v>0.71153846153846156</v>
      </c>
      <c r="F14" s="444">
        <f t="shared" si="32"/>
        <v>0.71153846153846156</v>
      </c>
      <c r="G14" s="444">
        <f t="shared" si="33"/>
        <v>0.71153846153846156</v>
      </c>
      <c r="H14" s="445">
        <f t="shared" si="34"/>
        <v>0.71153846153846156</v>
      </c>
      <c r="I14" s="498">
        <f>AVERAGE('Cuadro Mando Integral Detallado'!O293:O310,'Cuadro Mando Integral Detallado'!O335,'Cuadro Mando Integral Detallado'!O336:O337,'Cuadro Mando Integral Detallado'!O340:O341,'Cuadro Mando Integral Detallado'!O167,'Cuadro Mando Integral Detallado'!O243:O257,'Cuadro Mando Integral Detallado'!O289:O292,'Cuadro Mando Integral Detallado'!O311:O333,'Cuadro Mando Integral Detallado'!O258:O260,'Cuadro Mando Integral Detallado'!O263:O265)</f>
        <v>0.29967948717948717</v>
      </c>
      <c r="J14" s="447">
        <f t="shared" si="35"/>
        <v>0.29967948717948717</v>
      </c>
      <c r="K14" s="448">
        <f t="shared" si="36"/>
        <v>0.29967948717948717</v>
      </c>
      <c r="L14" s="448">
        <f t="shared" si="37"/>
        <v>0.29967948717948717</v>
      </c>
      <c r="M14" s="448">
        <f t="shared" si="38"/>
        <v>0.29967948717948717</v>
      </c>
      <c r="N14" s="449">
        <f t="shared" si="39"/>
        <v>0.29967948717948717</v>
      </c>
      <c r="O14" s="11"/>
      <c r="P14" s="498">
        <f>AVERAGE('Cuadro Mando Integral Detallado'!S293:S310,'Cuadro Mando Integral Detallado'!S335,'Cuadro Mando Integral Detallado'!S336:S337,'Cuadro Mando Integral Detallado'!S340:S341,'Cuadro Mando Integral Detallado'!S167,'Cuadro Mando Integral Detallado'!S243:S257,'Cuadro Mando Integral Detallado'!S289:S292,'Cuadro Mando Integral Detallado'!S311:S333,'Cuadro Mando Integral Detallado'!S258:S260,'Cuadro Mando Integral Detallado'!S263:S265)</f>
        <v>0</v>
      </c>
      <c r="Q14" s="453"/>
      <c r="R14" s="444"/>
      <c r="S14" s="444"/>
      <c r="T14" s="444"/>
      <c r="U14" s="445"/>
      <c r="V14" s="498" t="e">
        <f>AVERAGE('Cuadro Mando Integral Detallado'!V293:V310,'Cuadro Mando Integral Detallado'!V335,'Cuadro Mando Integral Detallado'!V336:V337,'Cuadro Mando Integral Detallado'!V340:V341,'Cuadro Mando Integral Detallado'!V167,'Cuadro Mando Integral Detallado'!V243:V257,'Cuadro Mando Integral Detallado'!V289:V292,'Cuadro Mando Integral Detallado'!V311:V333,'Cuadro Mando Integral Detallado'!V258:V260,'Cuadro Mando Integral Detallado'!V263:V265)</f>
        <v>#DIV/0!</v>
      </c>
      <c r="W14" s="447"/>
      <c r="X14" s="448"/>
      <c r="Y14" s="448"/>
      <c r="Z14" s="448"/>
      <c r="AA14" s="449"/>
      <c r="AB14" s="483"/>
      <c r="AC14" s="498">
        <f>AVERAGE('Cuadro Mando Integral Detallado'!Z293:Z310,'Cuadro Mando Integral Detallado'!Z335,'Cuadro Mando Integral Detallado'!Z336:Z337,'Cuadro Mando Integral Detallado'!Z340:Z341,'Cuadro Mando Integral Detallado'!Z167,'Cuadro Mando Integral Detallado'!Z243:Z257,'Cuadro Mando Integral Detallado'!Z289:Z292,'Cuadro Mando Integral Detallado'!Z311:Z333,'Cuadro Mando Integral Detallado'!Z258:Z260,'Cuadro Mando Integral Detallado'!Z263:Z265)</f>
        <v>9.6774193548387094E-2</v>
      </c>
      <c r="AD14" s="453"/>
      <c r="AE14" s="444"/>
      <c r="AF14" s="444"/>
      <c r="AG14" s="444"/>
      <c r="AH14" s="445"/>
      <c r="AI14" s="498" t="e">
        <f>AVERAGE('Cuadro Mando Integral Detallado'!AC293:AC310,'Cuadro Mando Integral Detallado'!AC335,'Cuadro Mando Integral Detallado'!AC336:AC337,'Cuadro Mando Integral Detallado'!AC340:AC341,'Cuadro Mando Integral Detallado'!AC167,'Cuadro Mando Integral Detallado'!AC243:AC257,'Cuadro Mando Integral Detallado'!AC289:AC292,'Cuadro Mando Integral Detallado'!AC311:AC333,'Cuadro Mando Integral Detallado'!AC258:AC260,'Cuadro Mando Integral Detallado'!AC263:AC265)</f>
        <v>#DIV/0!</v>
      </c>
      <c r="AJ14" s="453"/>
      <c r="AK14" s="448"/>
      <c r="AL14" s="448"/>
      <c r="AM14" s="448"/>
      <c r="AN14" s="449"/>
      <c r="AO14" s="483"/>
      <c r="AP14" s="498">
        <f>AVERAGE('Cuadro Mando Integral Detallado'!AG293:AG310,'Cuadro Mando Integral Detallado'!AG335,'Cuadro Mando Integral Detallado'!AG336:AG337,'Cuadro Mando Integral Detallado'!AG340:AG341,'Cuadro Mando Integral Detallado'!AG167,'Cuadro Mando Integral Detallado'!AG243:AG257,'Cuadro Mando Integral Detallado'!AG289:AG292,'Cuadro Mando Integral Detallado'!AG311:AG333,'Cuadro Mando Integral Detallado'!AG258:AG260,'Cuadro Mando Integral Detallado'!AG263:AG265)</f>
        <v>0</v>
      </c>
      <c r="AQ14" s="453"/>
      <c r="AR14" s="444"/>
      <c r="AS14" s="444"/>
      <c r="AT14" s="444"/>
      <c r="AU14" s="445"/>
      <c r="AV14" s="498" t="e">
        <f>AVERAGE('Cuadro Mando Integral Detallado'!AI293:AI310,'Cuadro Mando Integral Detallado'!AI335,'Cuadro Mando Integral Detallado'!AI336:AI337,'Cuadro Mando Integral Detallado'!AI340:AI341,'Cuadro Mando Integral Detallado'!AI167,'Cuadro Mando Integral Detallado'!AI243:AI257,'Cuadro Mando Integral Detallado'!AI289:AI292,'Cuadro Mando Integral Detallado'!AI311:AI333,'Cuadro Mando Integral Detallado'!AI258:AI260,'Cuadro Mando Integral Detallado'!AI263:AI265)</f>
        <v>#DIV/0!</v>
      </c>
      <c r="AW14" s="453"/>
      <c r="AX14" s="448"/>
      <c r="AY14" s="448"/>
      <c r="AZ14" s="448"/>
      <c r="BA14" s="449"/>
    </row>
    <row r="15" spans="1:53" ht="54" x14ac:dyDescent="0.25">
      <c r="A15" s="500" t="s">
        <v>1339</v>
      </c>
      <c r="B15" s="496"/>
      <c r="C15" s="498" t="e">
        <f>AVERAGE('Cuadro Mando Integral Detallado'!L278)</f>
        <v>#DIV/0!</v>
      </c>
      <c r="D15" s="453" t="e">
        <f t="shared" si="30"/>
        <v>#DIV/0!</v>
      </c>
      <c r="E15" s="444" t="e">
        <f t="shared" si="31"/>
        <v>#DIV/0!</v>
      </c>
      <c r="F15" s="444" t="e">
        <f t="shared" si="32"/>
        <v>#DIV/0!</v>
      </c>
      <c r="G15" s="444" t="e">
        <f t="shared" si="33"/>
        <v>#DIV/0!</v>
      </c>
      <c r="H15" s="445" t="e">
        <f t="shared" si="34"/>
        <v>#DIV/0!</v>
      </c>
      <c r="I15" s="498" t="e">
        <f>AVERAGE('Cuadro Mando Integral Detallado'!O278)</f>
        <v>#DIV/0!</v>
      </c>
      <c r="J15" s="447" t="e">
        <f t="shared" si="35"/>
        <v>#DIV/0!</v>
      </c>
      <c r="K15" s="448" t="e">
        <f t="shared" si="36"/>
        <v>#DIV/0!</v>
      </c>
      <c r="L15" s="448" t="e">
        <f t="shared" si="37"/>
        <v>#DIV/0!</v>
      </c>
      <c r="M15" s="448" t="e">
        <f t="shared" si="38"/>
        <v>#DIV/0!</v>
      </c>
      <c r="N15" s="449" t="e">
        <f t="shared" si="39"/>
        <v>#DIV/0!</v>
      </c>
      <c r="O15" s="11"/>
      <c r="P15" s="498" t="e">
        <f>AVERAGE('Cuadro Mando Integral Detallado'!S278)</f>
        <v>#DIV/0!</v>
      </c>
      <c r="Q15" s="453"/>
      <c r="R15" s="444"/>
      <c r="S15" s="444"/>
      <c r="T15" s="444"/>
      <c r="U15" s="445"/>
      <c r="V15" s="498" t="e">
        <f>AVERAGE('Cuadro Mando Integral Detallado'!V278)</f>
        <v>#DIV/0!</v>
      </c>
      <c r="W15" s="447"/>
      <c r="X15" s="448"/>
      <c r="Y15" s="448"/>
      <c r="Z15" s="448"/>
      <c r="AA15" s="449"/>
      <c r="AB15" s="483"/>
      <c r="AC15" s="498" t="e">
        <f>AVERAGE('Cuadro Mando Integral Detallado'!Z278)</f>
        <v>#DIV/0!</v>
      </c>
      <c r="AD15" s="453"/>
      <c r="AE15" s="444"/>
      <c r="AF15" s="444"/>
      <c r="AG15" s="444"/>
      <c r="AH15" s="445"/>
      <c r="AI15" s="498" t="e">
        <f>AVERAGE('Cuadro Mando Integral Detallado'!AC278)</f>
        <v>#DIV/0!</v>
      </c>
      <c r="AJ15" s="453"/>
      <c r="AK15" s="448"/>
      <c r="AL15" s="448"/>
      <c r="AM15" s="448"/>
      <c r="AN15" s="449"/>
      <c r="AO15" s="483"/>
      <c r="AP15" s="498">
        <f>AVERAGE('Cuadro Mando Integral Detallado'!AG278)</f>
        <v>0</v>
      </c>
      <c r="AQ15" s="453"/>
      <c r="AR15" s="444"/>
      <c r="AS15" s="444"/>
      <c r="AT15" s="444"/>
      <c r="AU15" s="445"/>
      <c r="AV15" s="498">
        <f>AVERAGE('Cuadro Mando Integral Detallado'!AI278)</f>
        <v>0</v>
      </c>
      <c r="AW15" s="453"/>
      <c r="AX15" s="448"/>
      <c r="AY15" s="448"/>
      <c r="AZ15" s="448"/>
      <c r="BA15" s="449"/>
    </row>
    <row r="16" spans="1:53" ht="36" x14ac:dyDescent="0.25">
      <c r="A16" s="500" t="s">
        <v>334</v>
      </c>
      <c r="B16" s="496"/>
      <c r="C16" s="498">
        <f>AVERAGE('Cuadro Mando Integral Detallado'!L179:L180,'Cuadro Mando Integral Detallado'!L268:L275,'Cuadro Mando Integral Detallado'!L336:L337)</f>
        <v>1</v>
      </c>
      <c r="D16" s="453">
        <f t="shared" si="30"/>
        <v>1</v>
      </c>
      <c r="E16" s="444">
        <f t="shared" si="31"/>
        <v>1</v>
      </c>
      <c r="F16" s="444">
        <f t="shared" si="32"/>
        <v>1</v>
      </c>
      <c r="G16" s="444">
        <f t="shared" si="33"/>
        <v>1</v>
      </c>
      <c r="H16" s="445">
        <f t="shared" si="34"/>
        <v>1</v>
      </c>
      <c r="I16" s="498">
        <f>AVERAGE('Cuadro Mando Integral Detallado'!O181:O182,'Cuadro Mando Integral Detallado'!O268:O275,'Cuadro Mando Integral Detallado'!O336:O337)</f>
        <v>0.61842105263157887</v>
      </c>
      <c r="J16" s="447">
        <f t="shared" si="35"/>
        <v>0.61842105263157887</v>
      </c>
      <c r="K16" s="448">
        <f t="shared" si="36"/>
        <v>0.61842105263157887</v>
      </c>
      <c r="L16" s="448">
        <f t="shared" si="37"/>
        <v>0.61842105263157887</v>
      </c>
      <c r="M16" s="448">
        <f t="shared" si="38"/>
        <v>0.61842105263157887</v>
      </c>
      <c r="N16" s="449">
        <f t="shared" si="39"/>
        <v>0.61842105263157887</v>
      </c>
      <c r="O16" s="11"/>
      <c r="P16" s="498">
        <f>AVERAGE('Cuadro Mando Integral Detallado'!S268:S275,'Cuadro Mando Integral Detallado'!S336:S337)</f>
        <v>0</v>
      </c>
      <c r="Q16" s="453"/>
      <c r="R16" s="444"/>
      <c r="S16" s="444"/>
      <c r="T16" s="444"/>
      <c r="U16" s="445"/>
      <c r="V16" s="498">
        <f>AVERAGE('Cuadro Mando Integral Detallado'!V268:V275,'Cuadro Mando Integral Detallado'!V336:V337)</f>
        <v>0.24436090225563908</v>
      </c>
      <c r="W16" s="447"/>
      <c r="X16" s="448"/>
      <c r="Y16" s="448"/>
      <c r="Z16" s="448"/>
      <c r="AA16" s="449"/>
      <c r="AB16" s="483"/>
      <c r="AC16" s="498">
        <f>AVERAGE('Cuadro Mando Integral Detallado'!Z268:Z275,'Cuadro Mando Integral Detallado'!Z336:Z337)</f>
        <v>0</v>
      </c>
      <c r="AD16" s="453"/>
      <c r="AE16" s="444"/>
      <c r="AF16" s="444"/>
      <c r="AG16" s="444"/>
      <c r="AH16" s="445"/>
      <c r="AI16" s="498">
        <f>AVERAGE('Cuadro Mando Integral Detallado'!AC268:AC275,'Cuadro Mando Integral Detallado'!AC336:AC337)</f>
        <v>0.24436090225563908</v>
      </c>
      <c r="AJ16" s="453"/>
      <c r="AK16" s="448"/>
      <c r="AL16" s="448"/>
      <c r="AM16" s="448"/>
      <c r="AN16" s="449"/>
      <c r="AO16" s="483"/>
      <c r="AP16" s="498">
        <f>AVERAGE('Cuadro Mando Integral Detallado'!AG268:AG275,'Cuadro Mando Integral Detallado'!AG336:AG337)</f>
        <v>0</v>
      </c>
      <c r="AQ16" s="453"/>
      <c r="AR16" s="444"/>
      <c r="AS16" s="444"/>
      <c r="AT16" s="444"/>
      <c r="AU16" s="445"/>
      <c r="AV16" s="498">
        <f>AVERAGE('Cuadro Mando Integral Detallado'!AI268:AI275,'Cuadro Mando Integral Detallado'!AI336:AI337)</f>
        <v>0.27105263157894732</v>
      </c>
      <c r="AW16" s="453"/>
      <c r="AX16" s="448"/>
      <c r="AY16" s="448"/>
      <c r="AZ16" s="448"/>
      <c r="BA16" s="449"/>
    </row>
    <row r="17" spans="1:53" ht="54" x14ac:dyDescent="0.25">
      <c r="A17" s="500" t="s">
        <v>1085</v>
      </c>
      <c r="B17" s="496"/>
      <c r="C17" s="498" t="e">
        <f>AVERAGE('Cuadro Mando Integral Detallado'!L280:L281)</f>
        <v>#DIV/0!</v>
      </c>
      <c r="D17" s="453" t="e">
        <f t="shared" si="30"/>
        <v>#DIV/0!</v>
      </c>
      <c r="E17" s="444" t="e">
        <f t="shared" si="31"/>
        <v>#DIV/0!</v>
      </c>
      <c r="F17" s="444" t="e">
        <f t="shared" si="32"/>
        <v>#DIV/0!</v>
      </c>
      <c r="G17" s="444" t="e">
        <f t="shared" si="33"/>
        <v>#DIV/0!</v>
      </c>
      <c r="H17" s="445" t="e">
        <f t="shared" si="34"/>
        <v>#DIV/0!</v>
      </c>
      <c r="I17" s="498" t="e">
        <f>AVERAGE('Cuadro Mando Integral Detallado'!O280:O281)</f>
        <v>#DIV/0!</v>
      </c>
      <c r="J17" s="447" t="e">
        <f t="shared" si="35"/>
        <v>#DIV/0!</v>
      </c>
      <c r="K17" s="448" t="e">
        <f t="shared" si="36"/>
        <v>#DIV/0!</v>
      </c>
      <c r="L17" s="448" t="e">
        <f t="shared" si="37"/>
        <v>#DIV/0!</v>
      </c>
      <c r="M17" s="448" t="e">
        <f t="shared" si="38"/>
        <v>#DIV/0!</v>
      </c>
      <c r="N17" s="449" t="e">
        <f t="shared" si="39"/>
        <v>#DIV/0!</v>
      </c>
      <c r="O17" s="11"/>
      <c r="P17" s="498">
        <f>AVERAGE('Cuadro Mando Integral Detallado'!S280:S281)</f>
        <v>0</v>
      </c>
      <c r="Q17" s="453">
        <f t="shared" si="0"/>
        <v>0</v>
      </c>
      <c r="R17" s="444">
        <f t="shared" si="1"/>
        <v>0</v>
      </c>
      <c r="S17" s="444">
        <f t="shared" si="2"/>
        <v>0</v>
      </c>
      <c r="T17" s="444">
        <f t="shared" si="3"/>
        <v>0</v>
      </c>
      <c r="U17" s="445">
        <f t="shared" si="4"/>
        <v>0</v>
      </c>
      <c r="V17" s="498">
        <f>AVERAGE('Cuadro Mando Integral Detallado'!V280:V281)</f>
        <v>0</v>
      </c>
      <c r="W17" s="447">
        <f t="shared" si="5"/>
        <v>0</v>
      </c>
      <c r="X17" s="448">
        <f t="shared" si="6"/>
        <v>0</v>
      </c>
      <c r="Y17" s="448">
        <f t="shared" si="7"/>
        <v>0</v>
      </c>
      <c r="Z17" s="448">
        <f t="shared" si="8"/>
        <v>0</v>
      </c>
      <c r="AA17" s="449">
        <f t="shared" si="9"/>
        <v>0</v>
      </c>
      <c r="AB17" s="483"/>
      <c r="AC17" s="498" t="e">
        <f>AVERAGE('Cuadro Mando Integral Detallado'!Z280:Z281)</f>
        <v>#DIV/0!</v>
      </c>
      <c r="AD17" s="453" t="e">
        <f t="shared" si="10"/>
        <v>#DIV/0!</v>
      </c>
      <c r="AE17" s="444" t="e">
        <f t="shared" si="11"/>
        <v>#DIV/0!</v>
      </c>
      <c r="AF17" s="444" t="e">
        <f t="shared" si="12"/>
        <v>#DIV/0!</v>
      </c>
      <c r="AG17" s="444" t="e">
        <f t="shared" si="13"/>
        <v>#DIV/0!</v>
      </c>
      <c r="AH17" s="445" t="e">
        <f t="shared" si="14"/>
        <v>#DIV/0!</v>
      </c>
      <c r="AI17" s="498">
        <f>AVERAGE('Cuadro Mando Integral Detallado'!AC280:AC281)</f>
        <v>0</v>
      </c>
      <c r="AJ17" s="453">
        <f t="shared" si="15"/>
        <v>0</v>
      </c>
      <c r="AK17" s="448">
        <f t="shared" si="16"/>
        <v>0</v>
      </c>
      <c r="AL17" s="448">
        <f t="shared" si="17"/>
        <v>0</v>
      </c>
      <c r="AM17" s="448">
        <f t="shared" si="18"/>
        <v>0</v>
      </c>
      <c r="AN17" s="449">
        <f t="shared" si="19"/>
        <v>0</v>
      </c>
      <c r="AO17" s="483"/>
      <c r="AP17" s="498">
        <f>AVERAGE('Cuadro Mando Integral Detallado'!AG280:AG281)</f>
        <v>0</v>
      </c>
      <c r="AQ17" s="453">
        <f t="shared" si="20"/>
        <v>0</v>
      </c>
      <c r="AR17" s="444">
        <f t="shared" si="21"/>
        <v>0</v>
      </c>
      <c r="AS17" s="444">
        <f t="shared" si="22"/>
        <v>0</v>
      </c>
      <c r="AT17" s="444">
        <f t="shared" si="23"/>
        <v>0</v>
      </c>
      <c r="AU17" s="445">
        <f t="shared" si="24"/>
        <v>0</v>
      </c>
      <c r="AV17" s="498">
        <f>AVERAGE('Cuadro Mando Integral Detallado'!AI280:AI281)</f>
        <v>0</v>
      </c>
      <c r="AW17" s="453">
        <f t="shared" si="29"/>
        <v>0</v>
      </c>
      <c r="AX17" s="448">
        <f t="shared" si="25"/>
        <v>0</v>
      </c>
      <c r="AY17" s="448">
        <f t="shared" si="26"/>
        <v>0</v>
      </c>
      <c r="AZ17" s="448">
        <f t="shared" si="27"/>
        <v>0</v>
      </c>
      <c r="BA17" s="449">
        <f t="shared" si="28"/>
        <v>0</v>
      </c>
    </row>
    <row r="18" spans="1:53" ht="18.75" thickBot="1" x14ac:dyDescent="0.3">
      <c r="A18" s="455" t="s">
        <v>1080</v>
      </c>
      <c r="B18" s="501"/>
      <c r="C18" s="502">
        <f>AVERAGE('Cuadro Mando Integral Detallado'!L267)</f>
        <v>0.59493670886075944</v>
      </c>
      <c r="D18" s="467">
        <f>+C18</f>
        <v>0.59493670886075944</v>
      </c>
      <c r="E18" s="458">
        <f>+C18</f>
        <v>0.59493670886075944</v>
      </c>
      <c r="F18" s="458">
        <f>+C18</f>
        <v>0.59493670886075944</v>
      </c>
      <c r="G18" s="458">
        <f>+C18</f>
        <v>0.59493670886075944</v>
      </c>
      <c r="H18" s="459">
        <f>+C18</f>
        <v>0.59493670886075944</v>
      </c>
      <c r="I18" s="502">
        <f>AVERAGE('Cuadro Mando Integral Detallado'!O267)</f>
        <v>0.14873417721518986</v>
      </c>
      <c r="J18" s="461">
        <f>+I18</f>
        <v>0.14873417721518986</v>
      </c>
      <c r="K18" s="462">
        <f>+I18</f>
        <v>0.14873417721518986</v>
      </c>
      <c r="L18" s="462">
        <f>+I18</f>
        <v>0.14873417721518986</v>
      </c>
      <c r="M18" s="462">
        <f>+I18</f>
        <v>0.14873417721518986</v>
      </c>
      <c r="N18" s="463">
        <f>+I18</f>
        <v>0.14873417721518986</v>
      </c>
      <c r="O18" s="11"/>
      <c r="P18" s="502">
        <f>AVERAGE('Cuadro Mando Integral Detallado'!S267)</f>
        <v>0</v>
      </c>
      <c r="Q18" s="467">
        <f t="shared" si="0"/>
        <v>0</v>
      </c>
      <c r="R18" s="458">
        <f t="shared" si="1"/>
        <v>0</v>
      </c>
      <c r="S18" s="458">
        <f t="shared" si="2"/>
        <v>0</v>
      </c>
      <c r="T18" s="458">
        <f t="shared" si="3"/>
        <v>0</v>
      </c>
      <c r="U18" s="459">
        <f t="shared" si="4"/>
        <v>0</v>
      </c>
      <c r="V18" s="502">
        <f>AVERAGE('Cuadro Mando Integral Detallado'!V267)</f>
        <v>0.14873417721518986</v>
      </c>
      <c r="W18" s="461">
        <f t="shared" si="5"/>
        <v>0.14873417721518986</v>
      </c>
      <c r="X18" s="462">
        <f t="shared" si="6"/>
        <v>0.14873417721518986</v>
      </c>
      <c r="Y18" s="462">
        <f t="shared" si="7"/>
        <v>0.14873417721518986</v>
      </c>
      <c r="Z18" s="462">
        <f t="shared" si="8"/>
        <v>0.14873417721518986</v>
      </c>
      <c r="AA18" s="463">
        <f>+W18</f>
        <v>0.14873417721518986</v>
      </c>
      <c r="AB18" s="483"/>
      <c r="AC18" s="502">
        <f>AVERAGE('Cuadro Mando Integral Detallado'!Z267)</f>
        <v>0</v>
      </c>
      <c r="AD18" s="467">
        <f t="shared" si="10"/>
        <v>0</v>
      </c>
      <c r="AE18" s="458">
        <f t="shared" si="11"/>
        <v>0</v>
      </c>
      <c r="AF18" s="458">
        <f t="shared" si="12"/>
        <v>0</v>
      </c>
      <c r="AG18" s="458">
        <f t="shared" si="13"/>
        <v>0</v>
      </c>
      <c r="AH18" s="459">
        <f t="shared" si="14"/>
        <v>0</v>
      </c>
      <c r="AI18" s="502">
        <f>AVERAGE('Cuadro Mando Integral Detallado'!AC267)</f>
        <v>0.14873417721518986</v>
      </c>
      <c r="AJ18" s="467">
        <f t="shared" si="15"/>
        <v>0.14873417721518986</v>
      </c>
      <c r="AK18" s="462">
        <f t="shared" si="16"/>
        <v>0.14873417721518986</v>
      </c>
      <c r="AL18" s="462">
        <f t="shared" si="17"/>
        <v>0.14873417721518986</v>
      </c>
      <c r="AM18" s="462">
        <f t="shared" si="18"/>
        <v>0.14873417721518986</v>
      </c>
      <c r="AN18" s="463">
        <f t="shared" si="19"/>
        <v>0.14873417721518986</v>
      </c>
      <c r="AO18" s="483"/>
      <c r="AP18" s="502">
        <f>AVERAGE('Cuadro Mando Integral Detallado'!AG267)</f>
        <v>0</v>
      </c>
      <c r="AQ18" s="467">
        <f t="shared" si="20"/>
        <v>0</v>
      </c>
      <c r="AR18" s="458">
        <f t="shared" si="21"/>
        <v>0</v>
      </c>
      <c r="AS18" s="458">
        <f t="shared" si="22"/>
        <v>0</v>
      </c>
      <c r="AT18" s="458">
        <f t="shared" si="23"/>
        <v>0</v>
      </c>
      <c r="AU18" s="459">
        <f t="shared" si="24"/>
        <v>0</v>
      </c>
      <c r="AV18" s="502">
        <f>AVERAGE('Cuadro Mando Integral Detallado'!AI267)</f>
        <v>0.14873417721518986</v>
      </c>
      <c r="AW18" s="467">
        <f t="shared" si="29"/>
        <v>0.14873417721518986</v>
      </c>
      <c r="AX18" s="462">
        <f>+AV18</f>
        <v>0.14873417721518986</v>
      </c>
      <c r="AY18" s="462">
        <f t="shared" si="26"/>
        <v>0.14873417721518986</v>
      </c>
      <c r="AZ18" s="462">
        <f t="shared" si="27"/>
        <v>0.14873417721518986</v>
      </c>
      <c r="BA18" s="463">
        <f t="shared" si="28"/>
        <v>0.14873417721518986</v>
      </c>
    </row>
    <row r="19" spans="1:53" x14ac:dyDescent="0.25">
      <c r="A19" s="13"/>
    </row>
  </sheetData>
  <mergeCells count="18">
    <mergeCell ref="A1:A3"/>
    <mergeCell ref="B1:H1"/>
    <mergeCell ref="I1:AO1"/>
    <mergeCell ref="AP1:BA3"/>
    <mergeCell ref="B2:H2"/>
    <mergeCell ref="I2:AO2"/>
    <mergeCell ref="B3:H3"/>
    <mergeCell ref="I3:N3"/>
    <mergeCell ref="O3:AH3"/>
    <mergeCell ref="AJ3:AO3"/>
    <mergeCell ref="AP5:AU5"/>
    <mergeCell ref="AV5:BA5"/>
    <mergeCell ref="C5:H5"/>
    <mergeCell ref="I5:N5"/>
    <mergeCell ref="P5:U5"/>
    <mergeCell ref="V5:AA5"/>
    <mergeCell ref="AC5:AH5"/>
    <mergeCell ref="AI5:AN5"/>
  </mergeCells>
  <conditionalFormatting sqref="Q6">
    <cfRule type="cellIs" dxfId="300" priority="311" stopIfTrue="1" operator="between">
      <formula>0</formula>
      <formula>0.5</formula>
    </cfRule>
  </conditionalFormatting>
  <conditionalFormatting sqref="R6">
    <cfRule type="cellIs" dxfId="299" priority="310" operator="between">
      <formula>0.51</formula>
      <formula>0.75</formula>
    </cfRule>
  </conditionalFormatting>
  <conditionalFormatting sqref="S6">
    <cfRule type="cellIs" dxfId="298" priority="309" operator="between">
      <formula>0.76</formula>
      <formula>0.95</formula>
    </cfRule>
  </conditionalFormatting>
  <conditionalFormatting sqref="T6">
    <cfRule type="cellIs" dxfId="297" priority="308" operator="between">
      <formula>0.95</formula>
      <formula>1</formula>
    </cfRule>
  </conditionalFormatting>
  <conditionalFormatting sqref="U6">
    <cfRule type="cellIs" dxfId="296" priority="307" operator="greaterThan">
      <formula>1</formula>
    </cfRule>
  </conditionalFormatting>
  <conditionalFormatting sqref="Q7">
    <cfRule type="cellIs" dxfId="295" priority="306" stopIfTrue="1" operator="between">
      <formula>0</formula>
      <formula>0.5</formula>
    </cfRule>
  </conditionalFormatting>
  <conditionalFormatting sqref="R7">
    <cfRule type="cellIs" dxfId="294" priority="305" operator="between">
      <formula>0.51</formula>
      <formula>0.75</formula>
    </cfRule>
  </conditionalFormatting>
  <conditionalFormatting sqref="S7">
    <cfRule type="cellIs" dxfId="293" priority="304" operator="between">
      <formula>0.76</formula>
      <formula>0.95</formula>
    </cfRule>
  </conditionalFormatting>
  <conditionalFormatting sqref="T7">
    <cfRule type="cellIs" dxfId="292" priority="303" operator="between">
      <formula>0.95</formula>
      <formula>1</formula>
    </cfRule>
  </conditionalFormatting>
  <conditionalFormatting sqref="U7">
    <cfRule type="cellIs" dxfId="291" priority="302" operator="greaterThan">
      <formula>1</formula>
    </cfRule>
  </conditionalFormatting>
  <conditionalFormatting sqref="Q8">
    <cfRule type="cellIs" dxfId="290" priority="301" stopIfTrue="1" operator="between">
      <formula>0</formula>
      <formula>0.5</formula>
    </cfRule>
  </conditionalFormatting>
  <conditionalFormatting sqref="R8">
    <cfRule type="cellIs" dxfId="289" priority="300" operator="between">
      <formula>0.51</formula>
      <formula>0.75</formula>
    </cfRule>
  </conditionalFormatting>
  <conditionalFormatting sqref="S8">
    <cfRule type="cellIs" dxfId="288" priority="299" operator="between">
      <formula>0.76</formula>
      <formula>0.95</formula>
    </cfRule>
  </conditionalFormatting>
  <conditionalFormatting sqref="T8">
    <cfRule type="cellIs" dxfId="287" priority="298" operator="between">
      <formula>0.95</formula>
      <formula>1</formula>
    </cfRule>
  </conditionalFormatting>
  <conditionalFormatting sqref="U8">
    <cfRule type="cellIs" dxfId="286" priority="297" operator="greaterThan">
      <formula>1</formula>
    </cfRule>
  </conditionalFormatting>
  <conditionalFormatting sqref="Q9:Q10">
    <cfRule type="cellIs" dxfId="285" priority="296" stopIfTrue="1" operator="between">
      <formula>0</formula>
      <formula>0.5</formula>
    </cfRule>
  </conditionalFormatting>
  <conditionalFormatting sqref="R9:R10">
    <cfRule type="cellIs" dxfId="284" priority="295" operator="between">
      <formula>0.51</formula>
      <formula>0.75</formula>
    </cfRule>
  </conditionalFormatting>
  <conditionalFormatting sqref="S9:S10">
    <cfRule type="cellIs" dxfId="283" priority="294" operator="between">
      <formula>0.76</formula>
      <formula>0.95</formula>
    </cfRule>
  </conditionalFormatting>
  <conditionalFormatting sqref="T9:T10">
    <cfRule type="cellIs" dxfId="282" priority="293" operator="between">
      <formula>0.95</formula>
      <formula>1</formula>
    </cfRule>
  </conditionalFormatting>
  <conditionalFormatting sqref="U9:U10">
    <cfRule type="cellIs" dxfId="281" priority="292" operator="greaterThan">
      <formula>1</formula>
    </cfRule>
  </conditionalFormatting>
  <conditionalFormatting sqref="Q11">
    <cfRule type="cellIs" dxfId="280" priority="291" stopIfTrue="1" operator="between">
      <formula>0</formula>
      <formula>0.5</formula>
    </cfRule>
  </conditionalFormatting>
  <conditionalFormatting sqref="R11">
    <cfRule type="cellIs" dxfId="279" priority="290" operator="between">
      <formula>0.51</formula>
      <formula>0.75</formula>
    </cfRule>
  </conditionalFormatting>
  <conditionalFormatting sqref="S11">
    <cfRule type="cellIs" dxfId="278" priority="289" operator="between">
      <formula>0.76</formula>
      <formula>0.95</formula>
    </cfRule>
  </conditionalFormatting>
  <conditionalFormatting sqref="T11">
    <cfRule type="cellIs" dxfId="277" priority="288" operator="between">
      <formula>0.95</formula>
      <formula>1</formula>
    </cfRule>
  </conditionalFormatting>
  <conditionalFormatting sqref="U11">
    <cfRule type="cellIs" dxfId="276" priority="287" operator="greaterThan">
      <formula>1</formula>
    </cfRule>
  </conditionalFormatting>
  <conditionalFormatting sqref="Q12">
    <cfRule type="cellIs" dxfId="275" priority="286" stopIfTrue="1" operator="between">
      <formula>0</formula>
      <formula>0.5</formula>
    </cfRule>
  </conditionalFormatting>
  <conditionalFormatting sqref="R12">
    <cfRule type="cellIs" dxfId="274" priority="285" operator="between">
      <formula>0.51</formula>
      <formula>0.75</formula>
    </cfRule>
  </conditionalFormatting>
  <conditionalFormatting sqref="S12">
    <cfRule type="cellIs" dxfId="273" priority="284" operator="between">
      <formula>0.76</formula>
      <formula>0.95</formula>
    </cfRule>
  </conditionalFormatting>
  <conditionalFormatting sqref="T12">
    <cfRule type="cellIs" dxfId="272" priority="283" operator="between">
      <formula>0.95</formula>
      <formula>1</formula>
    </cfRule>
  </conditionalFormatting>
  <conditionalFormatting sqref="U12">
    <cfRule type="cellIs" dxfId="271" priority="282" operator="greaterThan">
      <formula>1</formula>
    </cfRule>
  </conditionalFormatting>
  <conditionalFormatting sqref="Q13:Q16">
    <cfRule type="cellIs" dxfId="270" priority="281" stopIfTrue="1" operator="between">
      <formula>0</formula>
      <formula>0.5</formula>
    </cfRule>
  </conditionalFormatting>
  <conditionalFormatting sqref="R13:R16">
    <cfRule type="cellIs" dxfId="269" priority="280" operator="between">
      <formula>0.51</formula>
      <formula>0.75</formula>
    </cfRule>
  </conditionalFormatting>
  <conditionalFormatting sqref="S13:S16">
    <cfRule type="cellIs" dxfId="268" priority="279" operator="between">
      <formula>0.76</formula>
      <formula>0.95</formula>
    </cfRule>
  </conditionalFormatting>
  <conditionalFormatting sqref="T13:T16">
    <cfRule type="cellIs" dxfId="267" priority="278" operator="between">
      <formula>0.95</formula>
      <formula>1</formula>
    </cfRule>
  </conditionalFormatting>
  <conditionalFormatting sqref="U13:U16">
    <cfRule type="cellIs" dxfId="266" priority="277" operator="greaterThan">
      <formula>1</formula>
    </cfRule>
  </conditionalFormatting>
  <conditionalFormatting sqref="Q17">
    <cfRule type="cellIs" dxfId="265" priority="276" stopIfTrue="1" operator="between">
      <formula>0</formula>
      <formula>0.5</formula>
    </cfRule>
  </conditionalFormatting>
  <conditionalFormatting sqref="R17">
    <cfRule type="cellIs" dxfId="264" priority="275" operator="between">
      <formula>0.51</formula>
      <formula>0.75</formula>
    </cfRule>
  </conditionalFormatting>
  <conditionalFormatting sqref="S17">
    <cfRule type="cellIs" dxfId="263" priority="274" operator="between">
      <formula>0.76</formula>
      <formula>0.95</formula>
    </cfRule>
  </conditionalFormatting>
  <conditionalFormatting sqref="T17">
    <cfRule type="cellIs" dxfId="262" priority="273" operator="between">
      <formula>0.95</formula>
      <formula>1</formula>
    </cfRule>
  </conditionalFormatting>
  <conditionalFormatting sqref="U17">
    <cfRule type="cellIs" dxfId="261" priority="272" operator="greaterThan">
      <formula>1</formula>
    </cfRule>
  </conditionalFormatting>
  <conditionalFormatting sqref="Q18">
    <cfRule type="cellIs" dxfId="260" priority="271" stopIfTrue="1" operator="between">
      <formula>0</formula>
      <formula>0.5</formula>
    </cfRule>
  </conditionalFormatting>
  <conditionalFormatting sqref="R18">
    <cfRule type="cellIs" dxfId="259" priority="270" operator="between">
      <formula>0.51</formula>
      <formula>0.75</formula>
    </cfRule>
  </conditionalFormatting>
  <conditionalFormatting sqref="S18">
    <cfRule type="cellIs" dxfId="258" priority="269" operator="between">
      <formula>0.76</formula>
      <formula>0.95</formula>
    </cfRule>
  </conditionalFormatting>
  <conditionalFormatting sqref="T18">
    <cfRule type="cellIs" dxfId="257" priority="268" operator="between">
      <formula>0.95</formula>
      <formula>1</formula>
    </cfRule>
  </conditionalFormatting>
  <conditionalFormatting sqref="U18">
    <cfRule type="cellIs" dxfId="256" priority="267" operator="greaterThan">
      <formula>1</formula>
    </cfRule>
  </conditionalFormatting>
  <conditionalFormatting sqref="W7">
    <cfRule type="cellIs" dxfId="255" priority="266" stopIfTrue="1" operator="between">
      <formula>0</formula>
      <formula>0.255</formula>
    </cfRule>
  </conditionalFormatting>
  <conditionalFormatting sqref="X7">
    <cfRule type="cellIs" dxfId="254" priority="265" operator="between">
      <formula>0.2551</formula>
      <formula>0.375</formula>
    </cfRule>
  </conditionalFormatting>
  <conditionalFormatting sqref="Y7">
    <cfRule type="cellIs" dxfId="253" priority="264" operator="between">
      <formula>0.3751</formula>
      <formula>0.475</formula>
    </cfRule>
  </conditionalFormatting>
  <conditionalFormatting sqref="Z7">
    <cfRule type="cellIs" dxfId="252" priority="263" operator="between">
      <formula>0.48</formula>
      <formula>0.51</formula>
    </cfRule>
  </conditionalFormatting>
  <conditionalFormatting sqref="AA7">
    <cfRule type="cellIs" dxfId="251" priority="262" operator="greaterThan">
      <formula>0.505</formula>
    </cfRule>
  </conditionalFormatting>
  <conditionalFormatting sqref="W9:W10">
    <cfRule type="cellIs" dxfId="250" priority="261" stopIfTrue="1" operator="between">
      <formula>0</formula>
      <formula>0.255</formula>
    </cfRule>
  </conditionalFormatting>
  <conditionalFormatting sqref="X9:X10">
    <cfRule type="cellIs" dxfId="249" priority="260" operator="between">
      <formula>0.2551</formula>
      <formula>0.375</formula>
    </cfRule>
  </conditionalFormatting>
  <conditionalFormatting sqref="Y9:Y10">
    <cfRule type="cellIs" dxfId="248" priority="259" operator="between">
      <formula>0.38</formula>
      <formula>0.475</formula>
    </cfRule>
  </conditionalFormatting>
  <conditionalFormatting sqref="Z9:Z10">
    <cfRule type="cellIs" dxfId="247" priority="258" operator="between">
      <formula>0.48</formula>
      <formula>0.51</formula>
    </cfRule>
  </conditionalFormatting>
  <conditionalFormatting sqref="AA9:AA10">
    <cfRule type="cellIs" dxfId="246" priority="257" operator="greaterThan">
      <formula>0.505</formula>
    </cfRule>
  </conditionalFormatting>
  <conditionalFormatting sqref="W11">
    <cfRule type="cellIs" dxfId="245" priority="256" stopIfTrue="1" operator="between">
      <formula>0</formula>
      <formula>0.255</formula>
    </cfRule>
  </conditionalFormatting>
  <conditionalFormatting sqref="X11">
    <cfRule type="cellIs" dxfId="244" priority="255" operator="between">
      <formula>0.2551</formula>
      <formula>0.375</formula>
    </cfRule>
  </conditionalFormatting>
  <conditionalFormatting sqref="Y11">
    <cfRule type="cellIs" dxfId="243" priority="254" operator="between">
      <formula>0.38</formula>
      <formula>0.475</formula>
    </cfRule>
  </conditionalFormatting>
  <conditionalFormatting sqref="Z11">
    <cfRule type="cellIs" dxfId="242" priority="253" operator="between">
      <formula>0.48</formula>
      <formula>0.51</formula>
    </cfRule>
  </conditionalFormatting>
  <conditionalFormatting sqref="AA11">
    <cfRule type="cellIs" dxfId="241" priority="252" operator="greaterThan">
      <formula>0.505</formula>
    </cfRule>
  </conditionalFormatting>
  <conditionalFormatting sqref="W12">
    <cfRule type="cellIs" dxfId="240" priority="251" stopIfTrue="1" operator="between">
      <formula>0</formula>
      <formula>0.255</formula>
    </cfRule>
  </conditionalFormatting>
  <conditionalFormatting sqref="X12">
    <cfRule type="cellIs" dxfId="239" priority="250" operator="between">
      <formula>0.2551</formula>
      <formula>0.375</formula>
    </cfRule>
  </conditionalFormatting>
  <conditionalFormatting sqref="Y12">
    <cfRule type="cellIs" dxfId="238" priority="249" operator="between">
      <formula>0.38</formula>
      <formula>0.475</formula>
    </cfRule>
  </conditionalFormatting>
  <conditionalFormatting sqref="Z12">
    <cfRule type="cellIs" dxfId="237" priority="248" operator="between">
      <formula>0.48</formula>
      <formula>0.51</formula>
    </cfRule>
  </conditionalFormatting>
  <conditionalFormatting sqref="AA12">
    <cfRule type="cellIs" dxfId="236" priority="247" operator="greaterThan">
      <formula>0.505</formula>
    </cfRule>
  </conditionalFormatting>
  <conditionalFormatting sqref="W13:W16">
    <cfRule type="cellIs" dxfId="235" priority="246" stopIfTrue="1" operator="between">
      <formula>0</formula>
      <formula>0.255</formula>
    </cfRule>
  </conditionalFormatting>
  <conditionalFormatting sqref="X13:X16">
    <cfRule type="cellIs" dxfId="234" priority="245" operator="between">
      <formula>0.2551</formula>
      <formula>0.375</formula>
    </cfRule>
  </conditionalFormatting>
  <conditionalFormatting sqref="Y13:Y16">
    <cfRule type="cellIs" dxfId="233" priority="244" operator="between">
      <formula>0.38</formula>
      <formula>0.475</formula>
    </cfRule>
  </conditionalFormatting>
  <conditionalFormatting sqref="Z13:Z16">
    <cfRule type="cellIs" dxfId="232" priority="243" operator="between">
      <formula>0.48</formula>
      <formula>0.51</formula>
    </cfRule>
  </conditionalFormatting>
  <conditionalFormatting sqref="AA13:AA16">
    <cfRule type="cellIs" dxfId="231" priority="242" operator="greaterThan">
      <formula>0.505</formula>
    </cfRule>
  </conditionalFormatting>
  <conditionalFormatting sqref="W17">
    <cfRule type="cellIs" dxfId="230" priority="241" stopIfTrue="1" operator="between">
      <formula>0</formula>
      <formula>0.255</formula>
    </cfRule>
  </conditionalFormatting>
  <conditionalFormatting sqref="X17">
    <cfRule type="cellIs" dxfId="229" priority="240" operator="between">
      <formula>0.2551</formula>
      <formula>0.375</formula>
    </cfRule>
  </conditionalFormatting>
  <conditionalFormatting sqref="Y17">
    <cfRule type="cellIs" dxfId="228" priority="239" operator="between">
      <formula>0.38</formula>
      <formula>0.475</formula>
    </cfRule>
  </conditionalFormatting>
  <conditionalFormatting sqref="Z17">
    <cfRule type="cellIs" dxfId="227" priority="238" operator="between">
      <formula>0.48</formula>
      <formula>0.51</formula>
    </cfRule>
  </conditionalFormatting>
  <conditionalFormatting sqref="AA17">
    <cfRule type="cellIs" dxfId="226" priority="237" operator="greaterThan">
      <formula>0.505</formula>
    </cfRule>
  </conditionalFormatting>
  <conditionalFormatting sqref="W18">
    <cfRule type="cellIs" dxfId="225" priority="236" stopIfTrue="1" operator="between">
      <formula>0</formula>
      <formula>0.255</formula>
    </cfRule>
  </conditionalFormatting>
  <conditionalFormatting sqref="X18">
    <cfRule type="cellIs" dxfId="224" priority="235" operator="between">
      <formula>0.2551</formula>
      <formula>0.375</formula>
    </cfRule>
  </conditionalFormatting>
  <conditionalFormatting sqref="Y18">
    <cfRule type="cellIs" dxfId="223" priority="234" operator="between">
      <formula>0.38</formula>
      <formula>0.475</formula>
    </cfRule>
  </conditionalFormatting>
  <conditionalFormatting sqref="Z18">
    <cfRule type="cellIs" dxfId="222" priority="233" operator="between">
      <formula>0.48</formula>
      <formula>0.51</formula>
    </cfRule>
  </conditionalFormatting>
  <conditionalFormatting sqref="AA18">
    <cfRule type="cellIs" dxfId="221" priority="232" operator="greaterThan">
      <formula>0.505</formula>
    </cfRule>
  </conditionalFormatting>
  <conditionalFormatting sqref="AD6">
    <cfRule type="cellIs" dxfId="220" priority="231" stopIfTrue="1" operator="between">
      <formula>0</formula>
      <formula>0.5</formula>
    </cfRule>
  </conditionalFormatting>
  <conditionalFormatting sqref="AE6">
    <cfRule type="cellIs" dxfId="219" priority="230" operator="between">
      <formula>0.51</formula>
      <formula>0.75</formula>
    </cfRule>
  </conditionalFormatting>
  <conditionalFormatting sqref="AF6">
    <cfRule type="cellIs" dxfId="218" priority="229" operator="between">
      <formula>0.76</formula>
      <formula>0.95</formula>
    </cfRule>
  </conditionalFormatting>
  <conditionalFormatting sqref="AG6">
    <cfRule type="cellIs" dxfId="217" priority="228" operator="between">
      <formula>0.95</formula>
      <formula>1</formula>
    </cfRule>
  </conditionalFormatting>
  <conditionalFormatting sqref="AH6">
    <cfRule type="cellIs" dxfId="216" priority="227" operator="greaterThan">
      <formula>1</formula>
    </cfRule>
  </conditionalFormatting>
  <conditionalFormatting sqref="AD7">
    <cfRule type="cellIs" dxfId="215" priority="226" stopIfTrue="1" operator="between">
      <formula>0</formula>
      <formula>0.5</formula>
    </cfRule>
  </conditionalFormatting>
  <conditionalFormatting sqref="AE7">
    <cfRule type="cellIs" dxfId="214" priority="225" operator="between">
      <formula>0.51</formula>
      <formula>0.75</formula>
    </cfRule>
  </conditionalFormatting>
  <conditionalFormatting sqref="AF7">
    <cfRule type="cellIs" dxfId="213" priority="224" operator="between">
      <formula>0.76</formula>
      <formula>0.95</formula>
    </cfRule>
  </conditionalFormatting>
  <conditionalFormatting sqref="AG7">
    <cfRule type="cellIs" dxfId="212" priority="223" operator="between">
      <formula>0.95</formula>
      <formula>1</formula>
    </cfRule>
  </conditionalFormatting>
  <conditionalFormatting sqref="AH7">
    <cfRule type="cellIs" dxfId="211" priority="222" operator="greaterThan">
      <formula>1</formula>
    </cfRule>
  </conditionalFormatting>
  <conditionalFormatting sqref="AD8">
    <cfRule type="cellIs" dxfId="210" priority="221" stopIfTrue="1" operator="between">
      <formula>0</formula>
      <formula>0.5</formula>
    </cfRule>
  </conditionalFormatting>
  <conditionalFormatting sqref="AE8">
    <cfRule type="cellIs" dxfId="209" priority="220" operator="between">
      <formula>0.51</formula>
      <formula>0.75</formula>
    </cfRule>
  </conditionalFormatting>
  <conditionalFormatting sqref="AF8">
    <cfRule type="cellIs" dxfId="208" priority="219" operator="between">
      <formula>0.76</formula>
      <formula>0.95</formula>
    </cfRule>
  </conditionalFormatting>
  <conditionalFormatting sqref="AG8">
    <cfRule type="cellIs" dxfId="207" priority="218" operator="between">
      <formula>0.95</formula>
      <formula>1</formula>
    </cfRule>
  </conditionalFormatting>
  <conditionalFormatting sqref="AH8">
    <cfRule type="cellIs" dxfId="206" priority="217" operator="greaterThan">
      <formula>1</formula>
    </cfRule>
  </conditionalFormatting>
  <conditionalFormatting sqref="AD9:AD10">
    <cfRule type="cellIs" dxfId="205" priority="216" stopIfTrue="1" operator="between">
      <formula>0</formula>
      <formula>0.5</formula>
    </cfRule>
  </conditionalFormatting>
  <conditionalFormatting sqref="AE9:AE10">
    <cfRule type="cellIs" dxfId="204" priority="215" operator="between">
      <formula>0.51</formula>
      <formula>0.75</formula>
    </cfRule>
  </conditionalFormatting>
  <conditionalFormatting sqref="AF9:AF10">
    <cfRule type="cellIs" dxfId="203" priority="214" operator="between">
      <formula>0.76</formula>
      <formula>0.95</formula>
    </cfRule>
  </conditionalFormatting>
  <conditionalFormatting sqref="AG9:AG10">
    <cfRule type="cellIs" dxfId="202" priority="213" operator="between">
      <formula>0.95</formula>
      <formula>1</formula>
    </cfRule>
  </conditionalFormatting>
  <conditionalFormatting sqref="AH9:AH10">
    <cfRule type="cellIs" dxfId="201" priority="212" operator="greaterThan">
      <formula>1</formula>
    </cfRule>
  </conditionalFormatting>
  <conditionalFormatting sqref="AD11">
    <cfRule type="cellIs" dxfId="200" priority="211" stopIfTrue="1" operator="between">
      <formula>0</formula>
      <formula>0.5</formula>
    </cfRule>
  </conditionalFormatting>
  <conditionalFormatting sqref="AE11">
    <cfRule type="cellIs" dxfId="199" priority="210" operator="between">
      <formula>0.51</formula>
      <formula>0.75</formula>
    </cfRule>
  </conditionalFormatting>
  <conditionalFormatting sqref="AF11">
    <cfRule type="cellIs" dxfId="198" priority="209" operator="between">
      <formula>0.76</formula>
      <formula>0.95</formula>
    </cfRule>
  </conditionalFormatting>
  <conditionalFormatting sqref="AG11">
    <cfRule type="cellIs" dxfId="197" priority="208" operator="between">
      <formula>0.95</formula>
      <formula>1</formula>
    </cfRule>
  </conditionalFormatting>
  <conditionalFormatting sqref="AH11">
    <cfRule type="cellIs" dxfId="196" priority="207" operator="greaterThan">
      <formula>1</formula>
    </cfRule>
  </conditionalFormatting>
  <conditionalFormatting sqref="AD12">
    <cfRule type="cellIs" dxfId="195" priority="206" stopIfTrue="1" operator="between">
      <formula>0</formula>
      <formula>0.5</formula>
    </cfRule>
  </conditionalFormatting>
  <conditionalFormatting sqref="AE12">
    <cfRule type="cellIs" dxfId="194" priority="205" operator="between">
      <formula>0.51</formula>
      <formula>0.75</formula>
    </cfRule>
  </conditionalFormatting>
  <conditionalFormatting sqref="AF12">
    <cfRule type="cellIs" dxfId="193" priority="204" operator="between">
      <formula>0.76</formula>
      <formula>0.95</formula>
    </cfRule>
  </conditionalFormatting>
  <conditionalFormatting sqref="AG12">
    <cfRule type="cellIs" dxfId="192" priority="203" operator="between">
      <formula>0.95</formula>
      <formula>1</formula>
    </cfRule>
  </conditionalFormatting>
  <conditionalFormatting sqref="AH12">
    <cfRule type="cellIs" dxfId="191" priority="202" operator="greaterThan">
      <formula>1</formula>
    </cfRule>
  </conditionalFormatting>
  <conditionalFormatting sqref="AD13:AD16">
    <cfRule type="cellIs" dxfId="190" priority="201" stopIfTrue="1" operator="between">
      <formula>0</formula>
      <formula>0.5</formula>
    </cfRule>
  </conditionalFormatting>
  <conditionalFormatting sqref="AE13:AE16">
    <cfRule type="cellIs" dxfId="189" priority="200" operator="between">
      <formula>0.51</formula>
      <formula>0.75</formula>
    </cfRule>
  </conditionalFormatting>
  <conditionalFormatting sqref="AF13:AF16">
    <cfRule type="cellIs" dxfId="188" priority="199" operator="between">
      <formula>0.76</formula>
      <formula>0.95</formula>
    </cfRule>
  </conditionalFormatting>
  <conditionalFormatting sqref="AG13:AG16">
    <cfRule type="cellIs" dxfId="187" priority="198" operator="between">
      <formula>0.95</formula>
      <formula>1</formula>
    </cfRule>
  </conditionalFormatting>
  <conditionalFormatting sqref="AH13:AH16">
    <cfRule type="cellIs" dxfId="186" priority="197" operator="greaterThan">
      <formula>1</formula>
    </cfRule>
  </conditionalFormatting>
  <conditionalFormatting sqref="AD17">
    <cfRule type="cellIs" dxfId="185" priority="196" stopIfTrue="1" operator="between">
      <formula>0</formula>
      <formula>0.5</formula>
    </cfRule>
  </conditionalFormatting>
  <conditionalFormatting sqref="AE17">
    <cfRule type="cellIs" dxfId="184" priority="195" operator="between">
      <formula>0.51</formula>
      <formula>0.75</formula>
    </cfRule>
  </conditionalFormatting>
  <conditionalFormatting sqref="AF17">
    <cfRule type="cellIs" dxfId="183" priority="194" operator="between">
      <formula>0.76</formula>
      <formula>0.95</formula>
    </cfRule>
  </conditionalFormatting>
  <conditionalFormatting sqref="AG17">
    <cfRule type="cellIs" dxfId="182" priority="193" operator="between">
      <formula>0.95</formula>
      <formula>1</formula>
    </cfRule>
  </conditionalFormatting>
  <conditionalFormatting sqref="AH17">
    <cfRule type="cellIs" dxfId="181" priority="192" operator="greaterThan">
      <formula>1</formula>
    </cfRule>
  </conditionalFormatting>
  <conditionalFormatting sqref="AD18">
    <cfRule type="cellIs" dxfId="180" priority="191" stopIfTrue="1" operator="between">
      <formula>0</formula>
      <formula>0.5</formula>
    </cfRule>
  </conditionalFormatting>
  <conditionalFormatting sqref="AE18">
    <cfRule type="cellIs" dxfId="179" priority="190" operator="between">
      <formula>0.51</formula>
      <formula>0.75</formula>
    </cfRule>
  </conditionalFormatting>
  <conditionalFormatting sqref="AF18">
    <cfRule type="cellIs" dxfId="178" priority="189" operator="between">
      <formula>0.76</formula>
      <formula>0.95</formula>
    </cfRule>
  </conditionalFormatting>
  <conditionalFormatting sqref="AG18">
    <cfRule type="cellIs" dxfId="177" priority="188" operator="between">
      <formula>0.95</formula>
      <formula>1</formula>
    </cfRule>
  </conditionalFormatting>
  <conditionalFormatting sqref="AH18">
    <cfRule type="cellIs" dxfId="176" priority="187" operator="greaterThan">
      <formula>1</formula>
    </cfRule>
  </conditionalFormatting>
  <conditionalFormatting sqref="AJ6">
    <cfRule type="cellIs" dxfId="175" priority="186" stopIfTrue="1" operator="between">
      <formula>0</formula>
      <formula>0.375</formula>
    </cfRule>
  </conditionalFormatting>
  <conditionalFormatting sqref="AK6">
    <cfRule type="cellIs" dxfId="174" priority="185" operator="between">
      <formula>0.3751</formula>
      <formula>0.5625</formula>
    </cfRule>
  </conditionalFormatting>
  <conditionalFormatting sqref="AL6">
    <cfRule type="cellIs" dxfId="173" priority="184" operator="between">
      <formula>0.563</formula>
      <formula>0.7125</formula>
    </cfRule>
  </conditionalFormatting>
  <conditionalFormatting sqref="AM6">
    <cfRule type="cellIs" dxfId="172" priority="183" operator="between">
      <formula>0.713</formula>
      <formula>0.75</formula>
    </cfRule>
  </conditionalFormatting>
  <conditionalFormatting sqref="AN6">
    <cfRule type="cellIs" dxfId="171" priority="182" operator="greaterThan">
      <formula>0.755</formula>
    </cfRule>
  </conditionalFormatting>
  <conditionalFormatting sqref="AJ7">
    <cfRule type="cellIs" dxfId="170" priority="181" stopIfTrue="1" operator="between">
      <formula>0</formula>
      <formula>0.375</formula>
    </cfRule>
  </conditionalFormatting>
  <conditionalFormatting sqref="AK7">
    <cfRule type="cellIs" dxfId="169" priority="180" operator="between">
      <formula>0.3751</formula>
      <formula>0.5625</formula>
    </cfRule>
  </conditionalFormatting>
  <conditionalFormatting sqref="AL7">
    <cfRule type="cellIs" dxfId="168" priority="179" operator="between">
      <formula>0.563</formula>
      <formula>0.7125</formula>
    </cfRule>
  </conditionalFormatting>
  <conditionalFormatting sqref="AM7">
    <cfRule type="cellIs" dxfId="167" priority="178" operator="between">
      <formula>0.713</formula>
      <formula>0.75</formula>
    </cfRule>
  </conditionalFormatting>
  <conditionalFormatting sqref="AN7">
    <cfRule type="cellIs" dxfId="166" priority="177" operator="greaterThan">
      <formula>0.755</formula>
    </cfRule>
  </conditionalFormatting>
  <conditionalFormatting sqref="AJ8">
    <cfRule type="cellIs" dxfId="165" priority="176" stopIfTrue="1" operator="between">
      <formula>0</formula>
      <formula>0.375</formula>
    </cfRule>
  </conditionalFormatting>
  <conditionalFormatting sqref="AK8">
    <cfRule type="cellIs" dxfId="164" priority="175" operator="between">
      <formula>0.3751</formula>
      <formula>0.5625</formula>
    </cfRule>
  </conditionalFormatting>
  <conditionalFormatting sqref="AL8">
    <cfRule type="cellIs" dxfId="163" priority="174" operator="between">
      <formula>0.563</formula>
      <formula>0.7125</formula>
    </cfRule>
  </conditionalFormatting>
  <conditionalFormatting sqref="AM8">
    <cfRule type="cellIs" dxfId="162" priority="173" operator="between">
      <formula>0.713</formula>
      <formula>0.75</formula>
    </cfRule>
  </conditionalFormatting>
  <conditionalFormatting sqref="AN8">
    <cfRule type="cellIs" dxfId="161" priority="172" operator="greaterThan">
      <formula>0.755</formula>
    </cfRule>
  </conditionalFormatting>
  <conditionalFormatting sqref="AJ9:AJ10">
    <cfRule type="cellIs" dxfId="160" priority="171" stopIfTrue="1" operator="between">
      <formula>0</formula>
      <formula>0.375</formula>
    </cfRule>
  </conditionalFormatting>
  <conditionalFormatting sqref="AK9:AK10">
    <cfRule type="cellIs" dxfId="159" priority="170" operator="between">
      <formula>0.3751</formula>
      <formula>0.5625</formula>
    </cfRule>
  </conditionalFormatting>
  <conditionalFormatting sqref="AL9:AL10">
    <cfRule type="cellIs" dxfId="158" priority="169" operator="between">
      <formula>0.563</formula>
      <formula>0.7125</formula>
    </cfRule>
  </conditionalFormatting>
  <conditionalFormatting sqref="AM9:AM10">
    <cfRule type="cellIs" dxfId="157" priority="168" operator="between">
      <formula>0.713</formula>
      <formula>0.75</formula>
    </cfRule>
  </conditionalFormatting>
  <conditionalFormatting sqref="AN9:AN10">
    <cfRule type="cellIs" dxfId="156" priority="167" operator="greaterThan">
      <formula>0.755</formula>
    </cfRule>
  </conditionalFormatting>
  <conditionalFormatting sqref="AJ11">
    <cfRule type="cellIs" dxfId="155" priority="166" stopIfTrue="1" operator="between">
      <formula>0</formula>
      <formula>0.375</formula>
    </cfRule>
  </conditionalFormatting>
  <conditionalFormatting sqref="AK11">
    <cfRule type="cellIs" dxfId="154" priority="165" operator="between">
      <formula>0.3751</formula>
      <formula>0.5625</formula>
    </cfRule>
  </conditionalFormatting>
  <conditionalFormatting sqref="AL11">
    <cfRule type="cellIs" dxfId="153" priority="164" operator="between">
      <formula>0.563</formula>
      <formula>0.7125</formula>
    </cfRule>
  </conditionalFormatting>
  <conditionalFormatting sqref="AM11">
    <cfRule type="cellIs" dxfId="152" priority="163" operator="between">
      <formula>0.713</formula>
      <formula>0.75</formula>
    </cfRule>
  </conditionalFormatting>
  <conditionalFormatting sqref="AN11">
    <cfRule type="cellIs" dxfId="151" priority="162" operator="greaterThan">
      <formula>0.755</formula>
    </cfRule>
  </conditionalFormatting>
  <conditionalFormatting sqref="AJ12">
    <cfRule type="cellIs" dxfId="150" priority="161" stopIfTrue="1" operator="between">
      <formula>0</formula>
      <formula>0.375</formula>
    </cfRule>
  </conditionalFormatting>
  <conditionalFormatting sqref="AK12">
    <cfRule type="cellIs" dxfId="149" priority="160" operator="between">
      <formula>0.3751</formula>
      <formula>0.5625</formula>
    </cfRule>
  </conditionalFormatting>
  <conditionalFormatting sqref="AL12">
    <cfRule type="cellIs" dxfId="148" priority="159" operator="between">
      <formula>0.563</formula>
      <formula>0.7125</formula>
    </cfRule>
  </conditionalFormatting>
  <conditionalFormatting sqref="AM12">
    <cfRule type="cellIs" dxfId="147" priority="158" operator="between">
      <formula>0.713</formula>
      <formula>0.75</formula>
    </cfRule>
  </conditionalFormatting>
  <conditionalFormatting sqref="AN12">
    <cfRule type="cellIs" dxfId="146" priority="157" operator="greaterThan">
      <formula>0.755</formula>
    </cfRule>
  </conditionalFormatting>
  <conditionalFormatting sqref="AJ13:AJ16">
    <cfRule type="cellIs" dxfId="145" priority="156" stopIfTrue="1" operator="between">
      <formula>0</formula>
      <formula>0.375</formula>
    </cfRule>
  </conditionalFormatting>
  <conditionalFormatting sqref="AK13:AK16">
    <cfRule type="cellIs" dxfId="144" priority="155" operator="between">
      <formula>0.3751</formula>
      <formula>0.5625</formula>
    </cfRule>
  </conditionalFormatting>
  <conditionalFormatting sqref="AL13:AL16">
    <cfRule type="cellIs" dxfId="143" priority="154" operator="between">
      <formula>0.563</formula>
      <formula>0.7125</formula>
    </cfRule>
  </conditionalFormatting>
  <conditionalFormatting sqref="AM13:AM16">
    <cfRule type="cellIs" dxfId="142" priority="153" operator="between">
      <formula>0.713</formula>
      <formula>0.75</formula>
    </cfRule>
  </conditionalFormatting>
  <conditionalFormatting sqref="AN13:AN16">
    <cfRule type="cellIs" dxfId="141" priority="152" operator="greaterThan">
      <formula>0.755</formula>
    </cfRule>
  </conditionalFormatting>
  <conditionalFormatting sqref="AJ17">
    <cfRule type="cellIs" dxfId="140" priority="151" stopIfTrue="1" operator="between">
      <formula>0</formula>
      <formula>0.375</formula>
    </cfRule>
  </conditionalFormatting>
  <conditionalFormatting sqref="AK17">
    <cfRule type="cellIs" dxfId="139" priority="150" operator="between">
      <formula>0.3751</formula>
      <formula>0.5625</formula>
    </cfRule>
  </conditionalFormatting>
  <conditionalFormatting sqref="AL17">
    <cfRule type="cellIs" dxfId="138" priority="149" operator="between">
      <formula>0.563</formula>
      <formula>0.7125</formula>
    </cfRule>
  </conditionalFormatting>
  <conditionalFormatting sqref="AM17">
    <cfRule type="cellIs" dxfId="137" priority="148" operator="between">
      <formula>0.713</formula>
      <formula>0.75</formula>
    </cfRule>
  </conditionalFormatting>
  <conditionalFormatting sqref="AN17">
    <cfRule type="cellIs" dxfId="136" priority="147" operator="greaterThan">
      <formula>0.755</formula>
    </cfRule>
  </conditionalFormatting>
  <conditionalFormatting sqref="AJ18">
    <cfRule type="cellIs" dxfId="135" priority="146" stopIfTrue="1" operator="between">
      <formula>0</formula>
      <formula>0.375</formula>
    </cfRule>
  </conditionalFormatting>
  <conditionalFormatting sqref="AK18">
    <cfRule type="cellIs" dxfId="134" priority="145" operator="between">
      <formula>0.3751</formula>
      <formula>0.5625</formula>
    </cfRule>
  </conditionalFormatting>
  <conditionalFormatting sqref="AL18">
    <cfRule type="cellIs" dxfId="133" priority="144" operator="between">
      <formula>0.563</formula>
      <formula>0.7125</formula>
    </cfRule>
  </conditionalFormatting>
  <conditionalFormatting sqref="AM18">
    <cfRule type="cellIs" dxfId="132" priority="143" operator="between">
      <formula>0.713</formula>
      <formula>0.75</formula>
    </cfRule>
  </conditionalFormatting>
  <conditionalFormatting sqref="AN18">
    <cfRule type="cellIs" dxfId="131" priority="142" operator="greaterThan">
      <formula>0.755</formula>
    </cfRule>
  </conditionalFormatting>
  <conditionalFormatting sqref="AQ6">
    <cfRule type="cellIs" dxfId="130" priority="141" stopIfTrue="1" operator="between">
      <formula>0</formula>
      <formula>0.5</formula>
    </cfRule>
  </conditionalFormatting>
  <conditionalFormatting sqref="AR6">
    <cfRule type="cellIs" dxfId="129" priority="140" operator="between">
      <formula>0.51</formula>
      <formula>0.75</formula>
    </cfRule>
  </conditionalFormatting>
  <conditionalFormatting sqref="AS6">
    <cfRule type="cellIs" dxfId="128" priority="139" operator="between">
      <formula>0.76</formula>
      <formula>0.95</formula>
    </cfRule>
  </conditionalFormatting>
  <conditionalFormatting sqref="AT6">
    <cfRule type="cellIs" dxfId="127" priority="138" operator="between">
      <formula>0.95</formula>
      <formula>1</formula>
    </cfRule>
  </conditionalFormatting>
  <conditionalFormatting sqref="AU6">
    <cfRule type="cellIs" dxfId="126" priority="137" operator="greaterThan">
      <formula>1</formula>
    </cfRule>
  </conditionalFormatting>
  <conditionalFormatting sqref="AQ7">
    <cfRule type="cellIs" dxfId="125" priority="136" stopIfTrue="1" operator="between">
      <formula>0</formula>
      <formula>0.5</formula>
    </cfRule>
  </conditionalFormatting>
  <conditionalFormatting sqref="AR7">
    <cfRule type="cellIs" dxfId="124" priority="135" operator="between">
      <formula>0.51</formula>
      <formula>0.75</formula>
    </cfRule>
  </conditionalFormatting>
  <conditionalFormatting sqref="AS7">
    <cfRule type="cellIs" dxfId="123" priority="134" operator="between">
      <formula>0.76</formula>
      <formula>0.95</formula>
    </cfRule>
  </conditionalFormatting>
  <conditionalFormatting sqref="AT7">
    <cfRule type="cellIs" dxfId="122" priority="133" operator="between">
      <formula>0.95</formula>
      <formula>1</formula>
    </cfRule>
  </conditionalFormatting>
  <conditionalFormatting sqref="AU7">
    <cfRule type="cellIs" dxfId="121" priority="132" operator="greaterThan">
      <formula>1</formula>
    </cfRule>
  </conditionalFormatting>
  <conditionalFormatting sqref="AQ8">
    <cfRule type="cellIs" dxfId="120" priority="131" stopIfTrue="1" operator="between">
      <formula>0</formula>
      <formula>0.5</formula>
    </cfRule>
  </conditionalFormatting>
  <conditionalFormatting sqref="AR8">
    <cfRule type="cellIs" dxfId="119" priority="130" operator="between">
      <formula>0.51</formula>
      <formula>0.75</formula>
    </cfRule>
  </conditionalFormatting>
  <conditionalFormatting sqref="AS8">
    <cfRule type="cellIs" dxfId="118" priority="129" operator="between">
      <formula>0.76</formula>
      <formula>0.95</formula>
    </cfRule>
  </conditionalFormatting>
  <conditionalFormatting sqref="AT8">
    <cfRule type="cellIs" dxfId="117" priority="128" operator="between">
      <formula>0.95</formula>
      <formula>1</formula>
    </cfRule>
  </conditionalFormatting>
  <conditionalFormatting sqref="AU8">
    <cfRule type="cellIs" dxfId="116" priority="127" operator="greaterThan">
      <formula>1</formula>
    </cfRule>
  </conditionalFormatting>
  <conditionalFormatting sqref="AQ9:AQ10">
    <cfRule type="cellIs" dxfId="115" priority="126" stopIfTrue="1" operator="between">
      <formula>0</formula>
      <formula>0.5</formula>
    </cfRule>
  </conditionalFormatting>
  <conditionalFormatting sqref="AR9:AR10">
    <cfRule type="cellIs" dxfId="114" priority="125" operator="between">
      <formula>0.51</formula>
      <formula>0.75</formula>
    </cfRule>
  </conditionalFormatting>
  <conditionalFormatting sqref="AS9:AS10">
    <cfRule type="cellIs" dxfId="113" priority="124" operator="between">
      <formula>0.76</formula>
      <formula>0.95</formula>
    </cfRule>
  </conditionalFormatting>
  <conditionalFormatting sqref="AT9:AT10">
    <cfRule type="cellIs" dxfId="112" priority="123" operator="between">
      <formula>0.95</formula>
      <formula>1</formula>
    </cfRule>
  </conditionalFormatting>
  <conditionalFormatting sqref="AU9:AU10">
    <cfRule type="cellIs" dxfId="111" priority="122" operator="greaterThan">
      <formula>1</formula>
    </cfRule>
  </conditionalFormatting>
  <conditionalFormatting sqref="AQ11">
    <cfRule type="cellIs" dxfId="110" priority="121" stopIfTrue="1" operator="between">
      <formula>0</formula>
      <formula>0.5</formula>
    </cfRule>
  </conditionalFormatting>
  <conditionalFormatting sqref="AR11">
    <cfRule type="cellIs" dxfId="109" priority="120" operator="between">
      <formula>0.51</formula>
      <formula>0.75</formula>
    </cfRule>
  </conditionalFormatting>
  <conditionalFormatting sqref="AS11">
    <cfRule type="cellIs" dxfId="108" priority="119" operator="between">
      <formula>0.76</formula>
      <formula>0.95</formula>
    </cfRule>
  </conditionalFormatting>
  <conditionalFormatting sqref="AT11">
    <cfRule type="cellIs" dxfId="107" priority="118" operator="between">
      <formula>0.95</formula>
      <formula>1</formula>
    </cfRule>
  </conditionalFormatting>
  <conditionalFormatting sqref="AU11">
    <cfRule type="cellIs" dxfId="106" priority="117" operator="greaterThan">
      <formula>1</formula>
    </cfRule>
  </conditionalFormatting>
  <conditionalFormatting sqref="AQ12">
    <cfRule type="cellIs" dxfId="105" priority="116" stopIfTrue="1" operator="between">
      <formula>0</formula>
      <formula>0.5</formula>
    </cfRule>
  </conditionalFormatting>
  <conditionalFormatting sqref="AR12">
    <cfRule type="cellIs" dxfId="104" priority="115" operator="between">
      <formula>0.51</formula>
      <formula>0.75</formula>
    </cfRule>
  </conditionalFormatting>
  <conditionalFormatting sqref="AS12">
    <cfRule type="cellIs" dxfId="103" priority="114" operator="between">
      <formula>0.76</formula>
      <formula>0.95</formula>
    </cfRule>
  </conditionalFormatting>
  <conditionalFormatting sqref="AT12">
    <cfRule type="cellIs" dxfId="102" priority="113" operator="between">
      <formula>0.95</formula>
      <formula>1</formula>
    </cfRule>
  </conditionalFormatting>
  <conditionalFormatting sqref="AU12">
    <cfRule type="cellIs" dxfId="101" priority="112" operator="greaterThan">
      <formula>1</formula>
    </cfRule>
  </conditionalFormatting>
  <conditionalFormatting sqref="AQ13:AQ16">
    <cfRule type="cellIs" dxfId="100" priority="111" stopIfTrue="1" operator="between">
      <formula>0</formula>
      <formula>0.5</formula>
    </cfRule>
  </conditionalFormatting>
  <conditionalFormatting sqref="AR13:AR16">
    <cfRule type="cellIs" dxfId="99" priority="110" operator="between">
      <formula>0.51</formula>
      <formula>0.75</formula>
    </cfRule>
  </conditionalFormatting>
  <conditionalFormatting sqref="AS13:AS16">
    <cfRule type="cellIs" dxfId="98" priority="109" operator="between">
      <formula>0.76</formula>
      <formula>0.95</formula>
    </cfRule>
  </conditionalFormatting>
  <conditionalFormatting sqref="AT13:AT16">
    <cfRule type="cellIs" dxfId="97" priority="108" operator="between">
      <formula>0.95</formula>
      <formula>1</formula>
    </cfRule>
  </conditionalFormatting>
  <conditionalFormatting sqref="AU13:AU16">
    <cfRule type="cellIs" dxfId="96" priority="107" operator="greaterThan">
      <formula>1</formula>
    </cfRule>
  </conditionalFormatting>
  <conditionalFormatting sqref="AQ17">
    <cfRule type="cellIs" dxfId="95" priority="106" stopIfTrue="1" operator="between">
      <formula>0</formula>
      <formula>0.5</formula>
    </cfRule>
  </conditionalFormatting>
  <conditionalFormatting sqref="AR17">
    <cfRule type="cellIs" dxfId="94" priority="105" operator="between">
      <formula>0.51</formula>
      <formula>0.75</formula>
    </cfRule>
  </conditionalFormatting>
  <conditionalFormatting sqref="AS17">
    <cfRule type="cellIs" dxfId="93" priority="104" operator="between">
      <formula>0.76</formula>
      <formula>0.95</formula>
    </cfRule>
  </conditionalFormatting>
  <conditionalFormatting sqref="AT17">
    <cfRule type="cellIs" dxfId="92" priority="103" operator="between">
      <formula>0.95</formula>
      <formula>1</formula>
    </cfRule>
  </conditionalFormatting>
  <conditionalFormatting sqref="AU17">
    <cfRule type="cellIs" dxfId="91" priority="102" operator="greaterThan">
      <formula>1</formula>
    </cfRule>
  </conditionalFormatting>
  <conditionalFormatting sqref="AQ18">
    <cfRule type="cellIs" dxfId="90" priority="101" stopIfTrue="1" operator="between">
      <formula>0</formula>
      <formula>0.5</formula>
    </cfRule>
  </conditionalFormatting>
  <conditionalFormatting sqref="AR18">
    <cfRule type="cellIs" dxfId="89" priority="100" operator="between">
      <formula>0.51</formula>
      <formula>0.75</formula>
    </cfRule>
  </conditionalFormatting>
  <conditionalFormatting sqref="AS18">
    <cfRule type="cellIs" dxfId="88" priority="99" operator="between">
      <formula>0.76</formula>
      <formula>0.95</formula>
    </cfRule>
  </conditionalFormatting>
  <conditionalFormatting sqref="AT18">
    <cfRule type="cellIs" dxfId="87" priority="98" operator="between">
      <formula>0.95</formula>
      <formula>1</formula>
    </cfRule>
  </conditionalFormatting>
  <conditionalFormatting sqref="AU18">
    <cfRule type="cellIs" dxfId="86" priority="97" operator="greaterThan">
      <formula>1</formula>
    </cfRule>
  </conditionalFormatting>
  <conditionalFormatting sqref="AX6">
    <cfRule type="cellIs" dxfId="85" priority="96" operator="between">
      <formula>0.501</formula>
      <formula>0.75</formula>
    </cfRule>
  </conditionalFormatting>
  <conditionalFormatting sqref="AY6">
    <cfRule type="cellIs" dxfId="84" priority="95" operator="between">
      <formula>0.76</formula>
      <formula>0.95</formula>
    </cfRule>
  </conditionalFormatting>
  <conditionalFormatting sqref="AZ6">
    <cfRule type="cellIs" dxfId="83" priority="94" operator="between">
      <formula>0.95</formula>
      <formula>1</formula>
    </cfRule>
  </conditionalFormatting>
  <conditionalFormatting sqref="BA6">
    <cfRule type="cellIs" dxfId="82" priority="93" operator="greaterThan">
      <formula>1</formula>
    </cfRule>
  </conditionalFormatting>
  <conditionalFormatting sqref="AW6">
    <cfRule type="cellIs" dxfId="81" priority="92" stopIfTrue="1" operator="between">
      <formula>0</formula>
      <formula>0.5</formula>
    </cfRule>
  </conditionalFormatting>
  <conditionalFormatting sqref="AX7">
    <cfRule type="cellIs" dxfId="80" priority="91" operator="between">
      <formula>0.501</formula>
      <formula>0.75</formula>
    </cfRule>
  </conditionalFormatting>
  <conditionalFormatting sqref="AY7">
    <cfRule type="cellIs" dxfId="79" priority="90" operator="between">
      <formula>0.76</formula>
      <formula>0.95</formula>
    </cfRule>
  </conditionalFormatting>
  <conditionalFormatting sqref="AZ7">
    <cfRule type="cellIs" dxfId="78" priority="89" operator="between">
      <formula>0.95</formula>
      <formula>1</formula>
    </cfRule>
  </conditionalFormatting>
  <conditionalFormatting sqref="BA7">
    <cfRule type="cellIs" dxfId="77" priority="88" operator="greaterThan">
      <formula>1</formula>
    </cfRule>
  </conditionalFormatting>
  <conditionalFormatting sqref="AW7">
    <cfRule type="cellIs" dxfId="76" priority="87" stopIfTrue="1" operator="between">
      <formula>0</formula>
      <formula>0.5</formula>
    </cfRule>
  </conditionalFormatting>
  <conditionalFormatting sqref="AX8">
    <cfRule type="cellIs" dxfId="75" priority="86" operator="between">
      <formula>0.501</formula>
      <formula>0.75</formula>
    </cfRule>
  </conditionalFormatting>
  <conditionalFormatting sqref="AY8">
    <cfRule type="cellIs" dxfId="74" priority="85" operator="between">
      <formula>0.76</formula>
      <formula>0.95</formula>
    </cfRule>
  </conditionalFormatting>
  <conditionalFormatting sqref="AZ8">
    <cfRule type="cellIs" dxfId="73" priority="84" operator="between">
      <formula>0.95</formula>
      <formula>1</formula>
    </cfRule>
  </conditionalFormatting>
  <conditionalFormatting sqref="BA8">
    <cfRule type="cellIs" dxfId="72" priority="83" operator="greaterThan">
      <formula>1</formula>
    </cfRule>
  </conditionalFormatting>
  <conditionalFormatting sqref="AW8">
    <cfRule type="cellIs" dxfId="71" priority="82" stopIfTrue="1" operator="between">
      <formula>0</formula>
      <formula>0.5</formula>
    </cfRule>
  </conditionalFormatting>
  <conditionalFormatting sqref="AX9:AX10">
    <cfRule type="cellIs" dxfId="70" priority="81" operator="between">
      <formula>0.501</formula>
      <formula>0.75</formula>
    </cfRule>
  </conditionalFormatting>
  <conditionalFormatting sqref="AY9:AY10">
    <cfRule type="cellIs" dxfId="69" priority="80" operator="between">
      <formula>0.76</formula>
      <formula>0.95</formula>
    </cfRule>
  </conditionalFormatting>
  <conditionalFormatting sqref="AZ9:AZ10">
    <cfRule type="cellIs" dxfId="68" priority="79" operator="between">
      <formula>0.95</formula>
      <formula>1</formula>
    </cfRule>
  </conditionalFormatting>
  <conditionalFormatting sqref="BA9:BA10">
    <cfRule type="cellIs" dxfId="67" priority="78" operator="greaterThan">
      <formula>1</formula>
    </cfRule>
  </conditionalFormatting>
  <conditionalFormatting sqref="AW9:AW10">
    <cfRule type="cellIs" dxfId="66" priority="77" stopIfTrue="1" operator="between">
      <formula>0</formula>
      <formula>0.5</formula>
    </cfRule>
  </conditionalFormatting>
  <conditionalFormatting sqref="AX11">
    <cfRule type="cellIs" dxfId="65" priority="76" operator="between">
      <formula>0.501</formula>
      <formula>0.75</formula>
    </cfRule>
  </conditionalFormatting>
  <conditionalFormatting sqref="AY11">
    <cfRule type="cellIs" dxfId="64" priority="75" operator="between">
      <formula>0.76</formula>
      <formula>0.95</formula>
    </cfRule>
  </conditionalFormatting>
  <conditionalFormatting sqref="AZ11">
    <cfRule type="cellIs" dxfId="63" priority="74" operator="between">
      <formula>0.95</formula>
      <formula>1</formula>
    </cfRule>
  </conditionalFormatting>
  <conditionalFormatting sqref="BA11">
    <cfRule type="cellIs" dxfId="62" priority="73" operator="greaterThan">
      <formula>1</formula>
    </cfRule>
  </conditionalFormatting>
  <conditionalFormatting sqref="AW11">
    <cfRule type="cellIs" dxfId="61" priority="72" stopIfTrue="1" operator="between">
      <formula>0</formula>
      <formula>0.5</formula>
    </cfRule>
  </conditionalFormatting>
  <conditionalFormatting sqref="AX12">
    <cfRule type="cellIs" dxfId="60" priority="71" operator="between">
      <formula>0.501</formula>
      <formula>0.75</formula>
    </cfRule>
  </conditionalFormatting>
  <conditionalFormatting sqref="AY12">
    <cfRule type="cellIs" dxfId="59" priority="70" operator="between">
      <formula>0.76</formula>
      <formula>0.95</formula>
    </cfRule>
  </conditionalFormatting>
  <conditionalFormatting sqref="AZ12">
    <cfRule type="cellIs" dxfId="58" priority="69" operator="between">
      <formula>0.95</formula>
      <formula>1</formula>
    </cfRule>
  </conditionalFormatting>
  <conditionalFormatting sqref="BA12">
    <cfRule type="cellIs" dxfId="57" priority="68" operator="greaterThan">
      <formula>1</formula>
    </cfRule>
  </conditionalFormatting>
  <conditionalFormatting sqref="AW12">
    <cfRule type="cellIs" dxfId="56" priority="67" stopIfTrue="1" operator="between">
      <formula>0</formula>
      <formula>0.5</formula>
    </cfRule>
  </conditionalFormatting>
  <conditionalFormatting sqref="AX13:AX16">
    <cfRule type="cellIs" dxfId="55" priority="66" operator="between">
      <formula>0.501</formula>
      <formula>0.75</formula>
    </cfRule>
  </conditionalFormatting>
  <conditionalFormatting sqref="AY13:AY16">
    <cfRule type="cellIs" dxfId="54" priority="65" operator="between">
      <formula>0.76</formula>
      <formula>0.95</formula>
    </cfRule>
  </conditionalFormatting>
  <conditionalFormatting sqref="AZ13:AZ16">
    <cfRule type="cellIs" dxfId="53" priority="64" operator="between">
      <formula>0.95</formula>
      <formula>1</formula>
    </cfRule>
  </conditionalFormatting>
  <conditionalFormatting sqref="BA13:BA16">
    <cfRule type="cellIs" dxfId="52" priority="63" operator="greaterThan">
      <formula>1</formula>
    </cfRule>
  </conditionalFormatting>
  <conditionalFormatting sqref="AW13:AW16">
    <cfRule type="cellIs" dxfId="51" priority="62" stopIfTrue="1" operator="between">
      <formula>0</formula>
      <formula>0.5</formula>
    </cfRule>
  </conditionalFormatting>
  <conditionalFormatting sqref="AX17">
    <cfRule type="cellIs" dxfId="50" priority="61" operator="between">
      <formula>0.501</formula>
      <formula>0.75</formula>
    </cfRule>
  </conditionalFormatting>
  <conditionalFormatting sqref="AY17">
    <cfRule type="cellIs" dxfId="49" priority="60" operator="between">
      <formula>0.76</formula>
      <formula>0.95</formula>
    </cfRule>
  </conditionalFormatting>
  <conditionalFormatting sqref="AZ17">
    <cfRule type="cellIs" dxfId="48" priority="59" operator="between">
      <formula>0.95</formula>
      <formula>1</formula>
    </cfRule>
  </conditionalFormatting>
  <conditionalFormatting sqref="BA17">
    <cfRule type="cellIs" dxfId="47" priority="58" operator="greaterThan">
      <formula>1</formula>
    </cfRule>
  </conditionalFormatting>
  <conditionalFormatting sqref="AW17">
    <cfRule type="cellIs" dxfId="46" priority="57" stopIfTrue="1" operator="between">
      <formula>0</formula>
      <formula>0.5</formula>
    </cfRule>
  </conditionalFormatting>
  <conditionalFormatting sqref="AX18">
    <cfRule type="cellIs" dxfId="45" priority="56" operator="between">
      <formula>0.501</formula>
      <formula>0.75</formula>
    </cfRule>
  </conditionalFormatting>
  <conditionalFormatting sqref="AY18">
    <cfRule type="cellIs" dxfId="44" priority="55" operator="between">
      <formula>0.76</formula>
      <formula>0.95</formula>
    </cfRule>
  </conditionalFormatting>
  <conditionalFormatting sqref="AZ18">
    <cfRule type="cellIs" dxfId="43" priority="54" operator="between">
      <formula>0.95</formula>
      <formula>1</formula>
    </cfRule>
  </conditionalFormatting>
  <conditionalFormatting sqref="BA18">
    <cfRule type="cellIs" dxfId="42" priority="53" operator="greaterThan">
      <formula>1</formula>
    </cfRule>
  </conditionalFormatting>
  <conditionalFormatting sqref="AW18">
    <cfRule type="cellIs" dxfId="41" priority="52" stopIfTrue="1" operator="between">
      <formula>0</formula>
      <formula>0.5</formula>
    </cfRule>
  </conditionalFormatting>
  <conditionalFormatting sqref="W6">
    <cfRule type="cellIs" dxfId="40" priority="51" stopIfTrue="1" operator="between">
      <formula>0</formula>
      <formula>0.255</formula>
    </cfRule>
  </conditionalFormatting>
  <conditionalFormatting sqref="X6">
    <cfRule type="cellIs" dxfId="39" priority="50" operator="between">
      <formula>0.2551</formula>
      <formula>0.375</formula>
    </cfRule>
  </conditionalFormatting>
  <conditionalFormatting sqref="Y6">
    <cfRule type="cellIs" dxfId="38" priority="49" operator="between">
      <formula>0.3751</formula>
      <formula>0.475</formula>
    </cfRule>
  </conditionalFormatting>
  <conditionalFormatting sqref="Z6">
    <cfRule type="cellIs" dxfId="37" priority="48" operator="between">
      <formula>0.4751</formula>
      <formula>0.51</formula>
    </cfRule>
  </conditionalFormatting>
  <conditionalFormatting sqref="AA6">
    <cfRule type="cellIs" dxfId="36" priority="47" operator="greaterThan">
      <formula>0.505</formula>
    </cfRule>
  </conditionalFormatting>
  <conditionalFormatting sqref="AB8">
    <cfRule type="cellIs" dxfId="35" priority="46" operator="greaterThan">
      <formula>0.505</formula>
    </cfRule>
  </conditionalFormatting>
  <conditionalFormatting sqref="W8">
    <cfRule type="cellIs" dxfId="34" priority="45" stopIfTrue="1" operator="between">
      <formula>0</formula>
      <formula>0.255</formula>
    </cfRule>
  </conditionalFormatting>
  <conditionalFormatting sqref="X8">
    <cfRule type="cellIs" dxfId="33" priority="44" operator="between">
      <formula>0.2551</formula>
      <formula>0.375</formula>
    </cfRule>
  </conditionalFormatting>
  <conditionalFormatting sqref="Y8">
    <cfRule type="cellIs" dxfId="32" priority="43" operator="between">
      <formula>0.3751</formula>
      <formula>0.475</formula>
    </cfRule>
  </conditionalFormatting>
  <conditionalFormatting sqref="Z8">
    <cfRule type="cellIs" dxfId="31" priority="42" operator="between">
      <formula>0.48</formula>
      <formula>0.51</formula>
    </cfRule>
  </conditionalFormatting>
  <conditionalFormatting sqref="AA8">
    <cfRule type="cellIs" dxfId="30" priority="41" operator="greaterThan">
      <formula>0.505</formula>
    </cfRule>
  </conditionalFormatting>
  <conditionalFormatting sqref="D6">
    <cfRule type="cellIs" dxfId="29" priority="30" stopIfTrue="1" operator="between">
      <formula>0</formula>
      <formula>0.5</formula>
    </cfRule>
  </conditionalFormatting>
  <conditionalFormatting sqref="E6">
    <cfRule type="cellIs" dxfId="28" priority="29" operator="between">
      <formula>0.51</formula>
      <formula>0.75</formula>
    </cfRule>
  </conditionalFormatting>
  <conditionalFormatting sqref="F6">
    <cfRule type="cellIs" dxfId="27" priority="28" operator="between">
      <formula>0.76</formula>
      <formula>0.95</formula>
    </cfRule>
  </conditionalFormatting>
  <conditionalFormatting sqref="G6">
    <cfRule type="cellIs" dxfId="26" priority="27" operator="between">
      <formula>0.96</formula>
      <formula>1</formula>
    </cfRule>
  </conditionalFormatting>
  <conditionalFormatting sqref="H6">
    <cfRule type="cellIs" dxfId="25" priority="26" operator="greaterThan">
      <formula>1</formula>
    </cfRule>
  </conditionalFormatting>
  <conditionalFormatting sqref="D7">
    <cfRule type="cellIs" dxfId="24" priority="25" stopIfTrue="1" operator="between">
      <formula>0</formula>
      <formula>0.5</formula>
    </cfRule>
  </conditionalFormatting>
  <conditionalFormatting sqref="E7">
    <cfRule type="cellIs" dxfId="23" priority="24" operator="between">
      <formula>0.51</formula>
      <formula>0.75</formula>
    </cfRule>
  </conditionalFormatting>
  <conditionalFormatting sqref="F7">
    <cfRule type="cellIs" dxfId="22" priority="23" operator="between">
      <formula>0.76</formula>
      <formula>0.95</formula>
    </cfRule>
  </conditionalFormatting>
  <conditionalFormatting sqref="G7">
    <cfRule type="cellIs" dxfId="21" priority="22" operator="between">
      <formula>0.96</formula>
      <formula>1</formula>
    </cfRule>
  </conditionalFormatting>
  <conditionalFormatting sqref="H7">
    <cfRule type="cellIs" dxfId="20" priority="21" operator="greaterThan">
      <formula>1</formula>
    </cfRule>
  </conditionalFormatting>
  <conditionalFormatting sqref="D8:D18">
    <cfRule type="cellIs" dxfId="19" priority="20" stopIfTrue="1" operator="between">
      <formula>0</formula>
      <formula>0.5</formula>
    </cfRule>
  </conditionalFormatting>
  <conditionalFormatting sqref="E8:E18">
    <cfRule type="cellIs" dxfId="18" priority="19" operator="between">
      <formula>0.51</formula>
      <formula>0.75</formula>
    </cfRule>
  </conditionalFormatting>
  <conditionalFormatting sqref="F8:F18">
    <cfRule type="cellIs" dxfId="17" priority="18" operator="between">
      <formula>0.76</formula>
      <formula>0.95</formula>
    </cfRule>
  </conditionalFormatting>
  <conditionalFormatting sqref="G8:G18">
    <cfRule type="cellIs" dxfId="16" priority="17" operator="between">
      <formula>0.96</formula>
      <formula>1</formula>
    </cfRule>
  </conditionalFormatting>
  <conditionalFormatting sqref="H8:H18">
    <cfRule type="cellIs" dxfId="15" priority="16" operator="greaterThan">
      <formula>1</formula>
    </cfRule>
  </conditionalFormatting>
  <conditionalFormatting sqref="J6">
    <cfRule type="cellIs" dxfId="14" priority="15" stopIfTrue="1" operator="between">
      <formula>0</formula>
      <formula>0.125</formula>
    </cfRule>
  </conditionalFormatting>
  <conditionalFormatting sqref="K6">
    <cfRule type="cellIs" dxfId="13" priority="14" operator="between">
      <formula>0.1251</formula>
      <formula>0.1875</formula>
    </cfRule>
  </conditionalFormatting>
  <conditionalFormatting sqref="L6">
    <cfRule type="cellIs" dxfId="12" priority="13" operator="between">
      <formula>0.1876</formula>
      <formula>0.2375</formula>
    </cfRule>
  </conditionalFormatting>
  <conditionalFormatting sqref="M6">
    <cfRule type="cellIs" dxfId="11" priority="12" operator="between">
      <formula>0.2376</formula>
      <formula>0.25</formula>
    </cfRule>
  </conditionalFormatting>
  <conditionalFormatting sqref="N6">
    <cfRule type="cellIs" dxfId="10" priority="11" operator="greaterThan">
      <formula>0.25</formula>
    </cfRule>
  </conditionalFormatting>
  <conditionalFormatting sqref="J7">
    <cfRule type="cellIs" dxfId="9" priority="10" stopIfTrue="1" operator="between">
      <formula>0</formula>
      <formula>0.125</formula>
    </cfRule>
  </conditionalFormatting>
  <conditionalFormatting sqref="K7">
    <cfRule type="cellIs" dxfId="8" priority="9" operator="between">
      <formula>0.1251</formula>
      <formula>0.1875</formula>
    </cfRule>
  </conditionalFormatting>
  <conditionalFormatting sqref="L7">
    <cfRule type="cellIs" dxfId="7" priority="8" operator="between">
      <formula>0.1876</formula>
      <formula>0.2375</formula>
    </cfRule>
  </conditionalFormatting>
  <conditionalFormatting sqref="M7">
    <cfRule type="cellIs" dxfId="6" priority="7" operator="between">
      <formula>0.2376</formula>
      <formula>0.25</formula>
    </cfRule>
  </conditionalFormatting>
  <conditionalFormatting sqref="N7">
    <cfRule type="cellIs" dxfId="5" priority="6" operator="greaterThan">
      <formula>0.25</formula>
    </cfRule>
  </conditionalFormatting>
  <conditionalFormatting sqref="J8:J18">
    <cfRule type="cellIs" dxfId="4" priority="5" stopIfTrue="1" operator="between">
      <formula>0</formula>
      <formula>0.125</formula>
    </cfRule>
  </conditionalFormatting>
  <conditionalFormatting sqref="K8:K18">
    <cfRule type="cellIs" dxfId="3" priority="4" operator="between">
      <formula>0.1251</formula>
      <formula>0.1875</formula>
    </cfRule>
  </conditionalFormatting>
  <conditionalFormatting sqref="L8:L18">
    <cfRule type="cellIs" dxfId="2" priority="3" operator="between">
      <formula>0.1876</formula>
      <formula>0.2375</formula>
    </cfRule>
  </conditionalFormatting>
  <conditionalFormatting sqref="M8:M18">
    <cfRule type="cellIs" dxfId="1" priority="2" operator="between">
      <formula>0.2376</formula>
      <formula>0.25</formula>
    </cfRule>
  </conditionalFormatting>
  <conditionalFormatting sqref="N8:N18">
    <cfRule type="cellIs" dxfId="0" priority="1" operator="greaterThan">
      <formula>0.25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906D4-B557-4318-B06D-31AE8906A26C}">
  <dimension ref="A1:L11"/>
  <sheetViews>
    <sheetView workbookViewId="0">
      <selection activeCell="A8" sqref="A8"/>
    </sheetView>
  </sheetViews>
  <sheetFormatPr baseColWidth="10" defaultRowHeight="15" x14ac:dyDescent="0.25"/>
  <sheetData>
    <row r="1" spans="1:12" x14ac:dyDescent="0.25">
      <c r="A1" s="901"/>
      <c r="B1" s="902"/>
      <c r="C1" s="907" t="s">
        <v>248</v>
      </c>
      <c r="D1" s="908"/>
      <c r="E1" s="925" t="s">
        <v>249</v>
      </c>
      <c r="F1" s="926"/>
      <c r="G1" s="926"/>
      <c r="H1" s="927"/>
      <c r="I1" s="913"/>
      <c r="J1" s="914"/>
      <c r="K1" s="914"/>
      <c r="L1" s="915"/>
    </row>
    <row r="2" spans="1:12" x14ac:dyDescent="0.25">
      <c r="A2" s="903"/>
      <c r="B2" s="904"/>
      <c r="C2" s="909" t="s">
        <v>250</v>
      </c>
      <c r="D2" s="910"/>
      <c r="E2" s="922" t="s">
        <v>252</v>
      </c>
      <c r="F2" s="923"/>
      <c r="G2" s="923"/>
      <c r="H2" s="924"/>
      <c r="I2" s="916"/>
      <c r="J2" s="917"/>
      <c r="K2" s="917"/>
      <c r="L2" s="918"/>
    </row>
    <row r="3" spans="1:12" ht="15.75" thickBot="1" x14ac:dyDescent="0.3">
      <c r="A3" s="905"/>
      <c r="B3" s="906"/>
      <c r="C3" s="911" t="s">
        <v>244</v>
      </c>
      <c r="D3" s="912"/>
      <c r="E3" s="928" t="s">
        <v>256</v>
      </c>
      <c r="F3" s="929"/>
      <c r="G3" s="21" t="s">
        <v>251</v>
      </c>
      <c r="H3" s="20">
        <v>2</v>
      </c>
      <c r="I3" s="919"/>
      <c r="J3" s="920"/>
      <c r="K3" s="920"/>
      <c r="L3" s="921"/>
    </row>
    <row r="5" spans="1:12" x14ac:dyDescent="0.25">
      <c r="A5" s="178" t="s">
        <v>1569</v>
      </c>
    </row>
    <row r="6" spans="1:12" x14ac:dyDescent="0.25">
      <c r="A6" s="22"/>
    </row>
    <row r="7" spans="1:12" x14ac:dyDescent="0.25">
      <c r="A7" s="522" t="s">
        <v>1570</v>
      </c>
      <c r="B7" s="1118" t="s">
        <v>1571</v>
      </c>
      <c r="C7" s="1118"/>
      <c r="D7" s="1118"/>
      <c r="E7" s="1118"/>
      <c r="F7" s="1118"/>
      <c r="G7" s="1118"/>
      <c r="H7" s="1118"/>
      <c r="I7" s="1118"/>
      <c r="J7" s="1118"/>
      <c r="K7" s="1118"/>
      <c r="L7" s="1118"/>
    </row>
    <row r="8" spans="1:12" ht="409.5" customHeight="1" x14ac:dyDescent="0.25">
      <c r="A8" s="699" t="s">
        <v>269</v>
      </c>
      <c r="B8" s="1117" t="s">
        <v>1576</v>
      </c>
      <c r="C8" s="1117"/>
      <c r="D8" s="1117"/>
      <c r="E8" s="1117"/>
      <c r="F8" s="1117"/>
      <c r="G8" s="1117"/>
      <c r="H8" s="1117"/>
      <c r="I8" s="1117"/>
      <c r="J8" s="1117"/>
      <c r="K8" s="1117"/>
      <c r="L8" s="1117"/>
    </row>
    <row r="9" spans="1:12" x14ac:dyDescent="0.25">
      <c r="A9" s="701" t="s">
        <v>1572</v>
      </c>
      <c r="B9" s="1119"/>
      <c r="C9" s="1120"/>
      <c r="D9" s="1120"/>
      <c r="E9" s="1120"/>
      <c r="F9" s="1120"/>
      <c r="G9" s="1120"/>
      <c r="H9" s="1120"/>
      <c r="I9" s="1120"/>
      <c r="J9" s="1120"/>
      <c r="K9" s="1120"/>
      <c r="L9" s="1121"/>
    </row>
    <row r="10" spans="1:12" x14ac:dyDescent="0.25">
      <c r="A10" s="701" t="s">
        <v>1573</v>
      </c>
      <c r="B10" s="1119"/>
      <c r="C10" s="1120"/>
      <c r="D10" s="1120"/>
      <c r="E10" s="1120"/>
      <c r="F10" s="1120"/>
      <c r="G10" s="1120"/>
      <c r="H10" s="1120"/>
      <c r="I10" s="1120"/>
      <c r="J10" s="1120"/>
      <c r="K10" s="1120"/>
      <c r="L10" s="1121"/>
    </row>
    <row r="11" spans="1:12" x14ac:dyDescent="0.25">
      <c r="A11" s="701" t="s">
        <v>1574</v>
      </c>
      <c r="B11" s="1119"/>
      <c r="C11" s="1120"/>
      <c r="D11" s="1120"/>
      <c r="E11" s="1120"/>
      <c r="F11" s="1120"/>
      <c r="G11" s="1120"/>
      <c r="H11" s="1120"/>
      <c r="I11" s="1120"/>
      <c r="J11" s="1120"/>
      <c r="K11" s="1120"/>
      <c r="L11" s="1121"/>
    </row>
  </sheetData>
  <mergeCells count="13">
    <mergeCell ref="A1:B3"/>
    <mergeCell ref="C1:D1"/>
    <mergeCell ref="E1:H1"/>
    <mergeCell ref="I1:L3"/>
    <mergeCell ref="C2:D2"/>
    <mergeCell ref="E2:H2"/>
    <mergeCell ref="C3:D3"/>
    <mergeCell ref="E3:F3"/>
    <mergeCell ref="B8:L8"/>
    <mergeCell ref="B7:L7"/>
    <mergeCell ref="B9:L9"/>
    <mergeCell ref="B10:L10"/>
    <mergeCell ref="B11:L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0B7C4-377E-44CB-A11B-87B9039A55C6}">
  <dimension ref="B1:BZ30"/>
  <sheetViews>
    <sheetView showGridLines="0" zoomScale="55" zoomScaleNormal="55" workbookViewId="0">
      <selection activeCell="H43" sqref="H43"/>
    </sheetView>
  </sheetViews>
  <sheetFormatPr baseColWidth="10" defaultColWidth="11" defaultRowHeight="14.25" x14ac:dyDescent="0.2"/>
  <cols>
    <col min="1" max="1" width="1.5703125" style="231" customWidth="1"/>
    <col min="2" max="2" width="22.28515625" style="231" customWidth="1"/>
    <col min="3" max="3" width="42.5703125" style="231" customWidth="1"/>
    <col min="4" max="4" width="38.7109375" style="231" customWidth="1"/>
    <col min="5" max="5" width="32.140625" style="231" customWidth="1"/>
    <col min="6" max="6" width="33.85546875" style="231" customWidth="1"/>
    <col min="7" max="7" width="5.7109375" style="235" customWidth="1"/>
    <col min="8" max="8" width="24.28515625" style="235" customWidth="1"/>
    <col min="9" max="9" width="35.28515625" style="231" customWidth="1"/>
    <col min="10" max="10" width="31" style="231" customWidth="1"/>
    <col min="11" max="11" width="2.5703125" style="234" customWidth="1"/>
    <col min="12" max="12" width="30" style="231" customWidth="1"/>
    <col min="13" max="13" width="30.7109375" style="231" customWidth="1"/>
    <col min="14" max="14" width="33.42578125" style="231" customWidth="1"/>
    <col min="15" max="15" width="2.5703125" style="234" customWidth="1"/>
    <col min="16" max="16" width="11.140625" style="231" customWidth="1"/>
    <col min="17" max="18" width="15.5703125" style="231" customWidth="1"/>
    <col min="19" max="19" width="2.5703125" style="234" customWidth="1"/>
    <col min="20" max="20" width="12.5703125" style="231" customWidth="1"/>
    <col min="21" max="21" width="16.28515625" style="231" customWidth="1"/>
    <col min="22" max="22" width="18.140625" style="231" customWidth="1"/>
    <col min="23" max="23" width="12" style="231" hidden="1" customWidth="1"/>
    <col min="24" max="24" width="5.7109375" style="231" customWidth="1"/>
    <col min="25" max="26" width="0" style="231" hidden="1" customWidth="1"/>
    <col min="27" max="27" width="2.7109375" style="231" hidden="1" customWidth="1"/>
    <col min="28" max="29" width="0" style="231" hidden="1" customWidth="1"/>
    <col min="30" max="30" width="2.7109375" style="231" hidden="1" customWidth="1"/>
    <col min="31" max="32" width="0" style="231" hidden="1" customWidth="1"/>
    <col min="33" max="33" width="2.7109375" style="231" hidden="1" customWidth="1"/>
    <col min="34" max="35" width="0" style="231" hidden="1" customWidth="1"/>
    <col min="36" max="36" width="2.7109375" style="231" hidden="1" customWidth="1"/>
    <col min="37" max="37" width="0" style="231" hidden="1" customWidth="1"/>
    <col min="38" max="38" width="5.7109375" style="231" hidden="1" customWidth="1"/>
    <col min="39" max="40" width="0" style="231" hidden="1" customWidth="1"/>
    <col min="41" max="41" width="2.7109375" style="231" hidden="1" customWidth="1"/>
    <col min="42" max="43" width="0" style="231" hidden="1" customWidth="1"/>
    <col min="44" max="44" width="2.7109375" style="231" hidden="1" customWidth="1"/>
    <col min="45" max="46" width="0" style="231" hidden="1" customWidth="1"/>
    <col min="47" max="47" width="2.7109375" style="231" hidden="1" customWidth="1"/>
    <col min="48" max="49" width="0" style="231" hidden="1" customWidth="1"/>
    <col min="50" max="50" width="2.7109375" style="231" hidden="1" customWidth="1"/>
    <col min="51" max="51" width="0" style="231" hidden="1" customWidth="1"/>
    <col min="52" max="52" width="5.7109375" style="231" hidden="1" customWidth="1"/>
    <col min="53" max="54" width="0" style="231" hidden="1" customWidth="1"/>
    <col min="55" max="55" width="2.7109375" style="231" hidden="1" customWidth="1"/>
    <col min="56" max="57" width="0" style="231" hidden="1" customWidth="1"/>
    <col min="58" max="58" width="2.7109375" style="231" hidden="1" customWidth="1"/>
    <col min="59" max="60" width="0" style="231" hidden="1" customWidth="1"/>
    <col min="61" max="61" width="2.7109375" style="231" hidden="1" customWidth="1"/>
    <col min="62" max="63" width="0" style="231" hidden="1" customWidth="1"/>
    <col min="64" max="64" width="2.7109375" style="231" hidden="1" customWidth="1"/>
    <col min="65" max="65" width="0" style="231" hidden="1" customWidth="1"/>
    <col min="66" max="66" width="5.7109375" style="231" hidden="1" customWidth="1"/>
    <col min="67" max="68" width="0" style="231" hidden="1" customWidth="1"/>
    <col min="69" max="69" width="2.7109375" style="231" hidden="1" customWidth="1"/>
    <col min="70" max="71" width="0" style="231" hidden="1" customWidth="1"/>
    <col min="72" max="72" width="2.7109375" style="231" hidden="1" customWidth="1"/>
    <col min="73" max="74" width="0" style="231" hidden="1" customWidth="1"/>
    <col min="75" max="75" width="2.7109375" style="231" hidden="1" customWidth="1"/>
    <col min="76" max="77" width="0" style="231" hidden="1" customWidth="1"/>
    <col min="78" max="78" width="2.7109375" style="231" hidden="1" customWidth="1"/>
    <col min="79" max="79" width="0" style="231" hidden="1" customWidth="1"/>
    <col min="80" max="255" width="11" style="231"/>
    <col min="256" max="256" width="1.5703125" style="231" customWidth="1"/>
    <col min="257" max="257" width="8.5703125" style="231" customWidth="1"/>
    <col min="258" max="258" width="28.7109375" style="231" customWidth="1"/>
    <col min="259" max="259" width="26.5703125" style="231" customWidth="1"/>
    <col min="260" max="260" width="7.7109375" style="231" customWidth="1"/>
    <col min="261" max="261" width="19.42578125" style="231" customWidth="1"/>
    <col min="262" max="262" width="44.28515625" style="231" customWidth="1"/>
    <col min="263" max="263" width="17" style="231" customWidth="1"/>
    <col min="264" max="264" width="15.5703125" style="231" customWidth="1"/>
    <col min="265" max="265" width="14.140625" style="231" customWidth="1"/>
    <col min="266" max="266" width="1.7109375" style="231" customWidth="1"/>
    <col min="267" max="267" width="13.7109375" style="231" customWidth="1"/>
    <col min="268" max="268" width="13.85546875" style="231" bestFit="1" customWidth="1"/>
    <col min="269" max="269" width="2.5703125" style="231" customWidth="1"/>
    <col min="270" max="270" width="12.42578125" style="231" customWidth="1"/>
    <col min="271" max="271" width="13.5703125" style="231" customWidth="1"/>
    <col min="272" max="272" width="2.5703125" style="231" customWidth="1"/>
    <col min="273" max="273" width="12.42578125" style="231" customWidth="1"/>
    <col min="274" max="274" width="13.5703125" style="231" customWidth="1"/>
    <col min="275" max="275" width="2.5703125" style="231" customWidth="1"/>
    <col min="276" max="276" width="11.5703125" style="231" customWidth="1"/>
    <col min="277" max="277" width="13" style="231" customWidth="1"/>
    <col min="278" max="278" width="1.42578125" style="231" customWidth="1"/>
    <col min="279" max="279" width="10.5703125" style="231" customWidth="1"/>
    <col min="280" max="511" width="11" style="231"/>
    <col min="512" max="512" width="1.5703125" style="231" customWidth="1"/>
    <col min="513" max="513" width="8.5703125" style="231" customWidth="1"/>
    <col min="514" max="514" width="28.7109375" style="231" customWidth="1"/>
    <col min="515" max="515" width="26.5703125" style="231" customWidth="1"/>
    <col min="516" max="516" width="7.7109375" style="231" customWidth="1"/>
    <col min="517" max="517" width="19.42578125" style="231" customWidth="1"/>
    <col min="518" max="518" width="44.28515625" style="231" customWidth="1"/>
    <col min="519" max="519" width="17" style="231" customWidth="1"/>
    <col min="520" max="520" width="15.5703125" style="231" customWidth="1"/>
    <col min="521" max="521" width="14.140625" style="231" customWidth="1"/>
    <col min="522" max="522" width="1.7109375" style="231" customWidth="1"/>
    <col min="523" max="523" width="13.7109375" style="231" customWidth="1"/>
    <col min="524" max="524" width="13.85546875" style="231" bestFit="1" customWidth="1"/>
    <col min="525" max="525" width="2.5703125" style="231" customWidth="1"/>
    <col min="526" max="526" width="12.42578125" style="231" customWidth="1"/>
    <col min="527" max="527" width="13.5703125" style="231" customWidth="1"/>
    <col min="528" max="528" width="2.5703125" style="231" customWidth="1"/>
    <col min="529" max="529" width="12.42578125" style="231" customWidth="1"/>
    <col min="530" max="530" width="13.5703125" style="231" customWidth="1"/>
    <col min="531" max="531" width="2.5703125" style="231" customWidth="1"/>
    <col min="532" max="532" width="11.5703125" style="231" customWidth="1"/>
    <col min="533" max="533" width="13" style="231" customWidth="1"/>
    <col min="534" max="534" width="1.42578125" style="231" customWidth="1"/>
    <col min="535" max="535" width="10.5703125" style="231" customWidth="1"/>
    <col min="536" max="767" width="11" style="231"/>
    <col min="768" max="768" width="1.5703125" style="231" customWidth="1"/>
    <col min="769" max="769" width="8.5703125" style="231" customWidth="1"/>
    <col min="770" max="770" width="28.7109375" style="231" customWidth="1"/>
    <col min="771" max="771" width="26.5703125" style="231" customWidth="1"/>
    <col min="772" max="772" width="7.7109375" style="231" customWidth="1"/>
    <col min="773" max="773" width="19.42578125" style="231" customWidth="1"/>
    <col min="774" max="774" width="44.28515625" style="231" customWidth="1"/>
    <col min="775" max="775" width="17" style="231" customWidth="1"/>
    <col min="776" max="776" width="15.5703125" style="231" customWidth="1"/>
    <col min="777" max="777" width="14.140625" style="231" customWidth="1"/>
    <col min="778" max="778" width="1.7109375" style="231" customWidth="1"/>
    <col min="779" max="779" width="13.7109375" style="231" customWidth="1"/>
    <col min="780" max="780" width="13.85546875" style="231" bestFit="1" customWidth="1"/>
    <col min="781" max="781" width="2.5703125" style="231" customWidth="1"/>
    <col min="782" max="782" width="12.42578125" style="231" customWidth="1"/>
    <col min="783" max="783" width="13.5703125" style="231" customWidth="1"/>
    <col min="784" max="784" width="2.5703125" style="231" customWidth="1"/>
    <col min="785" max="785" width="12.42578125" style="231" customWidth="1"/>
    <col min="786" max="786" width="13.5703125" style="231" customWidth="1"/>
    <col min="787" max="787" width="2.5703125" style="231" customWidth="1"/>
    <col min="788" max="788" width="11.5703125" style="231" customWidth="1"/>
    <col min="789" max="789" width="13" style="231" customWidth="1"/>
    <col min="790" max="790" width="1.42578125" style="231" customWidth="1"/>
    <col min="791" max="791" width="10.5703125" style="231" customWidth="1"/>
    <col min="792" max="1023" width="11" style="231"/>
    <col min="1024" max="1024" width="1.5703125" style="231" customWidth="1"/>
    <col min="1025" max="1025" width="8.5703125" style="231" customWidth="1"/>
    <col min="1026" max="1026" width="28.7109375" style="231" customWidth="1"/>
    <col min="1027" max="1027" width="26.5703125" style="231" customWidth="1"/>
    <col min="1028" max="1028" width="7.7109375" style="231" customWidth="1"/>
    <col min="1029" max="1029" width="19.42578125" style="231" customWidth="1"/>
    <col min="1030" max="1030" width="44.28515625" style="231" customWidth="1"/>
    <col min="1031" max="1031" width="17" style="231" customWidth="1"/>
    <col min="1032" max="1032" width="15.5703125" style="231" customWidth="1"/>
    <col min="1033" max="1033" width="14.140625" style="231" customWidth="1"/>
    <col min="1034" max="1034" width="1.7109375" style="231" customWidth="1"/>
    <col min="1035" max="1035" width="13.7109375" style="231" customWidth="1"/>
    <col min="1036" max="1036" width="13.85546875" style="231" bestFit="1" customWidth="1"/>
    <col min="1037" max="1037" width="2.5703125" style="231" customWidth="1"/>
    <col min="1038" max="1038" width="12.42578125" style="231" customWidth="1"/>
    <col min="1039" max="1039" width="13.5703125" style="231" customWidth="1"/>
    <col min="1040" max="1040" width="2.5703125" style="231" customWidth="1"/>
    <col min="1041" max="1041" width="12.42578125" style="231" customWidth="1"/>
    <col min="1042" max="1042" width="13.5703125" style="231" customWidth="1"/>
    <col min="1043" max="1043" width="2.5703125" style="231" customWidth="1"/>
    <col min="1044" max="1044" width="11.5703125" style="231" customWidth="1"/>
    <col min="1045" max="1045" width="13" style="231" customWidth="1"/>
    <col min="1046" max="1046" width="1.42578125" style="231" customWidth="1"/>
    <col min="1047" max="1047" width="10.5703125" style="231" customWidth="1"/>
    <col min="1048" max="1279" width="11" style="231"/>
    <col min="1280" max="1280" width="1.5703125" style="231" customWidth="1"/>
    <col min="1281" max="1281" width="8.5703125" style="231" customWidth="1"/>
    <col min="1282" max="1282" width="28.7109375" style="231" customWidth="1"/>
    <col min="1283" max="1283" width="26.5703125" style="231" customWidth="1"/>
    <col min="1284" max="1284" width="7.7109375" style="231" customWidth="1"/>
    <col min="1285" max="1285" width="19.42578125" style="231" customWidth="1"/>
    <col min="1286" max="1286" width="44.28515625" style="231" customWidth="1"/>
    <col min="1287" max="1287" width="17" style="231" customWidth="1"/>
    <col min="1288" max="1288" width="15.5703125" style="231" customWidth="1"/>
    <col min="1289" max="1289" width="14.140625" style="231" customWidth="1"/>
    <col min="1290" max="1290" width="1.7109375" style="231" customWidth="1"/>
    <col min="1291" max="1291" width="13.7109375" style="231" customWidth="1"/>
    <col min="1292" max="1292" width="13.85546875" style="231" bestFit="1" customWidth="1"/>
    <col min="1293" max="1293" width="2.5703125" style="231" customWidth="1"/>
    <col min="1294" max="1294" width="12.42578125" style="231" customWidth="1"/>
    <col min="1295" max="1295" width="13.5703125" style="231" customWidth="1"/>
    <col min="1296" max="1296" width="2.5703125" style="231" customWidth="1"/>
    <col min="1297" max="1297" width="12.42578125" style="231" customWidth="1"/>
    <col min="1298" max="1298" width="13.5703125" style="231" customWidth="1"/>
    <col min="1299" max="1299" width="2.5703125" style="231" customWidth="1"/>
    <col min="1300" max="1300" width="11.5703125" style="231" customWidth="1"/>
    <col min="1301" max="1301" width="13" style="231" customWidth="1"/>
    <col min="1302" max="1302" width="1.42578125" style="231" customWidth="1"/>
    <col min="1303" max="1303" width="10.5703125" style="231" customWidth="1"/>
    <col min="1304" max="1535" width="11" style="231"/>
    <col min="1536" max="1536" width="1.5703125" style="231" customWidth="1"/>
    <col min="1537" max="1537" width="8.5703125" style="231" customWidth="1"/>
    <col min="1538" max="1538" width="28.7109375" style="231" customWidth="1"/>
    <col min="1539" max="1539" width="26.5703125" style="231" customWidth="1"/>
    <col min="1540" max="1540" width="7.7109375" style="231" customWidth="1"/>
    <col min="1541" max="1541" width="19.42578125" style="231" customWidth="1"/>
    <col min="1542" max="1542" width="44.28515625" style="231" customWidth="1"/>
    <col min="1543" max="1543" width="17" style="231" customWidth="1"/>
    <col min="1544" max="1544" width="15.5703125" style="231" customWidth="1"/>
    <col min="1545" max="1545" width="14.140625" style="231" customWidth="1"/>
    <col min="1546" max="1546" width="1.7109375" style="231" customWidth="1"/>
    <col min="1547" max="1547" width="13.7109375" style="231" customWidth="1"/>
    <col min="1548" max="1548" width="13.85546875" style="231" bestFit="1" customWidth="1"/>
    <col min="1549" max="1549" width="2.5703125" style="231" customWidth="1"/>
    <col min="1550" max="1550" width="12.42578125" style="231" customWidth="1"/>
    <col min="1551" max="1551" width="13.5703125" style="231" customWidth="1"/>
    <col min="1552" max="1552" width="2.5703125" style="231" customWidth="1"/>
    <col min="1553" max="1553" width="12.42578125" style="231" customWidth="1"/>
    <col min="1554" max="1554" width="13.5703125" style="231" customWidth="1"/>
    <col min="1555" max="1555" width="2.5703125" style="231" customWidth="1"/>
    <col min="1556" max="1556" width="11.5703125" style="231" customWidth="1"/>
    <col min="1557" max="1557" width="13" style="231" customWidth="1"/>
    <col min="1558" max="1558" width="1.42578125" style="231" customWidth="1"/>
    <col min="1559" max="1559" width="10.5703125" style="231" customWidth="1"/>
    <col min="1560" max="1791" width="11" style="231"/>
    <col min="1792" max="1792" width="1.5703125" style="231" customWidth="1"/>
    <col min="1793" max="1793" width="8.5703125" style="231" customWidth="1"/>
    <col min="1794" max="1794" width="28.7109375" style="231" customWidth="1"/>
    <col min="1795" max="1795" width="26.5703125" style="231" customWidth="1"/>
    <col min="1796" max="1796" width="7.7109375" style="231" customWidth="1"/>
    <col min="1797" max="1797" width="19.42578125" style="231" customWidth="1"/>
    <col min="1798" max="1798" width="44.28515625" style="231" customWidth="1"/>
    <col min="1799" max="1799" width="17" style="231" customWidth="1"/>
    <col min="1800" max="1800" width="15.5703125" style="231" customWidth="1"/>
    <col min="1801" max="1801" width="14.140625" style="231" customWidth="1"/>
    <col min="1802" max="1802" width="1.7109375" style="231" customWidth="1"/>
    <col min="1803" max="1803" width="13.7109375" style="231" customWidth="1"/>
    <col min="1804" max="1804" width="13.85546875" style="231" bestFit="1" customWidth="1"/>
    <col min="1805" max="1805" width="2.5703125" style="231" customWidth="1"/>
    <col min="1806" max="1806" width="12.42578125" style="231" customWidth="1"/>
    <col min="1807" max="1807" width="13.5703125" style="231" customWidth="1"/>
    <col min="1808" max="1808" width="2.5703125" style="231" customWidth="1"/>
    <col min="1809" max="1809" width="12.42578125" style="231" customWidth="1"/>
    <col min="1810" max="1810" width="13.5703125" style="231" customWidth="1"/>
    <col min="1811" max="1811" width="2.5703125" style="231" customWidth="1"/>
    <col min="1812" max="1812" width="11.5703125" style="231" customWidth="1"/>
    <col min="1813" max="1813" width="13" style="231" customWidth="1"/>
    <col min="1814" max="1814" width="1.42578125" style="231" customWidth="1"/>
    <col min="1815" max="1815" width="10.5703125" style="231" customWidth="1"/>
    <col min="1816" max="2047" width="11" style="231"/>
    <col min="2048" max="2048" width="1.5703125" style="231" customWidth="1"/>
    <col min="2049" max="2049" width="8.5703125" style="231" customWidth="1"/>
    <col min="2050" max="2050" width="28.7109375" style="231" customWidth="1"/>
    <col min="2051" max="2051" width="26.5703125" style="231" customWidth="1"/>
    <col min="2052" max="2052" width="7.7109375" style="231" customWidth="1"/>
    <col min="2053" max="2053" width="19.42578125" style="231" customWidth="1"/>
    <col min="2054" max="2054" width="44.28515625" style="231" customWidth="1"/>
    <col min="2055" max="2055" width="17" style="231" customWidth="1"/>
    <col min="2056" max="2056" width="15.5703125" style="231" customWidth="1"/>
    <col min="2057" max="2057" width="14.140625" style="231" customWidth="1"/>
    <col min="2058" max="2058" width="1.7109375" style="231" customWidth="1"/>
    <col min="2059" max="2059" width="13.7109375" style="231" customWidth="1"/>
    <col min="2060" max="2060" width="13.85546875" style="231" bestFit="1" customWidth="1"/>
    <col min="2061" max="2061" width="2.5703125" style="231" customWidth="1"/>
    <col min="2062" max="2062" width="12.42578125" style="231" customWidth="1"/>
    <col min="2063" max="2063" width="13.5703125" style="231" customWidth="1"/>
    <col min="2064" max="2064" width="2.5703125" style="231" customWidth="1"/>
    <col min="2065" max="2065" width="12.42578125" style="231" customWidth="1"/>
    <col min="2066" max="2066" width="13.5703125" style="231" customWidth="1"/>
    <col min="2067" max="2067" width="2.5703125" style="231" customWidth="1"/>
    <col min="2068" max="2068" width="11.5703125" style="231" customWidth="1"/>
    <col min="2069" max="2069" width="13" style="231" customWidth="1"/>
    <col min="2070" max="2070" width="1.42578125" style="231" customWidth="1"/>
    <col min="2071" max="2071" width="10.5703125" style="231" customWidth="1"/>
    <col min="2072" max="2303" width="11" style="231"/>
    <col min="2304" max="2304" width="1.5703125" style="231" customWidth="1"/>
    <col min="2305" max="2305" width="8.5703125" style="231" customWidth="1"/>
    <col min="2306" max="2306" width="28.7109375" style="231" customWidth="1"/>
    <col min="2307" max="2307" width="26.5703125" style="231" customWidth="1"/>
    <col min="2308" max="2308" width="7.7109375" style="231" customWidth="1"/>
    <col min="2309" max="2309" width="19.42578125" style="231" customWidth="1"/>
    <col min="2310" max="2310" width="44.28515625" style="231" customWidth="1"/>
    <col min="2311" max="2311" width="17" style="231" customWidth="1"/>
    <col min="2312" max="2312" width="15.5703125" style="231" customWidth="1"/>
    <col min="2313" max="2313" width="14.140625" style="231" customWidth="1"/>
    <col min="2314" max="2314" width="1.7109375" style="231" customWidth="1"/>
    <col min="2315" max="2315" width="13.7109375" style="231" customWidth="1"/>
    <col min="2316" max="2316" width="13.85546875" style="231" bestFit="1" customWidth="1"/>
    <col min="2317" max="2317" width="2.5703125" style="231" customWidth="1"/>
    <col min="2318" max="2318" width="12.42578125" style="231" customWidth="1"/>
    <col min="2319" max="2319" width="13.5703125" style="231" customWidth="1"/>
    <col min="2320" max="2320" width="2.5703125" style="231" customWidth="1"/>
    <col min="2321" max="2321" width="12.42578125" style="231" customWidth="1"/>
    <col min="2322" max="2322" width="13.5703125" style="231" customWidth="1"/>
    <col min="2323" max="2323" width="2.5703125" style="231" customWidth="1"/>
    <col min="2324" max="2324" width="11.5703125" style="231" customWidth="1"/>
    <col min="2325" max="2325" width="13" style="231" customWidth="1"/>
    <col min="2326" max="2326" width="1.42578125" style="231" customWidth="1"/>
    <col min="2327" max="2327" width="10.5703125" style="231" customWidth="1"/>
    <col min="2328" max="2559" width="11" style="231"/>
    <col min="2560" max="2560" width="1.5703125" style="231" customWidth="1"/>
    <col min="2561" max="2561" width="8.5703125" style="231" customWidth="1"/>
    <col min="2562" max="2562" width="28.7109375" style="231" customWidth="1"/>
    <col min="2563" max="2563" width="26.5703125" style="231" customWidth="1"/>
    <col min="2564" max="2564" width="7.7109375" style="231" customWidth="1"/>
    <col min="2565" max="2565" width="19.42578125" style="231" customWidth="1"/>
    <col min="2566" max="2566" width="44.28515625" style="231" customWidth="1"/>
    <col min="2567" max="2567" width="17" style="231" customWidth="1"/>
    <col min="2568" max="2568" width="15.5703125" style="231" customWidth="1"/>
    <col min="2569" max="2569" width="14.140625" style="231" customWidth="1"/>
    <col min="2570" max="2570" width="1.7109375" style="231" customWidth="1"/>
    <col min="2571" max="2571" width="13.7109375" style="231" customWidth="1"/>
    <col min="2572" max="2572" width="13.85546875" style="231" bestFit="1" customWidth="1"/>
    <col min="2573" max="2573" width="2.5703125" style="231" customWidth="1"/>
    <col min="2574" max="2574" width="12.42578125" style="231" customWidth="1"/>
    <col min="2575" max="2575" width="13.5703125" style="231" customWidth="1"/>
    <col min="2576" max="2576" width="2.5703125" style="231" customWidth="1"/>
    <col min="2577" max="2577" width="12.42578125" style="231" customWidth="1"/>
    <col min="2578" max="2578" width="13.5703125" style="231" customWidth="1"/>
    <col min="2579" max="2579" width="2.5703125" style="231" customWidth="1"/>
    <col min="2580" max="2580" width="11.5703125" style="231" customWidth="1"/>
    <col min="2581" max="2581" width="13" style="231" customWidth="1"/>
    <col min="2582" max="2582" width="1.42578125" style="231" customWidth="1"/>
    <col min="2583" max="2583" width="10.5703125" style="231" customWidth="1"/>
    <col min="2584" max="2815" width="11" style="231"/>
    <col min="2816" max="2816" width="1.5703125" style="231" customWidth="1"/>
    <col min="2817" max="2817" width="8.5703125" style="231" customWidth="1"/>
    <col min="2818" max="2818" width="28.7109375" style="231" customWidth="1"/>
    <col min="2819" max="2819" width="26.5703125" style="231" customWidth="1"/>
    <col min="2820" max="2820" width="7.7109375" style="231" customWidth="1"/>
    <col min="2821" max="2821" width="19.42578125" style="231" customWidth="1"/>
    <col min="2822" max="2822" width="44.28515625" style="231" customWidth="1"/>
    <col min="2823" max="2823" width="17" style="231" customWidth="1"/>
    <col min="2824" max="2824" width="15.5703125" style="231" customWidth="1"/>
    <col min="2825" max="2825" width="14.140625" style="231" customWidth="1"/>
    <col min="2826" max="2826" width="1.7109375" style="231" customWidth="1"/>
    <col min="2827" max="2827" width="13.7109375" style="231" customWidth="1"/>
    <col min="2828" max="2828" width="13.85546875" style="231" bestFit="1" customWidth="1"/>
    <col min="2829" max="2829" width="2.5703125" style="231" customWidth="1"/>
    <col min="2830" max="2830" width="12.42578125" style="231" customWidth="1"/>
    <col min="2831" max="2831" width="13.5703125" style="231" customWidth="1"/>
    <col min="2832" max="2832" width="2.5703125" style="231" customWidth="1"/>
    <col min="2833" max="2833" width="12.42578125" style="231" customWidth="1"/>
    <col min="2834" max="2834" width="13.5703125" style="231" customWidth="1"/>
    <col min="2835" max="2835" width="2.5703125" style="231" customWidth="1"/>
    <col min="2836" max="2836" width="11.5703125" style="231" customWidth="1"/>
    <col min="2837" max="2837" width="13" style="231" customWidth="1"/>
    <col min="2838" max="2838" width="1.42578125" style="231" customWidth="1"/>
    <col min="2839" max="2839" width="10.5703125" style="231" customWidth="1"/>
    <col min="2840" max="3071" width="11" style="231"/>
    <col min="3072" max="3072" width="1.5703125" style="231" customWidth="1"/>
    <col min="3073" max="3073" width="8.5703125" style="231" customWidth="1"/>
    <col min="3074" max="3074" width="28.7109375" style="231" customWidth="1"/>
    <col min="3075" max="3075" width="26.5703125" style="231" customWidth="1"/>
    <col min="3076" max="3076" width="7.7109375" style="231" customWidth="1"/>
    <col min="3077" max="3077" width="19.42578125" style="231" customWidth="1"/>
    <col min="3078" max="3078" width="44.28515625" style="231" customWidth="1"/>
    <col min="3079" max="3079" width="17" style="231" customWidth="1"/>
    <col min="3080" max="3080" width="15.5703125" style="231" customWidth="1"/>
    <col min="3081" max="3081" width="14.140625" style="231" customWidth="1"/>
    <col min="3082" max="3082" width="1.7109375" style="231" customWidth="1"/>
    <col min="3083" max="3083" width="13.7109375" style="231" customWidth="1"/>
    <col min="3084" max="3084" width="13.85546875" style="231" bestFit="1" customWidth="1"/>
    <col min="3085" max="3085" width="2.5703125" style="231" customWidth="1"/>
    <col min="3086" max="3086" width="12.42578125" style="231" customWidth="1"/>
    <col min="3087" max="3087" width="13.5703125" style="231" customWidth="1"/>
    <col min="3088" max="3088" width="2.5703125" style="231" customWidth="1"/>
    <col min="3089" max="3089" width="12.42578125" style="231" customWidth="1"/>
    <col min="3090" max="3090" width="13.5703125" style="231" customWidth="1"/>
    <col min="3091" max="3091" width="2.5703125" style="231" customWidth="1"/>
    <col min="3092" max="3092" width="11.5703125" style="231" customWidth="1"/>
    <col min="3093" max="3093" width="13" style="231" customWidth="1"/>
    <col min="3094" max="3094" width="1.42578125" style="231" customWidth="1"/>
    <col min="3095" max="3095" width="10.5703125" style="231" customWidth="1"/>
    <col min="3096" max="3327" width="11" style="231"/>
    <col min="3328" max="3328" width="1.5703125" style="231" customWidth="1"/>
    <col min="3329" max="3329" width="8.5703125" style="231" customWidth="1"/>
    <col min="3330" max="3330" width="28.7109375" style="231" customWidth="1"/>
    <col min="3331" max="3331" width="26.5703125" style="231" customWidth="1"/>
    <col min="3332" max="3332" width="7.7109375" style="231" customWidth="1"/>
    <col min="3333" max="3333" width="19.42578125" style="231" customWidth="1"/>
    <col min="3334" max="3334" width="44.28515625" style="231" customWidth="1"/>
    <col min="3335" max="3335" width="17" style="231" customWidth="1"/>
    <col min="3336" max="3336" width="15.5703125" style="231" customWidth="1"/>
    <col min="3337" max="3337" width="14.140625" style="231" customWidth="1"/>
    <col min="3338" max="3338" width="1.7109375" style="231" customWidth="1"/>
    <col min="3339" max="3339" width="13.7109375" style="231" customWidth="1"/>
    <col min="3340" max="3340" width="13.85546875" style="231" bestFit="1" customWidth="1"/>
    <col min="3341" max="3341" width="2.5703125" style="231" customWidth="1"/>
    <col min="3342" max="3342" width="12.42578125" style="231" customWidth="1"/>
    <col min="3343" max="3343" width="13.5703125" style="231" customWidth="1"/>
    <col min="3344" max="3344" width="2.5703125" style="231" customWidth="1"/>
    <col min="3345" max="3345" width="12.42578125" style="231" customWidth="1"/>
    <col min="3346" max="3346" width="13.5703125" style="231" customWidth="1"/>
    <col min="3347" max="3347" width="2.5703125" style="231" customWidth="1"/>
    <col min="3348" max="3348" width="11.5703125" style="231" customWidth="1"/>
    <col min="3349" max="3349" width="13" style="231" customWidth="1"/>
    <col min="3350" max="3350" width="1.42578125" style="231" customWidth="1"/>
    <col min="3351" max="3351" width="10.5703125" style="231" customWidth="1"/>
    <col min="3352" max="3583" width="11" style="231"/>
    <col min="3584" max="3584" width="1.5703125" style="231" customWidth="1"/>
    <col min="3585" max="3585" width="8.5703125" style="231" customWidth="1"/>
    <col min="3586" max="3586" width="28.7109375" style="231" customWidth="1"/>
    <col min="3587" max="3587" width="26.5703125" style="231" customWidth="1"/>
    <col min="3588" max="3588" width="7.7109375" style="231" customWidth="1"/>
    <col min="3589" max="3589" width="19.42578125" style="231" customWidth="1"/>
    <col min="3590" max="3590" width="44.28515625" style="231" customWidth="1"/>
    <col min="3591" max="3591" width="17" style="231" customWidth="1"/>
    <col min="3592" max="3592" width="15.5703125" style="231" customWidth="1"/>
    <col min="3593" max="3593" width="14.140625" style="231" customWidth="1"/>
    <col min="3594" max="3594" width="1.7109375" style="231" customWidth="1"/>
    <col min="3595" max="3595" width="13.7109375" style="231" customWidth="1"/>
    <col min="3596" max="3596" width="13.85546875" style="231" bestFit="1" customWidth="1"/>
    <col min="3597" max="3597" width="2.5703125" style="231" customWidth="1"/>
    <col min="3598" max="3598" width="12.42578125" style="231" customWidth="1"/>
    <col min="3599" max="3599" width="13.5703125" style="231" customWidth="1"/>
    <col min="3600" max="3600" width="2.5703125" style="231" customWidth="1"/>
    <col min="3601" max="3601" width="12.42578125" style="231" customWidth="1"/>
    <col min="3602" max="3602" width="13.5703125" style="231" customWidth="1"/>
    <col min="3603" max="3603" width="2.5703125" style="231" customWidth="1"/>
    <col min="3604" max="3604" width="11.5703125" style="231" customWidth="1"/>
    <col min="3605" max="3605" width="13" style="231" customWidth="1"/>
    <col min="3606" max="3606" width="1.42578125" style="231" customWidth="1"/>
    <col min="3607" max="3607" width="10.5703125" style="231" customWidth="1"/>
    <col min="3608" max="3839" width="11" style="231"/>
    <col min="3840" max="3840" width="1.5703125" style="231" customWidth="1"/>
    <col min="3841" max="3841" width="8.5703125" style="231" customWidth="1"/>
    <col min="3842" max="3842" width="28.7109375" style="231" customWidth="1"/>
    <col min="3843" max="3843" width="26.5703125" style="231" customWidth="1"/>
    <col min="3844" max="3844" width="7.7109375" style="231" customWidth="1"/>
    <col min="3845" max="3845" width="19.42578125" style="231" customWidth="1"/>
    <col min="3846" max="3846" width="44.28515625" style="231" customWidth="1"/>
    <col min="3847" max="3847" width="17" style="231" customWidth="1"/>
    <col min="3848" max="3848" width="15.5703125" style="231" customWidth="1"/>
    <col min="3849" max="3849" width="14.140625" style="231" customWidth="1"/>
    <col min="3850" max="3850" width="1.7109375" style="231" customWidth="1"/>
    <col min="3851" max="3851" width="13.7109375" style="231" customWidth="1"/>
    <col min="3852" max="3852" width="13.85546875" style="231" bestFit="1" customWidth="1"/>
    <col min="3853" max="3853" width="2.5703125" style="231" customWidth="1"/>
    <col min="3854" max="3854" width="12.42578125" style="231" customWidth="1"/>
    <col min="3855" max="3855" width="13.5703125" style="231" customWidth="1"/>
    <col min="3856" max="3856" width="2.5703125" style="231" customWidth="1"/>
    <col min="3857" max="3857" width="12.42578125" style="231" customWidth="1"/>
    <col min="3858" max="3858" width="13.5703125" style="231" customWidth="1"/>
    <col min="3859" max="3859" width="2.5703125" style="231" customWidth="1"/>
    <col min="3860" max="3860" width="11.5703125" style="231" customWidth="1"/>
    <col min="3861" max="3861" width="13" style="231" customWidth="1"/>
    <col min="3862" max="3862" width="1.42578125" style="231" customWidth="1"/>
    <col min="3863" max="3863" width="10.5703125" style="231" customWidth="1"/>
    <col min="3864" max="4095" width="11" style="231"/>
    <col min="4096" max="4096" width="1.5703125" style="231" customWidth="1"/>
    <col min="4097" max="4097" width="8.5703125" style="231" customWidth="1"/>
    <col min="4098" max="4098" width="28.7109375" style="231" customWidth="1"/>
    <col min="4099" max="4099" width="26.5703125" style="231" customWidth="1"/>
    <col min="4100" max="4100" width="7.7109375" style="231" customWidth="1"/>
    <col min="4101" max="4101" width="19.42578125" style="231" customWidth="1"/>
    <col min="4102" max="4102" width="44.28515625" style="231" customWidth="1"/>
    <col min="4103" max="4103" width="17" style="231" customWidth="1"/>
    <col min="4104" max="4104" width="15.5703125" style="231" customWidth="1"/>
    <col min="4105" max="4105" width="14.140625" style="231" customWidth="1"/>
    <col min="4106" max="4106" width="1.7109375" style="231" customWidth="1"/>
    <col min="4107" max="4107" width="13.7109375" style="231" customWidth="1"/>
    <col min="4108" max="4108" width="13.85546875" style="231" bestFit="1" customWidth="1"/>
    <col min="4109" max="4109" width="2.5703125" style="231" customWidth="1"/>
    <col min="4110" max="4110" width="12.42578125" style="231" customWidth="1"/>
    <col min="4111" max="4111" width="13.5703125" style="231" customWidth="1"/>
    <col min="4112" max="4112" width="2.5703125" style="231" customWidth="1"/>
    <col min="4113" max="4113" width="12.42578125" style="231" customWidth="1"/>
    <col min="4114" max="4114" width="13.5703125" style="231" customWidth="1"/>
    <col min="4115" max="4115" width="2.5703125" style="231" customWidth="1"/>
    <col min="4116" max="4116" width="11.5703125" style="231" customWidth="1"/>
    <col min="4117" max="4117" width="13" style="231" customWidth="1"/>
    <col min="4118" max="4118" width="1.42578125" style="231" customWidth="1"/>
    <col min="4119" max="4119" width="10.5703125" style="231" customWidth="1"/>
    <col min="4120" max="4351" width="11" style="231"/>
    <col min="4352" max="4352" width="1.5703125" style="231" customWidth="1"/>
    <col min="4353" max="4353" width="8.5703125" style="231" customWidth="1"/>
    <col min="4354" max="4354" width="28.7109375" style="231" customWidth="1"/>
    <col min="4355" max="4355" width="26.5703125" style="231" customWidth="1"/>
    <col min="4356" max="4356" width="7.7109375" style="231" customWidth="1"/>
    <col min="4357" max="4357" width="19.42578125" style="231" customWidth="1"/>
    <col min="4358" max="4358" width="44.28515625" style="231" customWidth="1"/>
    <col min="4359" max="4359" width="17" style="231" customWidth="1"/>
    <col min="4360" max="4360" width="15.5703125" style="231" customWidth="1"/>
    <col min="4361" max="4361" width="14.140625" style="231" customWidth="1"/>
    <col min="4362" max="4362" width="1.7109375" style="231" customWidth="1"/>
    <col min="4363" max="4363" width="13.7109375" style="231" customWidth="1"/>
    <col min="4364" max="4364" width="13.85546875" style="231" bestFit="1" customWidth="1"/>
    <col min="4365" max="4365" width="2.5703125" style="231" customWidth="1"/>
    <col min="4366" max="4366" width="12.42578125" style="231" customWidth="1"/>
    <col min="4367" max="4367" width="13.5703125" style="231" customWidth="1"/>
    <col min="4368" max="4368" width="2.5703125" style="231" customWidth="1"/>
    <col min="4369" max="4369" width="12.42578125" style="231" customWidth="1"/>
    <col min="4370" max="4370" width="13.5703125" style="231" customWidth="1"/>
    <col min="4371" max="4371" width="2.5703125" style="231" customWidth="1"/>
    <col min="4372" max="4372" width="11.5703125" style="231" customWidth="1"/>
    <col min="4373" max="4373" width="13" style="231" customWidth="1"/>
    <col min="4374" max="4374" width="1.42578125" style="231" customWidth="1"/>
    <col min="4375" max="4375" width="10.5703125" style="231" customWidth="1"/>
    <col min="4376" max="4607" width="11" style="231"/>
    <col min="4608" max="4608" width="1.5703125" style="231" customWidth="1"/>
    <col min="4609" max="4609" width="8.5703125" style="231" customWidth="1"/>
    <col min="4610" max="4610" width="28.7109375" style="231" customWidth="1"/>
    <col min="4611" max="4611" width="26.5703125" style="231" customWidth="1"/>
    <col min="4612" max="4612" width="7.7109375" style="231" customWidth="1"/>
    <col min="4613" max="4613" width="19.42578125" style="231" customWidth="1"/>
    <col min="4614" max="4614" width="44.28515625" style="231" customWidth="1"/>
    <col min="4615" max="4615" width="17" style="231" customWidth="1"/>
    <col min="4616" max="4616" width="15.5703125" style="231" customWidth="1"/>
    <col min="4617" max="4617" width="14.140625" style="231" customWidth="1"/>
    <col min="4618" max="4618" width="1.7109375" style="231" customWidth="1"/>
    <col min="4619" max="4619" width="13.7109375" style="231" customWidth="1"/>
    <col min="4620" max="4620" width="13.85546875" style="231" bestFit="1" customWidth="1"/>
    <col min="4621" max="4621" width="2.5703125" style="231" customWidth="1"/>
    <col min="4622" max="4622" width="12.42578125" style="231" customWidth="1"/>
    <col min="4623" max="4623" width="13.5703125" style="231" customWidth="1"/>
    <col min="4624" max="4624" width="2.5703125" style="231" customWidth="1"/>
    <col min="4625" max="4625" width="12.42578125" style="231" customWidth="1"/>
    <col min="4626" max="4626" width="13.5703125" style="231" customWidth="1"/>
    <col min="4627" max="4627" width="2.5703125" style="231" customWidth="1"/>
    <col min="4628" max="4628" width="11.5703125" style="231" customWidth="1"/>
    <col min="4629" max="4629" width="13" style="231" customWidth="1"/>
    <col min="4630" max="4630" width="1.42578125" style="231" customWidth="1"/>
    <col min="4631" max="4631" width="10.5703125" style="231" customWidth="1"/>
    <col min="4632" max="4863" width="11" style="231"/>
    <col min="4864" max="4864" width="1.5703125" style="231" customWidth="1"/>
    <col min="4865" max="4865" width="8.5703125" style="231" customWidth="1"/>
    <col min="4866" max="4866" width="28.7109375" style="231" customWidth="1"/>
    <col min="4867" max="4867" width="26.5703125" style="231" customWidth="1"/>
    <col min="4868" max="4868" width="7.7109375" style="231" customWidth="1"/>
    <col min="4869" max="4869" width="19.42578125" style="231" customWidth="1"/>
    <col min="4870" max="4870" width="44.28515625" style="231" customWidth="1"/>
    <col min="4871" max="4871" width="17" style="231" customWidth="1"/>
    <col min="4872" max="4872" width="15.5703125" style="231" customWidth="1"/>
    <col min="4873" max="4873" width="14.140625" style="231" customWidth="1"/>
    <col min="4874" max="4874" width="1.7109375" style="231" customWidth="1"/>
    <col min="4875" max="4875" width="13.7109375" style="231" customWidth="1"/>
    <col min="4876" max="4876" width="13.85546875" style="231" bestFit="1" customWidth="1"/>
    <col min="4877" max="4877" width="2.5703125" style="231" customWidth="1"/>
    <col min="4878" max="4878" width="12.42578125" style="231" customWidth="1"/>
    <col min="4879" max="4879" width="13.5703125" style="231" customWidth="1"/>
    <col min="4880" max="4880" width="2.5703125" style="231" customWidth="1"/>
    <col min="4881" max="4881" width="12.42578125" style="231" customWidth="1"/>
    <col min="4882" max="4882" width="13.5703125" style="231" customWidth="1"/>
    <col min="4883" max="4883" width="2.5703125" style="231" customWidth="1"/>
    <col min="4884" max="4884" width="11.5703125" style="231" customWidth="1"/>
    <col min="4885" max="4885" width="13" style="231" customWidth="1"/>
    <col min="4886" max="4886" width="1.42578125" style="231" customWidth="1"/>
    <col min="4887" max="4887" width="10.5703125" style="231" customWidth="1"/>
    <col min="4888" max="5119" width="11" style="231"/>
    <col min="5120" max="5120" width="1.5703125" style="231" customWidth="1"/>
    <col min="5121" max="5121" width="8.5703125" style="231" customWidth="1"/>
    <col min="5122" max="5122" width="28.7109375" style="231" customWidth="1"/>
    <col min="5123" max="5123" width="26.5703125" style="231" customWidth="1"/>
    <col min="5124" max="5124" width="7.7109375" style="231" customWidth="1"/>
    <col min="5125" max="5125" width="19.42578125" style="231" customWidth="1"/>
    <col min="5126" max="5126" width="44.28515625" style="231" customWidth="1"/>
    <col min="5127" max="5127" width="17" style="231" customWidth="1"/>
    <col min="5128" max="5128" width="15.5703125" style="231" customWidth="1"/>
    <col min="5129" max="5129" width="14.140625" style="231" customWidth="1"/>
    <col min="5130" max="5130" width="1.7109375" style="231" customWidth="1"/>
    <col min="5131" max="5131" width="13.7109375" style="231" customWidth="1"/>
    <col min="5132" max="5132" width="13.85546875" style="231" bestFit="1" customWidth="1"/>
    <col min="5133" max="5133" width="2.5703125" style="231" customWidth="1"/>
    <col min="5134" max="5134" width="12.42578125" style="231" customWidth="1"/>
    <col min="5135" max="5135" width="13.5703125" style="231" customWidth="1"/>
    <col min="5136" max="5136" width="2.5703125" style="231" customWidth="1"/>
    <col min="5137" max="5137" width="12.42578125" style="231" customWidth="1"/>
    <col min="5138" max="5138" width="13.5703125" style="231" customWidth="1"/>
    <col min="5139" max="5139" width="2.5703125" style="231" customWidth="1"/>
    <col min="5140" max="5140" width="11.5703125" style="231" customWidth="1"/>
    <col min="5141" max="5141" width="13" style="231" customWidth="1"/>
    <col min="5142" max="5142" width="1.42578125" style="231" customWidth="1"/>
    <col min="5143" max="5143" width="10.5703125" style="231" customWidth="1"/>
    <col min="5144" max="5375" width="11" style="231"/>
    <col min="5376" max="5376" width="1.5703125" style="231" customWidth="1"/>
    <col min="5377" max="5377" width="8.5703125" style="231" customWidth="1"/>
    <col min="5378" max="5378" width="28.7109375" style="231" customWidth="1"/>
    <col min="5379" max="5379" width="26.5703125" style="231" customWidth="1"/>
    <col min="5380" max="5380" width="7.7109375" style="231" customWidth="1"/>
    <col min="5381" max="5381" width="19.42578125" style="231" customWidth="1"/>
    <col min="5382" max="5382" width="44.28515625" style="231" customWidth="1"/>
    <col min="5383" max="5383" width="17" style="231" customWidth="1"/>
    <col min="5384" max="5384" width="15.5703125" style="231" customWidth="1"/>
    <col min="5385" max="5385" width="14.140625" style="231" customWidth="1"/>
    <col min="5386" max="5386" width="1.7109375" style="231" customWidth="1"/>
    <col min="5387" max="5387" width="13.7109375" style="231" customWidth="1"/>
    <col min="5388" max="5388" width="13.85546875" style="231" bestFit="1" customWidth="1"/>
    <col min="5389" max="5389" width="2.5703125" style="231" customWidth="1"/>
    <col min="5390" max="5390" width="12.42578125" style="231" customWidth="1"/>
    <col min="5391" max="5391" width="13.5703125" style="231" customWidth="1"/>
    <col min="5392" max="5392" width="2.5703125" style="231" customWidth="1"/>
    <col min="5393" max="5393" width="12.42578125" style="231" customWidth="1"/>
    <col min="5394" max="5394" width="13.5703125" style="231" customWidth="1"/>
    <col min="5395" max="5395" width="2.5703125" style="231" customWidth="1"/>
    <col min="5396" max="5396" width="11.5703125" style="231" customWidth="1"/>
    <col min="5397" max="5397" width="13" style="231" customWidth="1"/>
    <col min="5398" max="5398" width="1.42578125" style="231" customWidth="1"/>
    <col min="5399" max="5399" width="10.5703125" style="231" customWidth="1"/>
    <col min="5400" max="5631" width="11" style="231"/>
    <col min="5632" max="5632" width="1.5703125" style="231" customWidth="1"/>
    <col min="5633" max="5633" width="8.5703125" style="231" customWidth="1"/>
    <col min="5634" max="5634" width="28.7109375" style="231" customWidth="1"/>
    <col min="5635" max="5635" width="26.5703125" style="231" customWidth="1"/>
    <col min="5636" max="5636" width="7.7109375" style="231" customWidth="1"/>
    <col min="5637" max="5637" width="19.42578125" style="231" customWidth="1"/>
    <col min="5638" max="5638" width="44.28515625" style="231" customWidth="1"/>
    <col min="5639" max="5639" width="17" style="231" customWidth="1"/>
    <col min="5640" max="5640" width="15.5703125" style="231" customWidth="1"/>
    <col min="5641" max="5641" width="14.140625" style="231" customWidth="1"/>
    <col min="5642" max="5642" width="1.7109375" style="231" customWidth="1"/>
    <col min="5643" max="5643" width="13.7109375" style="231" customWidth="1"/>
    <col min="5644" max="5644" width="13.85546875" style="231" bestFit="1" customWidth="1"/>
    <col min="5645" max="5645" width="2.5703125" style="231" customWidth="1"/>
    <col min="5646" max="5646" width="12.42578125" style="231" customWidth="1"/>
    <col min="5647" max="5647" width="13.5703125" style="231" customWidth="1"/>
    <col min="5648" max="5648" width="2.5703125" style="231" customWidth="1"/>
    <col min="5649" max="5649" width="12.42578125" style="231" customWidth="1"/>
    <col min="5650" max="5650" width="13.5703125" style="231" customWidth="1"/>
    <col min="5651" max="5651" width="2.5703125" style="231" customWidth="1"/>
    <col min="5652" max="5652" width="11.5703125" style="231" customWidth="1"/>
    <col min="5653" max="5653" width="13" style="231" customWidth="1"/>
    <col min="5654" max="5654" width="1.42578125" style="231" customWidth="1"/>
    <col min="5655" max="5655" width="10.5703125" style="231" customWidth="1"/>
    <col min="5656" max="5887" width="11" style="231"/>
    <col min="5888" max="5888" width="1.5703125" style="231" customWidth="1"/>
    <col min="5889" max="5889" width="8.5703125" style="231" customWidth="1"/>
    <col min="5890" max="5890" width="28.7109375" style="231" customWidth="1"/>
    <col min="5891" max="5891" width="26.5703125" style="231" customWidth="1"/>
    <col min="5892" max="5892" width="7.7109375" style="231" customWidth="1"/>
    <col min="5893" max="5893" width="19.42578125" style="231" customWidth="1"/>
    <col min="5894" max="5894" width="44.28515625" style="231" customWidth="1"/>
    <col min="5895" max="5895" width="17" style="231" customWidth="1"/>
    <col min="5896" max="5896" width="15.5703125" style="231" customWidth="1"/>
    <col min="5897" max="5897" width="14.140625" style="231" customWidth="1"/>
    <col min="5898" max="5898" width="1.7109375" style="231" customWidth="1"/>
    <col min="5899" max="5899" width="13.7109375" style="231" customWidth="1"/>
    <col min="5900" max="5900" width="13.85546875" style="231" bestFit="1" customWidth="1"/>
    <col min="5901" max="5901" width="2.5703125" style="231" customWidth="1"/>
    <col min="5902" max="5902" width="12.42578125" style="231" customWidth="1"/>
    <col min="5903" max="5903" width="13.5703125" style="231" customWidth="1"/>
    <col min="5904" max="5904" width="2.5703125" style="231" customWidth="1"/>
    <col min="5905" max="5905" width="12.42578125" style="231" customWidth="1"/>
    <col min="5906" max="5906" width="13.5703125" style="231" customWidth="1"/>
    <col min="5907" max="5907" width="2.5703125" style="231" customWidth="1"/>
    <col min="5908" max="5908" width="11.5703125" style="231" customWidth="1"/>
    <col min="5909" max="5909" width="13" style="231" customWidth="1"/>
    <col min="5910" max="5910" width="1.42578125" style="231" customWidth="1"/>
    <col min="5911" max="5911" width="10.5703125" style="231" customWidth="1"/>
    <col min="5912" max="6143" width="11" style="231"/>
    <col min="6144" max="6144" width="1.5703125" style="231" customWidth="1"/>
    <col min="6145" max="6145" width="8.5703125" style="231" customWidth="1"/>
    <col min="6146" max="6146" width="28.7109375" style="231" customWidth="1"/>
    <col min="6147" max="6147" width="26.5703125" style="231" customWidth="1"/>
    <col min="6148" max="6148" width="7.7109375" style="231" customWidth="1"/>
    <col min="6149" max="6149" width="19.42578125" style="231" customWidth="1"/>
    <col min="6150" max="6150" width="44.28515625" style="231" customWidth="1"/>
    <col min="6151" max="6151" width="17" style="231" customWidth="1"/>
    <col min="6152" max="6152" width="15.5703125" style="231" customWidth="1"/>
    <col min="6153" max="6153" width="14.140625" style="231" customWidth="1"/>
    <col min="6154" max="6154" width="1.7109375" style="231" customWidth="1"/>
    <col min="6155" max="6155" width="13.7109375" style="231" customWidth="1"/>
    <col min="6156" max="6156" width="13.85546875" style="231" bestFit="1" customWidth="1"/>
    <col min="6157" max="6157" width="2.5703125" style="231" customWidth="1"/>
    <col min="6158" max="6158" width="12.42578125" style="231" customWidth="1"/>
    <col min="6159" max="6159" width="13.5703125" style="231" customWidth="1"/>
    <col min="6160" max="6160" width="2.5703125" style="231" customWidth="1"/>
    <col min="6161" max="6161" width="12.42578125" style="231" customWidth="1"/>
    <col min="6162" max="6162" width="13.5703125" style="231" customWidth="1"/>
    <col min="6163" max="6163" width="2.5703125" style="231" customWidth="1"/>
    <col min="6164" max="6164" width="11.5703125" style="231" customWidth="1"/>
    <col min="6165" max="6165" width="13" style="231" customWidth="1"/>
    <col min="6166" max="6166" width="1.42578125" style="231" customWidth="1"/>
    <col min="6167" max="6167" width="10.5703125" style="231" customWidth="1"/>
    <col min="6168" max="6399" width="11" style="231"/>
    <col min="6400" max="6400" width="1.5703125" style="231" customWidth="1"/>
    <col min="6401" max="6401" width="8.5703125" style="231" customWidth="1"/>
    <col min="6402" max="6402" width="28.7109375" style="231" customWidth="1"/>
    <col min="6403" max="6403" width="26.5703125" style="231" customWidth="1"/>
    <col min="6404" max="6404" width="7.7109375" style="231" customWidth="1"/>
    <col min="6405" max="6405" width="19.42578125" style="231" customWidth="1"/>
    <col min="6406" max="6406" width="44.28515625" style="231" customWidth="1"/>
    <col min="6407" max="6407" width="17" style="231" customWidth="1"/>
    <col min="6408" max="6408" width="15.5703125" style="231" customWidth="1"/>
    <col min="6409" max="6409" width="14.140625" style="231" customWidth="1"/>
    <col min="6410" max="6410" width="1.7109375" style="231" customWidth="1"/>
    <col min="6411" max="6411" width="13.7109375" style="231" customWidth="1"/>
    <col min="6412" max="6412" width="13.85546875" style="231" bestFit="1" customWidth="1"/>
    <col min="6413" max="6413" width="2.5703125" style="231" customWidth="1"/>
    <col min="6414" max="6414" width="12.42578125" style="231" customWidth="1"/>
    <col min="6415" max="6415" width="13.5703125" style="231" customWidth="1"/>
    <col min="6416" max="6416" width="2.5703125" style="231" customWidth="1"/>
    <col min="6417" max="6417" width="12.42578125" style="231" customWidth="1"/>
    <col min="6418" max="6418" width="13.5703125" style="231" customWidth="1"/>
    <col min="6419" max="6419" width="2.5703125" style="231" customWidth="1"/>
    <col min="6420" max="6420" width="11.5703125" style="231" customWidth="1"/>
    <col min="6421" max="6421" width="13" style="231" customWidth="1"/>
    <col min="6422" max="6422" width="1.42578125" style="231" customWidth="1"/>
    <col min="6423" max="6423" width="10.5703125" style="231" customWidth="1"/>
    <col min="6424" max="6655" width="11" style="231"/>
    <col min="6656" max="6656" width="1.5703125" style="231" customWidth="1"/>
    <col min="6657" max="6657" width="8.5703125" style="231" customWidth="1"/>
    <col min="6658" max="6658" width="28.7109375" style="231" customWidth="1"/>
    <col min="6659" max="6659" width="26.5703125" style="231" customWidth="1"/>
    <col min="6660" max="6660" width="7.7109375" style="231" customWidth="1"/>
    <col min="6661" max="6661" width="19.42578125" style="231" customWidth="1"/>
    <col min="6662" max="6662" width="44.28515625" style="231" customWidth="1"/>
    <col min="6663" max="6663" width="17" style="231" customWidth="1"/>
    <col min="6664" max="6664" width="15.5703125" style="231" customWidth="1"/>
    <col min="6665" max="6665" width="14.140625" style="231" customWidth="1"/>
    <col min="6666" max="6666" width="1.7109375" style="231" customWidth="1"/>
    <col min="6667" max="6667" width="13.7109375" style="231" customWidth="1"/>
    <col min="6668" max="6668" width="13.85546875" style="231" bestFit="1" customWidth="1"/>
    <col min="6669" max="6669" width="2.5703125" style="231" customWidth="1"/>
    <col min="6670" max="6670" width="12.42578125" style="231" customWidth="1"/>
    <col min="6671" max="6671" width="13.5703125" style="231" customWidth="1"/>
    <col min="6672" max="6672" width="2.5703125" style="231" customWidth="1"/>
    <col min="6673" max="6673" width="12.42578125" style="231" customWidth="1"/>
    <col min="6674" max="6674" width="13.5703125" style="231" customWidth="1"/>
    <col min="6675" max="6675" width="2.5703125" style="231" customWidth="1"/>
    <col min="6676" max="6676" width="11.5703125" style="231" customWidth="1"/>
    <col min="6677" max="6677" width="13" style="231" customWidth="1"/>
    <col min="6678" max="6678" width="1.42578125" style="231" customWidth="1"/>
    <col min="6679" max="6679" width="10.5703125" style="231" customWidth="1"/>
    <col min="6680" max="6911" width="11" style="231"/>
    <col min="6912" max="6912" width="1.5703125" style="231" customWidth="1"/>
    <col min="6913" max="6913" width="8.5703125" style="231" customWidth="1"/>
    <col min="6914" max="6914" width="28.7109375" style="231" customWidth="1"/>
    <col min="6915" max="6915" width="26.5703125" style="231" customWidth="1"/>
    <col min="6916" max="6916" width="7.7109375" style="231" customWidth="1"/>
    <col min="6917" max="6917" width="19.42578125" style="231" customWidth="1"/>
    <col min="6918" max="6918" width="44.28515625" style="231" customWidth="1"/>
    <col min="6919" max="6919" width="17" style="231" customWidth="1"/>
    <col min="6920" max="6920" width="15.5703125" style="231" customWidth="1"/>
    <col min="6921" max="6921" width="14.140625" style="231" customWidth="1"/>
    <col min="6922" max="6922" width="1.7109375" style="231" customWidth="1"/>
    <col min="6923" max="6923" width="13.7109375" style="231" customWidth="1"/>
    <col min="6924" max="6924" width="13.85546875" style="231" bestFit="1" customWidth="1"/>
    <col min="6925" max="6925" width="2.5703125" style="231" customWidth="1"/>
    <col min="6926" max="6926" width="12.42578125" style="231" customWidth="1"/>
    <col min="6927" max="6927" width="13.5703125" style="231" customWidth="1"/>
    <col min="6928" max="6928" width="2.5703125" style="231" customWidth="1"/>
    <col min="6929" max="6929" width="12.42578125" style="231" customWidth="1"/>
    <col min="6930" max="6930" width="13.5703125" style="231" customWidth="1"/>
    <col min="6931" max="6931" width="2.5703125" style="231" customWidth="1"/>
    <col min="6932" max="6932" width="11.5703125" style="231" customWidth="1"/>
    <col min="6933" max="6933" width="13" style="231" customWidth="1"/>
    <col min="6934" max="6934" width="1.42578125" style="231" customWidth="1"/>
    <col min="6935" max="6935" width="10.5703125" style="231" customWidth="1"/>
    <col min="6936" max="7167" width="11" style="231"/>
    <col min="7168" max="7168" width="1.5703125" style="231" customWidth="1"/>
    <col min="7169" max="7169" width="8.5703125" style="231" customWidth="1"/>
    <col min="7170" max="7170" width="28.7109375" style="231" customWidth="1"/>
    <col min="7171" max="7171" width="26.5703125" style="231" customWidth="1"/>
    <col min="7172" max="7172" width="7.7109375" style="231" customWidth="1"/>
    <col min="7173" max="7173" width="19.42578125" style="231" customWidth="1"/>
    <col min="7174" max="7174" width="44.28515625" style="231" customWidth="1"/>
    <col min="7175" max="7175" width="17" style="231" customWidth="1"/>
    <col min="7176" max="7176" width="15.5703125" style="231" customWidth="1"/>
    <col min="7177" max="7177" width="14.140625" style="231" customWidth="1"/>
    <col min="7178" max="7178" width="1.7109375" style="231" customWidth="1"/>
    <col min="7179" max="7179" width="13.7109375" style="231" customWidth="1"/>
    <col min="7180" max="7180" width="13.85546875" style="231" bestFit="1" customWidth="1"/>
    <col min="7181" max="7181" width="2.5703125" style="231" customWidth="1"/>
    <col min="7182" max="7182" width="12.42578125" style="231" customWidth="1"/>
    <col min="7183" max="7183" width="13.5703125" style="231" customWidth="1"/>
    <col min="7184" max="7184" width="2.5703125" style="231" customWidth="1"/>
    <col min="7185" max="7185" width="12.42578125" style="231" customWidth="1"/>
    <col min="7186" max="7186" width="13.5703125" style="231" customWidth="1"/>
    <col min="7187" max="7187" width="2.5703125" style="231" customWidth="1"/>
    <col min="7188" max="7188" width="11.5703125" style="231" customWidth="1"/>
    <col min="7189" max="7189" width="13" style="231" customWidth="1"/>
    <col min="7190" max="7190" width="1.42578125" style="231" customWidth="1"/>
    <col min="7191" max="7191" width="10.5703125" style="231" customWidth="1"/>
    <col min="7192" max="7423" width="11" style="231"/>
    <col min="7424" max="7424" width="1.5703125" style="231" customWidth="1"/>
    <col min="7425" max="7425" width="8.5703125" style="231" customWidth="1"/>
    <col min="7426" max="7426" width="28.7109375" style="231" customWidth="1"/>
    <col min="7427" max="7427" width="26.5703125" style="231" customWidth="1"/>
    <col min="7428" max="7428" width="7.7109375" style="231" customWidth="1"/>
    <col min="7429" max="7429" width="19.42578125" style="231" customWidth="1"/>
    <col min="7430" max="7430" width="44.28515625" style="231" customWidth="1"/>
    <col min="7431" max="7431" width="17" style="231" customWidth="1"/>
    <col min="7432" max="7432" width="15.5703125" style="231" customWidth="1"/>
    <col min="7433" max="7433" width="14.140625" style="231" customWidth="1"/>
    <col min="7434" max="7434" width="1.7109375" style="231" customWidth="1"/>
    <col min="7435" max="7435" width="13.7109375" style="231" customWidth="1"/>
    <col min="7436" max="7436" width="13.85546875" style="231" bestFit="1" customWidth="1"/>
    <col min="7437" max="7437" width="2.5703125" style="231" customWidth="1"/>
    <col min="7438" max="7438" width="12.42578125" style="231" customWidth="1"/>
    <col min="7439" max="7439" width="13.5703125" style="231" customWidth="1"/>
    <col min="7440" max="7440" width="2.5703125" style="231" customWidth="1"/>
    <col min="7441" max="7441" width="12.42578125" style="231" customWidth="1"/>
    <col min="7442" max="7442" width="13.5703125" style="231" customWidth="1"/>
    <col min="7443" max="7443" width="2.5703125" style="231" customWidth="1"/>
    <col min="7444" max="7444" width="11.5703125" style="231" customWidth="1"/>
    <col min="7445" max="7445" width="13" style="231" customWidth="1"/>
    <col min="7446" max="7446" width="1.42578125" style="231" customWidth="1"/>
    <col min="7447" max="7447" width="10.5703125" style="231" customWidth="1"/>
    <col min="7448" max="7679" width="11" style="231"/>
    <col min="7680" max="7680" width="1.5703125" style="231" customWidth="1"/>
    <col min="7681" max="7681" width="8.5703125" style="231" customWidth="1"/>
    <col min="7682" max="7682" width="28.7109375" style="231" customWidth="1"/>
    <col min="7683" max="7683" width="26.5703125" style="231" customWidth="1"/>
    <col min="7684" max="7684" width="7.7109375" style="231" customWidth="1"/>
    <col min="7685" max="7685" width="19.42578125" style="231" customWidth="1"/>
    <col min="7686" max="7686" width="44.28515625" style="231" customWidth="1"/>
    <col min="7687" max="7687" width="17" style="231" customWidth="1"/>
    <col min="7688" max="7688" width="15.5703125" style="231" customWidth="1"/>
    <col min="7689" max="7689" width="14.140625" style="231" customWidth="1"/>
    <col min="7690" max="7690" width="1.7109375" style="231" customWidth="1"/>
    <col min="7691" max="7691" width="13.7109375" style="231" customWidth="1"/>
    <col min="7692" max="7692" width="13.85546875" style="231" bestFit="1" customWidth="1"/>
    <col min="7693" max="7693" width="2.5703125" style="231" customWidth="1"/>
    <col min="7694" max="7694" width="12.42578125" style="231" customWidth="1"/>
    <col min="7695" max="7695" width="13.5703125" style="231" customWidth="1"/>
    <col min="7696" max="7696" width="2.5703125" style="231" customWidth="1"/>
    <col min="7697" max="7697" width="12.42578125" style="231" customWidth="1"/>
    <col min="7698" max="7698" width="13.5703125" style="231" customWidth="1"/>
    <col min="7699" max="7699" width="2.5703125" style="231" customWidth="1"/>
    <col min="7700" max="7700" width="11.5703125" style="231" customWidth="1"/>
    <col min="7701" max="7701" width="13" style="231" customWidth="1"/>
    <col min="7702" max="7702" width="1.42578125" style="231" customWidth="1"/>
    <col min="7703" max="7703" width="10.5703125" style="231" customWidth="1"/>
    <col min="7704" max="7935" width="11" style="231"/>
    <col min="7936" max="7936" width="1.5703125" style="231" customWidth="1"/>
    <col min="7937" max="7937" width="8.5703125" style="231" customWidth="1"/>
    <col min="7938" max="7938" width="28.7109375" style="231" customWidth="1"/>
    <col min="7939" max="7939" width="26.5703125" style="231" customWidth="1"/>
    <col min="7940" max="7940" width="7.7109375" style="231" customWidth="1"/>
    <col min="7941" max="7941" width="19.42578125" style="231" customWidth="1"/>
    <col min="7942" max="7942" width="44.28515625" style="231" customWidth="1"/>
    <col min="7943" max="7943" width="17" style="231" customWidth="1"/>
    <col min="7944" max="7944" width="15.5703125" style="231" customWidth="1"/>
    <col min="7945" max="7945" width="14.140625" style="231" customWidth="1"/>
    <col min="7946" max="7946" width="1.7109375" style="231" customWidth="1"/>
    <col min="7947" max="7947" width="13.7109375" style="231" customWidth="1"/>
    <col min="7948" max="7948" width="13.85546875" style="231" bestFit="1" customWidth="1"/>
    <col min="7949" max="7949" width="2.5703125" style="231" customWidth="1"/>
    <col min="7950" max="7950" width="12.42578125" style="231" customWidth="1"/>
    <col min="7951" max="7951" width="13.5703125" style="231" customWidth="1"/>
    <col min="7952" max="7952" width="2.5703125" style="231" customWidth="1"/>
    <col min="7953" max="7953" width="12.42578125" style="231" customWidth="1"/>
    <col min="7954" max="7954" width="13.5703125" style="231" customWidth="1"/>
    <col min="7955" max="7955" width="2.5703125" style="231" customWidth="1"/>
    <col min="7956" max="7956" width="11.5703125" style="231" customWidth="1"/>
    <col min="7957" max="7957" width="13" style="231" customWidth="1"/>
    <col min="7958" max="7958" width="1.42578125" style="231" customWidth="1"/>
    <col min="7959" max="7959" width="10.5703125" style="231" customWidth="1"/>
    <col min="7960" max="8191" width="11" style="231"/>
    <col min="8192" max="8192" width="1.5703125" style="231" customWidth="1"/>
    <col min="8193" max="8193" width="8.5703125" style="231" customWidth="1"/>
    <col min="8194" max="8194" width="28.7109375" style="231" customWidth="1"/>
    <col min="8195" max="8195" width="26.5703125" style="231" customWidth="1"/>
    <col min="8196" max="8196" width="7.7109375" style="231" customWidth="1"/>
    <col min="8197" max="8197" width="19.42578125" style="231" customWidth="1"/>
    <col min="8198" max="8198" width="44.28515625" style="231" customWidth="1"/>
    <col min="8199" max="8199" width="17" style="231" customWidth="1"/>
    <col min="8200" max="8200" width="15.5703125" style="231" customWidth="1"/>
    <col min="8201" max="8201" width="14.140625" style="231" customWidth="1"/>
    <col min="8202" max="8202" width="1.7109375" style="231" customWidth="1"/>
    <col min="8203" max="8203" width="13.7109375" style="231" customWidth="1"/>
    <col min="8204" max="8204" width="13.85546875" style="231" bestFit="1" customWidth="1"/>
    <col min="8205" max="8205" width="2.5703125" style="231" customWidth="1"/>
    <col min="8206" max="8206" width="12.42578125" style="231" customWidth="1"/>
    <col min="8207" max="8207" width="13.5703125" style="231" customWidth="1"/>
    <col min="8208" max="8208" width="2.5703125" style="231" customWidth="1"/>
    <col min="8209" max="8209" width="12.42578125" style="231" customWidth="1"/>
    <col min="8210" max="8210" width="13.5703125" style="231" customWidth="1"/>
    <col min="8211" max="8211" width="2.5703125" style="231" customWidth="1"/>
    <col min="8212" max="8212" width="11.5703125" style="231" customWidth="1"/>
    <col min="8213" max="8213" width="13" style="231" customWidth="1"/>
    <col min="8214" max="8214" width="1.42578125" style="231" customWidth="1"/>
    <col min="8215" max="8215" width="10.5703125" style="231" customWidth="1"/>
    <col min="8216" max="8447" width="11" style="231"/>
    <col min="8448" max="8448" width="1.5703125" style="231" customWidth="1"/>
    <col min="8449" max="8449" width="8.5703125" style="231" customWidth="1"/>
    <col min="8450" max="8450" width="28.7109375" style="231" customWidth="1"/>
    <col min="8451" max="8451" width="26.5703125" style="231" customWidth="1"/>
    <col min="8452" max="8452" width="7.7109375" style="231" customWidth="1"/>
    <col min="8453" max="8453" width="19.42578125" style="231" customWidth="1"/>
    <col min="8454" max="8454" width="44.28515625" style="231" customWidth="1"/>
    <col min="8455" max="8455" width="17" style="231" customWidth="1"/>
    <col min="8456" max="8456" width="15.5703125" style="231" customWidth="1"/>
    <col min="8457" max="8457" width="14.140625" style="231" customWidth="1"/>
    <col min="8458" max="8458" width="1.7109375" style="231" customWidth="1"/>
    <col min="8459" max="8459" width="13.7109375" style="231" customWidth="1"/>
    <col min="8460" max="8460" width="13.85546875" style="231" bestFit="1" customWidth="1"/>
    <col min="8461" max="8461" width="2.5703125" style="231" customWidth="1"/>
    <col min="8462" max="8462" width="12.42578125" style="231" customWidth="1"/>
    <col min="8463" max="8463" width="13.5703125" style="231" customWidth="1"/>
    <col min="8464" max="8464" width="2.5703125" style="231" customWidth="1"/>
    <col min="8465" max="8465" width="12.42578125" style="231" customWidth="1"/>
    <col min="8466" max="8466" width="13.5703125" style="231" customWidth="1"/>
    <col min="8467" max="8467" width="2.5703125" style="231" customWidth="1"/>
    <col min="8468" max="8468" width="11.5703125" style="231" customWidth="1"/>
    <col min="8469" max="8469" width="13" style="231" customWidth="1"/>
    <col min="8470" max="8470" width="1.42578125" style="231" customWidth="1"/>
    <col min="8471" max="8471" width="10.5703125" style="231" customWidth="1"/>
    <col min="8472" max="8703" width="11" style="231"/>
    <col min="8704" max="8704" width="1.5703125" style="231" customWidth="1"/>
    <col min="8705" max="8705" width="8.5703125" style="231" customWidth="1"/>
    <col min="8706" max="8706" width="28.7109375" style="231" customWidth="1"/>
    <col min="8707" max="8707" width="26.5703125" style="231" customWidth="1"/>
    <col min="8708" max="8708" width="7.7109375" style="231" customWidth="1"/>
    <col min="8709" max="8709" width="19.42578125" style="231" customWidth="1"/>
    <col min="8710" max="8710" width="44.28515625" style="231" customWidth="1"/>
    <col min="8711" max="8711" width="17" style="231" customWidth="1"/>
    <col min="8712" max="8712" width="15.5703125" style="231" customWidth="1"/>
    <col min="8713" max="8713" width="14.140625" style="231" customWidth="1"/>
    <col min="8714" max="8714" width="1.7109375" style="231" customWidth="1"/>
    <col min="8715" max="8715" width="13.7109375" style="231" customWidth="1"/>
    <col min="8716" max="8716" width="13.85546875" style="231" bestFit="1" customWidth="1"/>
    <col min="8717" max="8717" width="2.5703125" style="231" customWidth="1"/>
    <col min="8718" max="8718" width="12.42578125" style="231" customWidth="1"/>
    <col min="8719" max="8719" width="13.5703125" style="231" customWidth="1"/>
    <col min="8720" max="8720" width="2.5703125" style="231" customWidth="1"/>
    <col min="8721" max="8721" width="12.42578125" style="231" customWidth="1"/>
    <col min="8722" max="8722" width="13.5703125" style="231" customWidth="1"/>
    <col min="8723" max="8723" width="2.5703125" style="231" customWidth="1"/>
    <col min="8724" max="8724" width="11.5703125" style="231" customWidth="1"/>
    <col min="8725" max="8725" width="13" style="231" customWidth="1"/>
    <col min="8726" max="8726" width="1.42578125" style="231" customWidth="1"/>
    <col min="8727" max="8727" width="10.5703125" style="231" customWidth="1"/>
    <col min="8728" max="8959" width="11" style="231"/>
    <col min="8960" max="8960" width="1.5703125" style="231" customWidth="1"/>
    <col min="8961" max="8961" width="8.5703125" style="231" customWidth="1"/>
    <col min="8962" max="8962" width="28.7109375" style="231" customWidth="1"/>
    <col min="8963" max="8963" width="26.5703125" style="231" customWidth="1"/>
    <col min="8964" max="8964" width="7.7109375" style="231" customWidth="1"/>
    <col min="8965" max="8965" width="19.42578125" style="231" customWidth="1"/>
    <col min="8966" max="8966" width="44.28515625" style="231" customWidth="1"/>
    <col min="8967" max="8967" width="17" style="231" customWidth="1"/>
    <col min="8968" max="8968" width="15.5703125" style="231" customWidth="1"/>
    <col min="8969" max="8969" width="14.140625" style="231" customWidth="1"/>
    <col min="8970" max="8970" width="1.7109375" style="231" customWidth="1"/>
    <col min="8971" max="8971" width="13.7109375" style="231" customWidth="1"/>
    <col min="8972" max="8972" width="13.85546875" style="231" bestFit="1" customWidth="1"/>
    <col min="8973" max="8973" width="2.5703125" style="231" customWidth="1"/>
    <col min="8974" max="8974" width="12.42578125" style="231" customWidth="1"/>
    <col min="8975" max="8975" width="13.5703125" style="231" customWidth="1"/>
    <col min="8976" max="8976" width="2.5703125" style="231" customWidth="1"/>
    <col min="8977" max="8977" width="12.42578125" style="231" customWidth="1"/>
    <col min="8978" max="8978" width="13.5703125" style="231" customWidth="1"/>
    <col min="8979" max="8979" width="2.5703125" style="231" customWidth="1"/>
    <col min="8980" max="8980" width="11.5703125" style="231" customWidth="1"/>
    <col min="8981" max="8981" width="13" style="231" customWidth="1"/>
    <col min="8982" max="8982" width="1.42578125" style="231" customWidth="1"/>
    <col min="8983" max="8983" width="10.5703125" style="231" customWidth="1"/>
    <col min="8984" max="9215" width="11" style="231"/>
    <col min="9216" max="9216" width="1.5703125" style="231" customWidth="1"/>
    <col min="9217" max="9217" width="8.5703125" style="231" customWidth="1"/>
    <col min="9218" max="9218" width="28.7109375" style="231" customWidth="1"/>
    <col min="9219" max="9219" width="26.5703125" style="231" customWidth="1"/>
    <col min="9220" max="9220" width="7.7109375" style="231" customWidth="1"/>
    <col min="9221" max="9221" width="19.42578125" style="231" customWidth="1"/>
    <col min="9222" max="9222" width="44.28515625" style="231" customWidth="1"/>
    <col min="9223" max="9223" width="17" style="231" customWidth="1"/>
    <col min="9224" max="9224" width="15.5703125" style="231" customWidth="1"/>
    <col min="9225" max="9225" width="14.140625" style="231" customWidth="1"/>
    <col min="9226" max="9226" width="1.7109375" style="231" customWidth="1"/>
    <col min="9227" max="9227" width="13.7109375" style="231" customWidth="1"/>
    <col min="9228" max="9228" width="13.85546875" style="231" bestFit="1" customWidth="1"/>
    <col min="9229" max="9229" width="2.5703125" style="231" customWidth="1"/>
    <col min="9230" max="9230" width="12.42578125" style="231" customWidth="1"/>
    <col min="9231" max="9231" width="13.5703125" style="231" customWidth="1"/>
    <col min="9232" max="9232" width="2.5703125" style="231" customWidth="1"/>
    <col min="9233" max="9233" width="12.42578125" style="231" customWidth="1"/>
    <col min="9234" max="9234" width="13.5703125" style="231" customWidth="1"/>
    <col min="9235" max="9235" width="2.5703125" style="231" customWidth="1"/>
    <col min="9236" max="9236" width="11.5703125" style="231" customWidth="1"/>
    <col min="9237" max="9237" width="13" style="231" customWidth="1"/>
    <col min="9238" max="9238" width="1.42578125" style="231" customWidth="1"/>
    <col min="9239" max="9239" width="10.5703125" style="231" customWidth="1"/>
    <col min="9240" max="9471" width="11" style="231"/>
    <col min="9472" max="9472" width="1.5703125" style="231" customWidth="1"/>
    <col min="9473" max="9473" width="8.5703125" style="231" customWidth="1"/>
    <col min="9474" max="9474" width="28.7109375" style="231" customWidth="1"/>
    <col min="9475" max="9475" width="26.5703125" style="231" customWidth="1"/>
    <col min="9476" max="9476" width="7.7109375" style="231" customWidth="1"/>
    <col min="9477" max="9477" width="19.42578125" style="231" customWidth="1"/>
    <col min="9478" max="9478" width="44.28515625" style="231" customWidth="1"/>
    <col min="9479" max="9479" width="17" style="231" customWidth="1"/>
    <col min="9480" max="9480" width="15.5703125" style="231" customWidth="1"/>
    <col min="9481" max="9481" width="14.140625" style="231" customWidth="1"/>
    <col min="9482" max="9482" width="1.7109375" style="231" customWidth="1"/>
    <col min="9483" max="9483" width="13.7109375" style="231" customWidth="1"/>
    <col min="9484" max="9484" width="13.85546875" style="231" bestFit="1" customWidth="1"/>
    <col min="9485" max="9485" width="2.5703125" style="231" customWidth="1"/>
    <col min="9486" max="9486" width="12.42578125" style="231" customWidth="1"/>
    <col min="9487" max="9487" width="13.5703125" style="231" customWidth="1"/>
    <col min="9488" max="9488" width="2.5703125" style="231" customWidth="1"/>
    <col min="9489" max="9489" width="12.42578125" style="231" customWidth="1"/>
    <col min="9490" max="9490" width="13.5703125" style="231" customWidth="1"/>
    <col min="9491" max="9491" width="2.5703125" style="231" customWidth="1"/>
    <col min="9492" max="9492" width="11.5703125" style="231" customWidth="1"/>
    <col min="9493" max="9493" width="13" style="231" customWidth="1"/>
    <col min="9494" max="9494" width="1.42578125" style="231" customWidth="1"/>
    <col min="9495" max="9495" width="10.5703125" style="231" customWidth="1"/>
    <col min="9496" max="9727" width="11" style="231"/>
    <col min="9728" max="9728" width="1.5703125" style="231" customWidth="1"/>
    <col min="9729" max="9729" width="8.5703125" style="231" customWidth="1"/>
    <col min="9730" max="9730" width="28.7109375" style="231" customWidth="1"/>
    <col min="9731" max="9731" width="26.5703125" style="231" customWidth="1"/>
    <col min="9732" max="9732" width="7.7109375" style="231" customWidth="1"/>
    <col min="9733" max="9733" width="19.42578125" style="231" customWidth="1"/>
    <col min="9734" max="9734" width="44.28515625" style="231" customWidth="1"/>
    <col min="9735" max="9735" width="17" style="231" customWidth="1"/>
    <col min="9736" max="9736" width="15.5703125" style="231" customWidth="1"/>
    <col min="9737" max="9737" width="14.140625" style="231" customWidth="1"/>
    <col min="9738" max="9738" width="1.7109375" style="231" customWidth="1"/>
    <col min="9739" max="9739" width="13.7109375" style="231" customWidth="1"/>
    <col min="9740" max="9740" width="13.85546875" style="231" bestFit="1" customWidth="1"/>
    <col min="9741" max="9741" width="2.5703125" style="231" customWidth="1"/>
    <col min="9742" max="9742" width="12.42578125" style="231" customWidth="1"/>
    <col min="9743" max="9743" width="13.5703125" style="231" customWidth="1"/>
    <col min="9744" max="9744" width="2.5703125" style="231" customWidth="1"/>
    <col min="9745" max="9745" width="12.42578125" style="231" customWidth="1"/>
    <col min="9746" max="9746" width="13.5703125" style="231" customWidth="1"/>
    <col min="9747" max="9747" width="2.5703125" style="231" customWidth="1"/>
    <col min="9748" max="9748" width="11.5703125" style="231" customWidth="1"/>
    <col min="9749" max="9749" width="13" style="231" customWidth="1"/>
    <col min="9750" max="9750" width="1.42578125" style="231" customWidth="1"/>
    <col min="9751" max="9751" width="10.5703125" style="231" customWidth="1"/>
    <col min="9752" max="9983" width="11" style="231"/>
    <col min="9984" max="9984" width="1.5703125" style="231" customWidth="1"/>
    <col min="9985" max="9985" width="8.5703125" style="231" customWidth="1"/>
    <col min="9986" max="9986" width="28.7109375" style="231" customWidth="1"/>
    <col min="9987" max="9987" width="26.5703125" style="231" customWidth="1"/>
    <col min="9988" max="9988" width="7.7109375" style="231" customWidth="1"/>
    <col min="9989" max="9989" width="19.42578125" style="231" customWidth="1"/>
    <col min="9990" max="9990" width="44.28515625" style="231" customWidth="1"/>
    <col min="9991" max="9991" width="17" style="231" customWidth="1"/>
    <col min="9992" max="9992" width="15.5703125" style="231" customWidth="1"/>
    <col min="9993" max="9993" width="14.140625" style="231" customWidth="1"/>
    <col min="9994" max="9994" width="1.7109375" style="231" customWidth="1"/>
    <col min="9995" max="9995" width="13.7109375" style="231" customWidth="1"/>
    <col min="9996" max="9996" width="13.85546875" style="231" bestFit="1" customWidth="1"/>
    <col min="9997" max="9997" width="2.5703125" style="231" customWidth="1"/>
    <col min="9998" max="9998" width="12.42578125" style="231" customWidth="1"/>
    <col min="9999" max="9999" width="13.5703125" style="231" customWidth="1"/>
    <col min="10000" max="10000" width="2.5703125" style="231" customWidth="1"/>
    <col min="10001" max="10001" width="12.42578125" style="231" customWidth="1"/>
    <col min="10002" max="10002" width="13.5703125" style="231" customWidth="1"/>
    <col min="10003" max="10003" width="2.5703125" style="231" customWidth="1"/>
    <col min="10004" max="10004" width="11.5703125" style="231" customWidth="1"/>
    <col min="10005" max="10005" width="13" style="231" customWidth="1"/>
    <col min="10006" max="10006" width="1.42578125" style="231" customWidth="1"/>
    <col min="10007" max="10007" width="10.5703125" style="231" customWidth="1"/>
    <col min="10008" max="10239" width="11" style="231"/>
    <col min="10240" max="10240" width="1.5703125" style="231" customWidth="1"/>
    <col min="10241" max="10241" width="8.5703125" style="231" customWidth="1"/>
    <col min="10242" max="10242" width="28.7109375" style="231" customWidth="1"/>
    <col min="10243" max="10243" width="26.5703125" style="231" customWidth="1"/>
    <col min="10244" max="10244" width="7.7109375" style="231" customWidth="1"/>
    <col min="10245" max="10245" width="19.42578125" style="231" customWidth="1"/>
    <col min="10246" max="10246" width="44.28515625" style="231" customWidth="1"/>
    <col min="10247" max="10247" width="17" style="231" customWidth="1"/>
    <col min="10248" max="10248" width="15.5703125" style="231" customWidth="1"/>
    <col min="10249" max="10249" width="14.140625" style="231" customWidth="1"/>
    <col min="10250" max="10250" width="1.7109375" style="231" customWidth="1"/>
    <col min="10251" max="10251" width="13.7109375" style="231" customWidth="1"/>
    <col min="10252" max="10252" width="13.85546875" style="231" bestFit="1" customWidth="1"/>
    <col min="10253" max="10253" width="2.5703125" style="231" customWidth="1"/>
    <col min="10254" max="10254" width="12.42578125" style="231" customWidth="1"/>
    <col min="10255" max="10255" width="13.5703125" style="231" customWidth="1"/>
    <col min="10256" max="10256" width="2.5703125" style="231" customWidth="1"/>
    <col min="10257" max="10257" width="12.42578125" style="231" customWidth="1"/>
    <col min="10258" max="10258" width="13.5703125" style="231" customWidth="1"/>
    <col min="10259" max="10259" width="2.5703125" style="231" customWidth="1"/>
    <col min="10260" max="10260" width="11.5703125" style="231" customWidth="1"/>
    <col min="10261" max="10261" width="13" style="231" customWidth="1"/>
    <col min="10262" max="10262" width="1.42578125" style="231" customWidth="1"/>
    <col min="10263" max="10263" width="10.5703125" style="231" customWidth="1"/>
    <col min="10264" max="10495" width="11" style="231"/>
    <col min="10496" max="10496" width="1.5703125" style="231" customWidth="1"/>
    <col min="10497" max="10497" width="8.5703125" style="231" customWidth="1"/>
    <col min="10498" max="10498" width="28.7109375" style="231" customWidth="1"/>
    <col min="10499" max="10499" width="26.5703125" style="231" customWidth="1"/>
    <col min="10500" max="10500" width="7.7109375" style="231" customWidth="1"/>
    <col min="10501" max="10501" width="19.42578125" style="231" customWidth="1"/>
    <col min="10502" max="10502" width="44.28515625" style="231" customWidth="1"/>
    <col min="10503" max="10503" width="17" style="231" customWidth="1"/>
    <col min="10504" max="10504" width="15.5703125" style="231" customWidth="1"/>
    <col min="10505" max="10505" width="14.140625" style="231" customWidth="1"/>
    <col min="10506" max="10506" width="1.7109375" style="231" customWidth="1"/>
    <col min="10507" max="10507" width="13.7109375" style="231" customWidth="1"/>
    <col min="10508" max="10508" width="13.85546875" style="231" bestFit="1" customWidth="1"/>
    <col min="10509" max="10509" width="2.5703125" style="231" customWidth="1"/>
    <col min="10510" max="10510" width="12.42578125" style="231" customWidth="1"/>
    <col min="10511" max="10511" width="13.5703125" style="231" customWidth="1"/>
    <col min="10512" max="10512" width="2.5703125" style="231" customWidth="1"/>
    <col min="10513" max="10513" width="12.42578125" style="231" customWidth="1"/>
    <col min="10514" max="10514" width="13.5703125" style="231" customWidth="1"/>
    <col min="10515" max="10515" width="2.5703125" style="231" customWidth="1"/>
    <col min="10516" max="10516" width="11.5703125" style="231" customWidth="1"/>
    <col min="10517" max="10517" width="13" style="231" customWidth="1"/>
    <col min="10518" max="10518" width="1.42578125" style="231" customWidth="1"/>
    <col min="10519" max="10519" width="10.5703125" style="231" customWidth="1"/>
    <col min="10520" max="10751" width="11" style="231"/>
    <col min="10752" max="10752" width="1.5703125" style="231" customWidth="1"/>
    <col min="10753" max="10753" width="8.5703125" style="231" customWidth="1"/>
    <col min="10754" max="10754" width="28.7109375" style="231" customWidth="1"/>
    <col min="10755" max="10755" width="26.5703125" style="231" customWidth="1"/>
    <col min="10756" max="10756" width="7.7109375" style="231" customWidth="1"/>
    <col min="10757" max="10757" width="19.42578125" style="231" customWidth="1"/>
    <col min="10758" max="10758" width="44.28515625" style="231" customWidth="1"/>
    <col min="10759" max="10759" width="17" style="231" customWidth="1"/>
    <col min="10760" max="10760" width="15.5703125" style="231" customWidth="1"/>
    <col min="10761" max="10761" width="14.140625" style="231" customWidth="1"/>
    <col min="10762" max="10762" width="1.7109375" style="231" customWidth="1"/>
    <col min="10763" max="10763" width="13.7109375" style="231" customWidth="1"/>
    <col min="10764" max="10764" width="13.85546875" style="231" bestFit="1" customWidth="1"/>
    <col min="10765" max="10765" width="2.5703125" style="231" customWidth="1"/>
    <col min="10766" max="10766" width="12.42578125" style="231" customWidth="1"/>
    <col min="10767" max="10767" width="13.5703125" style="231" customWidth="1"/>
    <col min="10768" max="10768" width="2.5703125" style="231" customWidth="1"/>
    <col min="10769" max="10769" width="12.42578125" style="231" customWidth="1"/>
    <col min="10770" max="10770" width="13.5703125" style="231" customWidth="1"/>
    <col min="10771" max="10771" width="2.5703125" style="231" customWidth="1"/>
    <col min="10772" max="10772" width="11.5703125" style="231" customWidth="1"/>
    <col min="10773" max="10773" width="13" style="231" customWidth="1"/>
    <col min="10774" max="10774" width="1.42578125" style="231" customWidth="1"/>
    <col min="10775" max="10775" width="10.5703125" style="231" customWidth="1"/>
    <col min="10776" max="11007" width="11" style="231"/>
    <col min="11008" max="11008" width="1.5703125" style="231" customWidth="1"/>
    <col min="11009" max="11009" width="8.5703125" style="231" customWidth="1"/>
    <col min="11010" max="11010" width="28.7109375" style="231" customWidth="1"/>
    <col min="11011" max="11011" width="26.5703125" style="231" customWidth="1"/>
    <col min="11012" max="11012" width="7.7109375" style="231" customWidth="1"/>
    <col min="11013" max="11013" width="19.42578125" style="231" customWidth="1"/>
    <col min="11014" max="11014" width="44.28515625" style="231" customWidth="1"/>
    <col min="11015" max="11015" width="17" style="231" customWidth="1"/>
    <col min="11016" max="11016" width="15.5703125" style="231" customWidth="1"/>
    <col min="11017" max="11017" width="14.140625" style="231" customWidth="1"/>
    <col min="11018" max="11018" width="1.7109375" style="231" customWidth="1"/>
    <col min="11019" max="11019" width="13.7109375" style="231" customWidth="1"/>
    <col min="11020" max="11020" width="13.85546875" style="231" bestFit="1" customWidth="1"/>
    <col min="11021" max="11021" width="2.5703125" style="231" customWidth="1"/>
    <col min="11022" max="11022" width="12.42578125" style="231" customWidth="1"/>
    <col min="11023" max="11023" width="13.5703125" style="231" customWidth="1"/>
    <col min="11024" max="11024" width="2.5703125" style="231" customWidth="1"/>
    <col min="11025" max="11025" width="12.42578125" style="231" customWidth="1"/>
    <col min="11026" max="11026" width="13.5703125" style="231" customWidth="1"/>
    <col min="11027" max="11027" width="2.5703125" style="231" customWidth="1"/>
    <col min="11028" max="11028" width="11.5703125" style="231" customWidth="1"/>
    <col min="11029" max="11029" width="13" style="231" customWidth="1"/>
    <col min="11030" max="11030" width="1.42578125" style="231" customWidth="1"/>
    <col min="11031" max="11031" width="10.5703125" style="231" customWidth="1"/>
    <col min="11032" max="11263" width="11" style="231"/>
    <col min="11264" max="11264" width="1.5703125" style="231" customWidth="1"/>
    <col min="11265" max="11265" width="8.5703125" style="231" customWidth="1"/>
    <col min="11266" max="11266" width="28.7109375" style="231" customWidth="1"/>
    <col min="11267" max="11267" width="26.5703125" style="231" customWidth="1"/>
    <col min="11268" max="11268" width="7.7109375" style="231" customWidth="1"/>
    <col min="11269" max="11269" width="19.42578125" style="231" customWidth="1"/>
    <col min="11270" max="11270" width="44.28515625" style="231" customWidth="1"/>
    <col min="11271" max="11271" width="17" style="231" customWidth="1"/>
    <col min="11272" max="11272" width="15.5703125" style="231" customWidth="1"/>
    <col min="11273" max="11273" width="14.140625" style="231" customWidth="1"/>
    <col min="11274" max="11274" width="1.7109375" style="231" customWidth="1"/>
    <col min="11275" max="11275" width="13.7109375" style="231" customWidth="1"/>
    <col min="11276" max="11276" width="13.85546875" style="231" bestFit="1" customWidth="1"/>
    <col min="11277" max="11277" width="2.5703125" style="231" customWidth="1"/>
    <col min="11278" max="11278" width="12.42578125" style="231" customWidth="1"/>
    <col min="11279" max="11279" width="13.5703125" style="231" customWidth="1"/>
    <col min="11280" max="11280" width="2.5703125" style="231" customWidth="1"/>
    <col min="11281" max="11281" width="12.42578125" style="231" customWidth="1"/>
    <col min="11282" max="11282" width="13.5703125" style="231" customWidth="1"/>
    <col min="11283" max="11283" width="2.5703125" style="231" customWidth="1"/>
    <col min="11284" max="11284" width="11.5703125" style="231" customWidth="1"/>
    <col min="11285" max="11285" width="13" style="231" customWidth="1"/>
    <col min="11286" max="11286" width="1.42578125" style="231" customWidth="1"/>
    <col min="11287" max="11287" width="10.5703125" style="231" customWidth="1"/>
    <col min="11288" max="11519" width="11" style="231"/>
    <col min="11520" max="11520" width="1.5703125" style="231" customWidth="1"/>
    <col min="11521" max="11521" width="8.5703125" style="231" customWidth="1"/>
    <col min="11522" max="11522" width="28.7109375" style="231" customWidth="1"/>
    <col min="11523" max="11523" width="26.5703125" style="231" customWidth="1"/>
    <col min="11524" max="11524" width="7.7109375" style="231" customWidth="1"/>
    <col min="11525" max="11525" width="19.42578125" style="231" customWidth="1"/>
    <col min="11526" max="11526" width="44.28515625" style="231" customWidth="1"/>
    <col min="11527" max="11527" width="17" style="231" customWidth="1"/>
    <col min="11528" max="11528" width="15.5703125" style="231" customWidth="1"/>
    <col min="11529" max="11529" width="14.140625" style="231" customWidth="1"/>
    <col min="11530" max="11530" width="1.7109375" style="231" customWidth="1"/>
    <col min="11531" max="11531" width="13.7109375" style="231" customWidth="1"/>
    <col min="11532" max="11532" width="13.85546875" style="231" bestFit="1" customWidth="1"/>
    <col min="11533" max="11533" width="2.5703125" style="231" customWidth="1"/>
    <col min="11534" max="11534" width="12.42578125" style="231" customWidth="1"/>
    <col min="11535" max="11535" width="13.5703125" style="231" customWidth="1"/>
    <col min="11536" max="11536" width="2.5703125" style="231" customWidth="1"/>
    <col min="11537" max="11537" width="12.42578125" style="231" customWidth="1"/>
    <col min="11538" max="11538" width="13.5703125" style="231" customWidth="1"/>
    <col min="11539" max="11539" width="2.5703125" style="231" customWidth="1"/>
    <col min="11540" max="11540" width="11.5703125" style="231" customWidth="1"/>
    <col min="11541" max="11541" width="13" style="231" customWidth="1"/>
    <col min="11542" max="11542" width="1.42578125" style="231" customWidth="1"/>
    <col min="11543" max="11543" width="10.5703125" style="231" customWidth="1"/>
    <col min="11544" max="11775" width="11" style="231"/>
    <col min="11776" max="11776" width="1.5703125" style="231" customWidth="1"/>
    <col min="11777" max="11777" width="8.5703125" style="231" customWidth="1"/>
    <col min="11778" max="11778" width="28.7109375" style="231" customWidth="1"/>
    <col min="11779" max="11779" width="26.5703125" style="231" customWidth="1"/>
    <col min="11780" max="11780" width="7.7109375" style="231" customWidth="1"/>
    <col min="11781" max="11781" width="19.42578125" style="231" customWidth="1"/>
    <col min="11782" max="11782" width="44.28515625" style="231" customWidth="1"/>
    <col min="11783" max="11783" width="17" style="231" customWidth="1"/>
    <col min="11784" max="11784" width="15.5703125" style="231" customWidth="1"/>
    <col min="11785" max="11785" width="14.140625" style="231" customWidth="1"/>
    <col min="11786" max="11786" width="1.7109375" style="231" customWidth="1"/>
    <col min="11787" max="11787" width="13.7109375" style="231" customWidth="1"/>
    <col min="11788" max="11788" width="13.85546875" style="231" bestFit="1" customWidth="1"/>
    <col min="11789" max="11789" width="2.5703125" style="231" customWidth="1"/>
    <col min="11790" max="11790" width="12.42578125" style="231" customWidth="1"/>
    <col min="11791" max="11791" width="13.5703125" style="231" customWidth="1"/>
    <col min="11792" max="11792" width="2.5703125" style="231" customWidth="1"/>
    <col min="11793" max="11793" width="12.42578125" style="231" customWidth="1"/>
    <col min="11794" max="11794" width="13.5703125" style="231" customWidth="1"/>
    <col min="11795" max="11795" width="2.5703125" style="231" customWidth="1"/>
    <col min="11796" max="11796" width="11.5703125" style="231" customWidth="1"/>
    <col min="11797" max="11797" width="13" style="231" customWidth="1"/>
    <col min="11798" max="11798" width="1.42578125" style="231" customWidth="1"/>
    <col min="11799" max="11799" width="10.5703125" style="231" customWidth="1"/>
    <col min="11800" max="12031" width="11" style="231"/>
    <col min="12032" max="12032" width="1.5703125" style="231" customWidth="1"/>
    <col min="12033" max="12033" width="8.5703125" style="231" customWidth="1"/>
    <col min="12034" max="12034" width="28.7109375" style="231" customWidth="1"/>
    <col min="12035" max="12035" width="26.5703125" style="231" customWidth="1"/>
    <col min="12036" max="12036" width="7.7109375" style="231" customWidth="1"/>
    <col min="12037" max="12037" width="19.42578125" style="231" customWidth="1"/>
    <col min="12038" max="12038" width="44.28515625" style="231" customWidth="1"/>
    <col min="12039" max="12039" width="17" style="231" customWidth="1"/>
    <col min="12040" max="12040" width="15.5703125" style="231" customWidth="1"/>
    <col min="12041" max="12041" width="14.140625" style="231" customWidth="1"/>
    <col min="12042" max="12042" width="1.7109375" style="231" customWidth="1"/>
    <col min="12043" max="12043" width="13.7109375" style="231" customWidth="1"/>
    <col min="12044" max="12044" width="13.85546875" style="231" bestFit="1" customWidth="1"/>
    <col min="12045" max="12045" width="2.5703125" style="231" customWidth="1"/>
    <col min="12046" max="12046" width="12.42578125" style="231" customWidth="1"/>
    <col min="12047" max="12047" width="13.5703125" style="231" customWidth="1"/>
    <col min="12048" max="12048" width="2.5703125" style="231" customWidth="1"/>
    <col min="12049" max="12049" width="12.42578125" style="231" customWidth="1"/>
    <col min="12050" max="12050" width="13.5703125" style="231" customWidth="1"/>
    <col min="12051" max="12051" width="2.5703125" style="231" customWidth="1"/>
    <col min="12052" max="12052" width="11.5703125" style="231" customWidth="1"/>
    <col min="12053" max="12053" width="13" style="231" customWidth="1"/>
    <col min="12054" max="12054" width="1.42578125" style="231" customWidth="1"/>
    <col min="12055" max="12055" width="10.5703125" style="231" customWidth="1"/>
    <col min="12056" max="12287" width="11" style="231"/>
    <col min="12288" max="12288" width="1.5703125" style="231" customWidth="1"/>
    <col min="12289" max="12289" width="8.5703125" style="231" customWidth="1"/>
    <col min="12290" max="12290" width="28.7109375" style="231" customWidth="1"/>
    <col min="12291" max="12291" width="26.5703125" style="231" customWidth="1"/>
    <col min="12292" max="12292" width="7.7109375" style="231" customWidth="1"/>
    <col min="12293" max="12293" width="19.42578125" style="231" customWidth="1"/>
    <col min="12294" max="12294" width="44.28515625" style="231" customWidth="1"/>
    <col min="12295" max="12295" width="17" style="231" customWidth="1"/>
    <col min="12296" max="12296" width="15.5703125" style="231" customWidth="1"/>
    <col min="12297" max="12297" width="14.140625" style="231" customWidth="1"/>
    <col min="12298" max="12298" width="1.7109375" style="231" customWidth="1"/>
    <col min="12299" max="12299" width="13.7109375" style="231" customWidth="1"/>
    <col min="12300" max="12300" width="13.85546875" style="231" bestFit="1" customWidth="1"/>
    <col min="12301" max="12301" width="2.5703125" style="231" customWidth="1"/>
    <col min="12302" max="12302" width="12.42578125" style="231" customWidth="1"/>
    <col min="12303" max="12303" width="13.5703125" style="231" customWidth="1"/>
    <col min="12304" max="12304" width="2.5703125" style="231" customWidth="1"/>
    <col min="12305" max="12305" width="12.42578125" style="231" customWidth="1"/>
    <col min="12306" max="12306" width="13.5703125" style="231" customWidth="1"/>
    <col min="12307" max="12307" width="2.5703125" style="231" customWidth="1"/>
    <col min="12308" max="12308" width="11.5703125" style="231" customWidth="1"/>
    <col min="12309" max="12309" width="13" style="231" customWidth="1"/>
    <col min="12310" max="12310" width="1.42578125" style="231" customWidth="1"/>
    <col min="12311" max="12311" width="10.5703125" style="231" customWidth="1"/>
    <col min="12312" max="12543" width="11" style="231"/>
    <col min="12544" max="12544" width="1.5703125" style="231" customWidth="1"/>
    <col min="12545" max="12545" width="8.5703125" style="231" customWidth="1"/>
    <col min="12546" max="12546" width="28.7109375" style="231" customWidth="1"/>
    <col min="12547" max="12547" width="26.5703125" style="231" customWidth="1"/>
    <col min="12548" max="12548" width="7.7109375" style="231" customWidth="1"/>
    <col min="12549" max="12549" width="19.42578125" style="231" customWidth="1"/>
    <col min="12550" max="12550" width="44.28515625" style="231" customWidth="1"/>
    <col min="12551" max="12551" width="17" style="231" customWidth="1"/>
    <col min="12552" max="12552" width="15.5703125" style="231" customWidth="1"/>
    <col min="12553" max="12553" width="14.140625" style="231" customWidth="1"/>
    <col min="12554" max="12554" width="1.7109375" style="231" customWidth="1"/>
    <col min="12555" max="12555" width="13.7109375" style="231" customWidth="1"/>
    <col min="12556" max="12556" width="13.85546875" style="231" bestFit="1" customWidth="1"/>
    <col min="12557" max="12557" width="2.5703125" style="231" customWidth="1"/>
    <col min="12558" max="12558" width="12.42578125" style="231" customWidth="1"/>
    <col min="12559" max="12559" width="13.5703125" style="231" customWidth="1"/>
    <col min="12560" max="12560" width="2.5703125" style="231" customWidth="1"/>
    <col min="12561" max="12561" width="12.42578125" style="231" customWidth="1"/>
    <col min="12562" max="12562" width="13.5703125" style="231" customWidth="1"/>
    <col min="12563" max="12563" width="2.5703125" style="231" customWidth="1"/>
    <col min="12564" max="12564" width="11.5703125" style="231" customWidth="1"/>
    <col min="12565" max="12565" width="13" style="231" customWidth="1"/>
    <col min="12566" max="12566" width="1.42578125" style="231" customWidth="1"/>
    <col min="12567" max="12567" width="10.5703125" style="231" customWidth="1"/>
    <col min="12568" max="12799" width="11" style="231"/>
    <col min="12800" max="12800" width="1.5703125" style="231" customWidth="1"/>
    <col min="12801" max="12801" width="8.5703125" style="231" customWidth="1"/>
    <col min="12802" max="12802" width="28.7109375" style="231" customWidth="1"/>
    <col min="12803" max="12803" width="26.5703125" style="231" customWidth="1"/>
    <col min="12804" max="12804" width="7.7109375" style="231" customWidth="1"/>
    <col min="12805" max="12805" width="19.42578125" style="231" customWidth="1"/>
    <col min="12806" max="12806" width="44.28515625" style="231" customWidth="1"/>
    <col min="12807" max="12807" width="17" style="231" customWidth="1"/>
    <col min="12808" max="12808" width="15.5703125" style="231" customWidth="1"/>
    <col min="12809" max="12809" width="14.140625" style="231" customWidth="1"/>
    <col min="12810" max="12810" width="1.7109375" style="231" customWidth="1"/>
    <col min="12811" max="12811" width="13.7109375" style="231" customWidth="1"/>
    <col min="12812" max="12812" width="13.85546875" style="231" bestFit="1" customWidth="1"/>
    <col min="12813" max="12813" width="2.5703125" style="231" customWidth="1"/>
    <col min="12814" max="12814" width="12.42578125" style="231" customWidth="1"/>
    <col min="12815" max="12815" width="13.5703125" style="231" customWidth="1"/>
    <col min="12816" max="12816" width="2.5703125" style="231" customWidth="1"/>
    <col min="12817" max="12817" width="12.42578125" style="231" customWidth="1"/>
    <col min="12818" max="12818" width="13.5703125" style="231" customWidth="1"/>
    <col min="12819" max="12819" width="2.5703125" style="231" customWidth="1"/>
    <col min="12820" max="12820" width="11.5703125" style="231" customWidth="1"/>
    <col min="12821" max="12821" width="13" style="231" customWidth="1"/>
    <col min="12822" max="12822" width="1.42578125" style="231" customWidth="1"/>
    <col min="12823" max="12823" width="10.5703125" style="231" customWidth="1"/>
    <col min="12824" max="13055" width="11" style="231"/>
    <col min="13056" max="13056" width="1.5703125" style="231" customWidth="1"/>
    <col min="13057" max="13057" width="8.5703125" style="231" customWidth="1"/>
    <col min="13058" max="13058" width="28.7109375" style="231" customWidth="1"/>
    <col min="13059" max="13059" width="26.5703125" style="231" customWidth="1"/>
    <col min="13060" max="13060" width="7.7109375" style="231" customWidth="1"/>
    <col min="13061" max="13061" width="19.42578125" style="231" customWidth="1"/>
    <col min="13062" max="13062" width="44.28515625" style="231" customWidth="1"/>
    <col min="13063" max="13063" width="17" style="231" customWidth="1"/>
    <col min="13064" max="13064" width="15.5703125" style="231" customWidth="1"/>
    <col min="13065" max="13065" width="14.140625" style="231" customWidth="1"/>
    <col min="13066" max="13066" width="1.7109375" style="231" customWidth="1"/>
    <col min="13067" max="13067" width="13.7109375" style="231" customWidth="1"/>
    <col min="13068" max="13068" width="13.85546875" style="231" bestFit="1" customWidth="1"/>
    <col min="13069" max="13069" width="2.5703125" style="231" customWidth="1"/>
    <col min="13070" max="13070" width="12.42578125" style="231" customWidth="1"/>
    <col min="13071" max="13071" width="13.5703125" style="231" customWidth="1"/>
    <col min="13072" max="13072" width="2.5703125" style="231" customWidth="1"/>
    <col min="13073" max="13073" width="12.42578125" style="231" customWidth="1"/>
    <col min="13074" max="13074" width="13.5703125" style="231" customWidth="1"/>
    <col min="13075" max="13075" width="2.5703125" style="231" customWidth="1"/>
    <col min="13076" max="13076" width="11.5703125" style="231" customWidth="1"/>
    <col min="13077" max="13077" width="13" style="231" customWidth="1"/>
    <col min="13078" max="13078" width="1.42578125" style="231" customWidth="1"/>
    <col min="13079" max="13079" width="10.5703125" style="231" customWidth="1"/>
    <col min="13080" max="13311" width="11" style="231"/>
    <col min="13312" max="13312" width="1.5703125" style="231" customWidth="1"/>
    <col min="13313" max="13313" width="8.5703125" style="231" customWidth="1"/>
    <col min="13314" max="13314" width="28.7109375" style="231" customWidth="1"/>
    <col min="13315" max="13315" width="26.5703125" style="231" customWidth="1"/>
    <col min="13316" max="13316" width="7.7109375" style="231" customWidth="1"/>
    <col min="13317" max="13317" width="19.42578125" style="231" customWidth="1"/>
    <col min="13318" max="13318" width="44.28515625" style="231" customWidth="1"/>
    <col min="13319" max="13319" width="17" style="231" customWidth="1"/>
    <col min="13320" max="13320" width="15.5703125" style="231" customWidth="1"/>
    <col min="13321" max="13321" width="14.140625" style="231" customWidth="1"/>
    <col min="13322" max="13322" width="1.7109375" style="231" customWidth="1"/>
    <col min="13323" max="13323" width="13.7109375" style="231" customWidth="1"/>
    <col min="13324" max="13324" width="13.85546875" style="231" bestFit="1" customWidth="1"/>
    <col min="13325" max="13325" width="2.5703125" style="231" customWidth="1"/>
    <col min="13326" max="13326" width="12.42578125" style="231" customWidth="1"/>
    <col min="13327" max="13327" width="13.5703125" style="231" customWidth="1"/>
    <col min="13328" max="13328" width="2.5703125" style="231" customWidth="1"/>
    <col min="13329" max="13329" width="12.42578125" style="231" customWidth="1"/>
    <col min="13330" max="13330" width="13.5703125" style="231" customWidth="1"/>
    <col min="13331" max="13331" width="2.5703125" style="231" customWidth="1"/>
    <col min="13332" max="13332" width="11.5703125" style="231" customWidth="1"/>
    <col min="13333" max="13333" width="13" style="231" customWidth="1"/>
    <col min="13334" max="13334" width="1.42578125" style="231" customWidth="1"/>
    <col min="13335" max="13335" width="10.5703125" style="231" customWidth="1"/>
    <col min="13336" max="13567" width="11" style="231"/>
    <col min="13568" max="13568" width="1.5703125" style="231" customWidth="1"/>
    <col min="13569" max="13569" width="8.5703125" style="231" customWidth="1"/>
    <col min="13570" max="13570" width="28.7109375" style="231" customWidth="1"/>
    <col min="13571" max="13571" width="26.5703125" style="231" customWidth="1"/>
    <col min="13572" max="13572" width="7.7109375" style="231" customWidth="1"/>
    <col min="13573" max="13573" width="19.42578125" style="231" customWidth="1"/>
    <col min="13574" max="13574" width="44.28515625" style="231" customWidth="1"/>
    <col min="13575" max="13575" width="17" style="231" customWidth="1"/>
    <col min="13576" max="13576" width="15.5703125" style="231" customWidth="1"/>
    <col min="13577" max="13577" width="14.140625" style="231" customWidth="1"/>
    <col min="13578" max="13578" width="1.7109375" style="231" customWidth="1"/>
    <col min="13579" max="13579" width="13.7109375" style="231" customWidth="1"/>
    <col min="13580" max="13580" width="13.85546875" style="231" bestFit="1" customWidth="1"/>
    <col min="13581" max="13581" width="2.5703125" style="231" customWidth="1"/>
    <col min="13582" max="13582" width="12.42578125" style="231" customWidth="1"/>
    <col min="13583" max="13583" width="13.5703125" style="231" customWidth="1"/>
    <col min="13584" max="13584" width="2.5703125" style="231" customWidth="1"/>
    <col min="13585" max="13585" width="12.42578125" style="231" customWidth="1"/>
    <col min="13586" max="13586" width="13.5703125" style="231" customWidth="1"/>
    <col min="13587" max="13587" width="2.5703125" style="231" customWidth="1"/>
    <col min="13588" max="13588" width="11.5703125" style="231" customWidth="1"/>
    <col min="13589" max="13589" width="13" style="231" customWidth="1"/>
    <col min="13590" max="13590" width="1.42578125" style="231" customWidth="1"/>
    <col min="13591" max="13591" width="10.5703125" style="231" customWidth="1"/>
    <col min="13592" max="13823" width="11" style="231"/>
    <col min="13824" max="13824" width="1.5703125" style="231" customWidth="1"/>
    <col min="13825" max="13825" width="8.5703125" style="231" customWidth="1"/>
    <col min="13826" max="13826" width="28.7109375" style="231" customWidth="1"/>
    <col min="13827" max="13827" width="26.5703125" style="231" customWidth="1"/>
    <col min="13828" max="13828" width="7.7109375" style="231" customWidth="1"/>
    <col min="13829" max="13829" width="19.42578125" style="231" customWidth="1"/>
    <col min="13830" max="13830" width="44.28515625" style="231" customWidth="1"/>
    <col min="13831" max="13831" width="17" style="231" customWidth="1"/>
    <col min="13832" max="13832" width="15.5703125" style="231" customWidth="1"/>
    <col min="13833" max="13833" width="14.140625" style="231" customWidth="1"/>
    <col min="13834" max="13834" width="1.7109375" style="231" customWidth="1"/>
    <col min="13835" max="13835" width="13.7109375" style="231" customWidth="1"/>
    <col min="13836" max="13836" width="13.85546875" style="231" bestFit="1" customWidth="1"/>
    <col min="13837" max="13837" width="2.5703125" style="231" customWidth="1"/>
    <col min="13838" max="13838" width="12.42578125" style="231" customWidth="1"/>
    <col min="13839" max="13839" width="13.5703125" style="231" customWidth="1"/>
    <col min="13840" max="13840" width="2.5703125" style="231" customWidth="1"/>
    <col min="13841" max="13841" width="12.42578125" style="231" customWidth="1"/>
    <col min="13842" max="13842" width="13.5703125" style="231" customWidth="1"/>
    <col min="13843" max="13843" width="2.5703125" style="231" customWidth="1"/>
    <col min="13844" max="13844" width="11.5703125" style="231" customWidth="1"/>
    <col min="13845" max="13845" width="13" style="231" customWidth="1"/>
    <col min="13846" max="13846" width="1.42578125" style="231" customWidth="1"/>
    <col min="13847" max="13847" width="10.5703125" style="231" customWidth="1"/>
    <col min="13848" max="14079" width="11" style="231"/>
    <col min="14080" max="14080" width="1.5703125" style="231" customWidth="1"/>
    <col min="14081" max="14081" width="8.5703125" style="231" customWidth="1"/>
    <col min="14082" max="14082" width="28.7109375" style="231" customWidth="1"/>
    <col min="14083" max="14083" width="26.5703125" style="231" customWidth="1"/>
    <col min="14084" max="14084" width="7.7109375" style="231" customWidth="1"/>
    <col min="14085" max="14085" width="19.42578125" style="231" customWidth="1"/>
    <col min="14086" max="14086" width="44.28515625" style="231" customWidth="1"/>
    <col min="14087" max="14087" width="17" style="231" customWidth="1"/>
    <col min="14088" max="14088" width="15.5703125" style="231" customWidth="1"/>
    <col min="14089" max="14089" width="14.140625" style="231" customWidth="1"/>
    <col min="14090" max="14090" width="1.7109375" style="231" customWidth="1"/>
    <col min="14091" max="14091" width="13.7109375" style="231" customWidth="1"/>
    <col min="14092" max="14092" width="13.85546875" style="231" bestFit="1" customWidth="1"/>
    <col min="14093" max="14093" width="2.5703125" style="231" customWidth="1"/>
    <col min="14094" max="14094" width="12.42578125" style="231" customWidth="1"/>
    <col min="14095" max="14095" width="13.5703125" style="231" customWidth="1"/>
    <col min="14096" max="14096" width="2.5703125" style="231" customWidth="1"/>
    <col min="14097" max="14097" width="12.42578125" style="231" customWidth="1"/>
    <col min="14098" max="14098" width="13.5703125" style="231" customWidth="1"/>
    <col min="14099" max="14099" width="2.5703125" style="231" customWidth="1"/>
    <col min="14100" max="14100" width="11.5703125" style="231" customWidth="1"/>
    <col min="14101" max="14101" width="13" style="231" customWidth="1"/>
    <col min="14102" max="14102" width="1.42578125" style="231" customWidth="1"/>
    <col min="14103" max="14103" width="10.5703125" style="231" customWidth="1"/>
    <col min="14104" max="14335" width="11" style="231"/>
    <col min="14336" max="14336" width="1.5703125" style="231" customWidth="1"/>
    <col min="14337" max="14337" width="8.5703125" style="231" customWidth="1"/>
    <col min="14338" max="14338" width="28.7109375" style="231" customWidth="1"/>
    <col min="14339" max="14339" width="26.5703125" style="231" customWidth="1"/>
    <col min="14340" max="14340" width="7.7109375" style="231" customWidth="1"/>
    <col min="14341" max="14341" width="19.42578125" style="231" customWidth="1"/>
    <col min="14342" max="14342" width="44.28515625" style="231" customWidth="1"/>
    <col min="14343" max="14343" width="17" style="231" customWidth="1"/>
    <col min="14344" max="14344" width="15.5703125" style="231" customWidth="1"/>
    <col min="14345" max="14345" width="14.140625" style="231" customWidth="1"/>
    <col min="14346" max="14346" width="1.7109375" style="231" customWidth="1"/>
    <col min="14347" max="14347" width="13.7109375" style="231" customWidth="1"/>
    <col min="14348" max="14348" width="13.85546875" style="231" bestFit="1" customWidth="1"/>
    <col min="14349" max="14349" width="2.5703125" style="231" customWidth="1"/>
    <col min="14350" max="14350" width="12.42578125" style="231" customWidth="1"/>
    <col min="14351" max="14351" width="13.5703125" style="231" customWidth="1"/>
    <col min="14352" max="14352" width="2.5703125" style="231" customWidth="1"/>
    <col min="14353" max="14353" width="12.42578125" style="231" customWidth="1"/>
    <col min="14354" max="14354" width="13.5703125" style="231" customWidth="1"/>
    <col min="14355" max="14355" width="2.5703125" style="231" customWidth="1"/>
    <col min="14356" max="14356" width="11.5703125" style="231" customWidth="1"/>
    <col min="14357" max="14357" width="13" style="231" customWidth="1"/>
    <col min="14358" max="14358" width="1.42578125" style="231" customWidth="1"/>
    <col min="14359" max="14359" width="10.5703125" style="231" customWidth="1"/>
    <col min="14360" max="14591" width="11" style="231"/>
    <col min="14592" max="14592" width="1.5703125" style="231" customWidth="1"/>
    <col min="14593" max="14593" width="8.5703125" style="231" customWidth="1"/>
    <col min="14594" max="14594" width="28.7109375" style="231" customWidth="1"/>
    <col min="14595" max="14595" width="26.5703125" style="231" customWidth="1"/>
    <col min="14596" max="14596" width="7.7109375" style="231" customWidth="1"/>
    <col min="14597" max="14597" width="19.42578125" style="231" customWidth="1"/>
    <col min="14598" max="14598" width="44.28515625" style="231" customWidth="1"/>
    <col min="14599" max="14599" width="17" style="231" customWidth="1"/>
    <col min="14600" max="14600" width="15.5703125" style="231" customWidth="1"/>
    <col min="14601" max="14601" width="14.140625" style="231" customWidth="1"/>
    <col min="14602" max="14602" width="1.7109375" style="231" customWidth="1"/>
    <col min="14603" max="14603" width="13.7109375" style="231" customWidth="1"/>
    <col min="14604" max="14604" width="13.85546875" style="231" bestFit="1" customWidth="1"/>
    <col min="14605" max="14605" width="2.5703125" style="231" customWidth="1"/>
    <col min="14606" max="14606" width="12.42578125" style="231" customWidth="1"/>
    <col min="14607" max="14607" width="13.5703125" style="231" customWidth="1"/>
    <col min="14608" max="14608" width="2.5703125" style="231" customWidth="1"/>
    <col min="14609" max="14609" width="12.42578125" style="231" customWidth="1"/>
    <col min="14610" max="14610" width="13.5703125" style="231" customWidth="1"/>
    <col min="14611" max="14611" width="2.5703125" style="231" customWidth="1"/>
    <col min="14612" max="14612" width="11.5703125" style="231" customWidth="1"/>
    <col min="14613" max="14613" width="13" style="231" customWidth="1"/>
    <col min="14614" max="14614" width="1.42578125" style="231" customWidth="1"/>
    <col min="14615" max="14615" width="10.5703125" style="231" customWidth="1"/>
    <col min="14616" max="14847" width="11" style="231"/>
    <col min="14848" max="14848" width="1.5703125" style="231" customWidth="1"/>
    <col min="14849" max="14849" width="8.5703125" style="231" customWidth="1"/>
    <col min="14850" max="14850" width="28.7109375" style="231" customWidth="1"/>
    <col min="14851" max="14851" width="26.5703125" style="231" customWidth="1"/>
    <col min="14852" max="14852" width="7.7109375" style="231" customWidth="1"/>
    <col min="14853" max="14853" width="19.42578125" style="231" customWidth="1"/>
    <col min="14854" max="14854" width="44.28515625" style="231" customWidth="1"/>
    <col min="14855" max="14855" width="17" style="231" customWidth="1"/>
    <col min="14856" max="14856" width="15.5703125" style="231" customWidth="1"/>
    <col min="14857" max="14857" width="14.140625" style="231" customWidth="1"/>
    <col min="14858" max="14858" width="1.7109375" style="231" customWidth="1"/>
    <col min="14859" max="14859" width="13.7109375" style="231" customWidth="1"/>
    <col min="14860" max="14860" width="13.85546875" style="231" bestFit="1" customWidth="1"/>
    <col min="14861" max="14861" width="2.5703125" style="231" customWidth="1"/>
    <col min="14862" max="14862" width="12.42578125" style="231" customWidth="1"/>
    <col min="14863" max="14863" width="13.5703125" style="231" customWidth="1"/>
    <col min="14864" max="14864" width="2.5703125" style="231" customWidth="1"/>
    <col min="14865" max="14865" width="12.42578125" style="231" customWidth="1"/>
    <col min="14866" max="14866" width="13.5703125" style="231" customWidth="1"/>
    <col min="14867" max="14867" width="2.5703125" style="231" customWidth="1"/>
    <col min="14868" max="14868" width="11.5703125" style="231" customWidth="1"/>
    <col min="14869" max="14869" width="13" style="231" customWidth="1"/>
    <col min="14870" max="14870" width="1.42578125" style="231" customWidth="1"/>
    <col min="14871" max="14871" width="10.5703125" style="231" customWidth="1"/>
    <col min="14872" max="15103" width="11" style="231"/>
    <col min="15104" max="15104" width="1.5703125" style="231" customWidth="1"/>
    <col min="15105" max="15105" width="8.5703125" style="231" customWidth="1"/>
    <col min="15106" max="15106" width="28.7109375" style="231" customWidth="1"/>
    <col min="15107" max="15107" width="26.5703125" style="231" customWidth="1"/>
    <col min="15108" max="15108" width="7.7109375" style="231" customWidth="1"/>
    <col min="15109" max="15109" width="19.42578125" style="231" customWidth="1"/>
    <col min="15110" max="15110" width="44.28515625" style="231" customWidth="1"/>
    <col min="15111" max="15111" width="17" style="231" customWidth="1"/>
    <col min="15112" max="15112" width="15.5703125" style="231" customWidth="1"/>
    <col min="15113" max="15113" width="14.140625" style="231" customWidth="1"/>
    <col min="15114" max="15114" width="1.7109375" style="231" customWidth="1"/>
    <col min="15115" max="15115" width="13.7109375" style="231" customWidth="1"/>
    <col min="15116" max="15116" width="13.85546875" style="231" bestFit="1" customWidth="1"/>
    <col min="15117" max="15117" width="2.5703125" style="231" customWidth="1"/>
    <col min="15118" max="15118" width="12.42578125" style="231" customWidth="1"/>
    <col min="15119" max="15119" width="13.5703125" style="231" customWidth="1"/>
    <col min="15120" max="15120" width="2.5703125" style="231" customWidth="1"/>
    <col min="15121" max="15121" width="12.42578125" style="231" customWidth="1"/>
    <col min="15122" max="15122" width="13.5703125" style="231" customWidth="1"/>
    <col min="15123" max="15123" width="2.5703125" style="231" customWidth="1"/>
    <col min="15124" max="15124" width="11.5703125" style="231" customWidth="1"/>
    <col min="15125" max="15125" width="13" style="231" customWidth="1"/>
    <col min="15126" max="15126" width="1.42578125" style="231" customWidth="1"/>
    <col min="15127" max="15127" width="10.5703125" style="231" customWidth="1"/>
    <col min="15128" max="15359" width="11" style="231"/>
    <col min="15360" max="15360" width="1.5703125" style="231" customWidth="1"/>
    <col min="15361" max="15361" width="8.5703125" style="231" customWidth="1"/>
    <col min="15362" max="15362" width="28.7109375" style="231" customWidth="1"/>
    <col min="15363" max="15363" width="26.5703125" style="231" customWidth="1"/>
    <col min="15364" max="15364" width="7.7109375" style="231" customWidth="1"/>
    <col min="15365" max="15365" width="19.42578125" style="231" customWidth="1"/>
    <col min="15366" max="15366" width="44.28515625" style="231" customWidth="1"/>
    <col min="15367" max="15367" width="17" style="231" customWidth="1"/>
    <col min="15368" max="15368" width="15.5703125" style="231" customWidth="1"/>
    <col min="15369" max="15369" width="14.140625" style="231" customWidth="1"/>
    <col min="15370" max="15370" width="1.7109375" style="231" customWidth="1"/>
    <col min="15371" max="15371" width="13.7109375" style="231" customWidth="1"/>
    <col min="15372" max="15372" width="13.85546875" style="231" bestFit="1" customWidth="1"/>
    <col min="15373" max="15373" width="2.5703125" style="231" customWidth="1"/>
    <col min="15374" max="15374" width="12.42578125" style="231" customWidth="1"/>
    <col min="15375" max="15375" width="13.5703125" style="231" customWidth="1"/>
    <col min="15376" max="15376" width="2.5703125" style="231" customWidth="1"/>
    <col min="15377" max="15377" width="12.42578125" style="231" customWidth="1"/>
    <col min="15378" max="15378" width="13.5703125" style="231" customWidth="1"/>
    <col min="15379" max="15379" width="2.5703125" style="231" customWidth="1"/>
    <col min="15380" max="15380" width="11.5703125" style="231" customWidth="1"/>
    <col min="15381" max="15381" width="13" style="231" customWidth="1"/>
    <col min="15382" max="15382" width="1.42578125" style="231" customWidth="1"/>
    <col min="15383" max="15383" width="10.5703125" style="231" customWidth="1"/>
    <col min="15384" max="15615" width="11" style="231"/>
    <col min="15616" max="15616" width="1.5703125" style="231" customWidth="1"/>
    <col min="15617" max="15617" width="8.5703125" style="231" customWidth="1"/>
    <col min="15618" max="15618" width="28.7109375" style="231" customWidth="1"/>
    <col min="15619" max="15619" width="26.5703125" style="231" customWidth="1"/>
    <col min="15620" max="15620" width="7.7109375" style="231" customWidth="1"/>
    <col min="15621" max="15621" width="19.42578125" style="231" customWidth="1"/>
    <col min="15622" max="15622" width="44.28515625" style="231" customWidth="1"/>
    <col min="15623" max="15623" width="17" style="231" customWidth="1"/>
    <col min="15624" max="15624" width="15.5703125" style="231" customWidth="1"/>
    <col min="15625" max="15625" width="14.140625" style="231" customWidth="1"/>
    <col min="15626" max="15626" width="1.7109375" style="231" customWidth="1"/>
    <col min="15627" max="15627" width="13.7109375" style="231" customWidth="1"/>
    <col min="15628" max="15628" width="13.85546875" style="231" bestFit="1" customWidth="1"/>
    <col min="15629" max="15629" width="2.5703125" style="231" customWidth="1"/>
    <col min="15630" max="15630" width="12.42578125" style="231" customWidth="1"/>
    <col min="15631" max="15631" width="13.5703125" style="231" customWidth="1"/>
    <col min="15632" max="15632" width="2.5703125" style="231" customWidth="1"/>
    <col min="15633" max="15633" width="12.42578125" style="231" customWidth="1"/>
    <col min="15634" max="15634" width="13.5703125" style="231" customWidth="1"/>
    <col min="15635" max="15635" width="2.5703125" style="231" customWidth="1"/>
    <col min="15636" max="15636" width="11.5703125" style="231" customWidth="1"/>
    <col min="15637" max="15637" width="13" style="231" customWidth="1"/>
    <col min="15638" max="15638" width="1.42578125" style="231" customWidth="1"/>
    <col min="15639" max="15639" width="10.5703125" style="231" customWidth="1"/>
    <col min="15640" max="15871" width="11" style="231"/>
    <col min="15872" max="15872" width="1.5703125" style="231" customWidth="1"/>
    <col min="15873" max="15873" width="8.5703125" style="231" customWidth="1"/>
    <col min="15874" max="15874" width="28.7109375" style="231" customWidth="1"/>
    <col min="15875" max="15875" width="26.5703125" style="231" customWidth="1"/>
    <col min="15876" max="15876" width="7.7109375" style="231" customWidth="1"/>
    <col min="15877" max="15877" width="19.42578125" style="231" customWidth="1"/>
    <col min="15878" max="15878" width="44.28515625" style="231" customWidth="1"/>
    <col min="15879" max="15879" width="17" style="231" customWidth="1"/>
    <col min="15880" max="15880" width="15.5703125" style="231" customWidth="1"/>
    <col min="15881" max="15881" width="14.140625" style="231" customWidth="1"/>
    <col min="15882" max="15882" width="1.7109375" style="231" customWidth="1"/>
    <col min="15883" max="15883" width="13.7109375" style="231" customWidth="1"/>
    <col min="15884" max="15884" width="13.85546875" style="231" bestFit="1" customWidth="1"/>
    <col min="15885" max="15885" width="2.5703125" style="231" customWidth="1"/>
    <col min="15886" max="15886" width="12.42578125" style="231" customWidth="1"/>
    <col min="15887" max="15887" width="13.5703125" style="231" customWidth="1"/>
    <col min="15888" max="15888" width="2.5703125" style="231" customWidth="1"/>
    <col min="15889" max="15889" width="12.42578125" style="231" customWidth="1"/>
    <col min="15890" max="15890" width="13.5703125" style="231" customWidth="1"/>
    <col min="15891" max="15891" width="2.5703125" style="231" customWidth="1"/>
    <col min="15892" max="15892" width="11.5703125" style="231" customWidth="1"/>
    <col min="15893" max="15893" width="13" style="231" customWidth="1"/>
    <col min="15894" max="15894" width="1.42578125" style="231" customWidth="1"/>
    <col min="15895" max="15895" width="10.5703125" style="231" customWidth="1"/>
    <col min="15896" max="16127" width="11" style="231"/>
    <col min="16128" max="16128" width="1.5703125" style="231" customWidth="1"/>
    <col min="16129" max="16129" width="8.5703125" style="231" customWidth="1"/>
    <col min="16130" max="16130" width="28.7109375" style="231" customWidth="1"/>
    <col min="16131" max="16131" width="26.5703125" style="231" customWidth="1"/>
    <col min="16132" max="16132" width="7.7109375" style="231" customWidth="1"/>
    <col min="16133" max="16133" width="19.42578125" style="231" customWidth="1"/>
    <col min="16134" max="16134" width="44.28515625" style="231" customWidth="1"/>
    <col min="16135" max="16135" width="17" style="231" customWidth="1"/>
    <col min="16136" max="16136" width="15.5703125" style="231" customWidth="1"/>
    <col min="16137" max="16137" width="14.140625" style="231" customWidth="1"/>
    <col min="16138" max="16138" width="1.7109375" style="231" customWidth="1"/>
    <col min="16139" max="16139" width="13.7109375" style="231" customWidth="1"/>
    <col min="16140" max="16140" width="13.85546875" style="231" bestFit="1" customWidth="1"/>
    <col min="16141" max="16141" width="2.5703125" style="231" customWidth="1"/>
    <col min="16142" max="16142" width="12.42578125" style="231" customWidth="1"/>
    <col min="16143" max="16143" width="13.5703125" style="231" customWidth="1"/>
    <col min="16144" max="16144" width="2.5703125" style="231" customWidth="1"/>
    <col min="16145" max="16145" width="12.42578125" style="231" customWidth="1"/>
    <col min="16146" max="16146" width="13.5703125" style="231" customWidth="1"/>
    <col min="16147" max="16147" width="2.5703125" style="231" customWidth="1"/>
    <col min="16148" max="16148" width="11.5703125" style="231" customWidth="1"/>
    <col min="16149" max="16149" width="13" style="231" customWidth="1"/>
    <col min="16150" max="16150" width="1.42578125" style="231" customWidth="1"/>
    <col min="16151" max="16151" width="10.5703125" style="231" customWidth="1"/>
    <col min="16152" max="16384" width="11" style="231"/>
  </cols>
  <sheetData>
    <row r="1" spans="2:23" s="8" customFormat="1" ht="24.75" customHeight="1" x14ac:dyDescent="0.2">
      <c r="B1" s="734"/>
      <c r="C1" s="735"/>
      <c r="D1" s="1047" t="s">
        <v>248</v>
      </c>
      <c r="E1" s="1048"/>
      <c r="F1" s="1048" t="s">
        <v>249</v>
      </c>
      <c r="G1" s="1048"/>
      <c r="H1" s="1048"/>
      <c r="I1" s="1048"/>
      <c r="J1" s="1048"/>
      <c r="K1" s="1048"/>
      <c r="L1" s="1048"/>
      <c r="M1" s="1048"/>
      <c r="N1" s="1048"/>
      <c r="O1" s="1048"/>
      <c r="P1" s="1049"/>
      <c r="Q1" s="1046"/>
      <c r="R1" s="1048"/>
      <c r="S1" s="1048"/>
      <c r="T1" s="1048"/>
      <c r="U1" s="1048"/>
      <c r="V1" s="1048"/>
      <c r="W1" s="1050"/>
    </row>
    <row r="2" spans="2:23" s="8" customFormat="1" ht="26.25" customHeight="1" x14ac:dyDescent="0.2">
      <c r="B2" s="736"/>
      <c r="C2" s="737"/>
      <c r="D2" s="1052" t="s">
        <v>250</v>
      </c>
      <c r="E2" s="1053"/>
      <c r="F2" s="1053" t="s">
        <v>211</v>
      </c>
      <c r="G2" s="1053"/>
      <c r="H2" s="1053"/>
      <c r="I2" s="1053"/>
      <c r="J2" s="1053"/>
      <c r="K2" s="1053"/>
      <c r="L2" s="1053"/>
      <c r="M2" s="1053"/>
      <c r="N2" s="1053"/>
      <c r="O2" s="1053"/>
      <c r="P2" s="1054"/>
      <c r="Q2" s="1051"/>
      <c r="R2" s="1053"/>
      <c r="S2" s="1053"/>
      <c r="T2" s="1053"/>
      <c r="U2" s="1053"/>
      <c r="V2" s="1053"/>
      <c r="W2" s="1055"/>
    </row>
    <row r="3" spans="2:23" s="8" customFormat="1" ht="30.75" customHeight="1" thickBot="1" x14ac:dyDescent="0.25">
      <c r="B3" s="738"/>
      <c r="C3" s="739"/>
      <c r="D3" s="1057" t="s">
        <v>244</v>
      </c>
      <c r="E3" s="1058"/>
      <c r="F3" s="389" t="s">
        <v>253</v>
      </c>
      <c r="G3" s="1123" t="s">
        <v>254</v>
      </c>
      <c r="H3" s="1123"/>
      <c r="I3" s="1123"/>
      <c r="J3" s="1123"/>
      <c r="K3" s="1123"/>
      <c r="L3" s="1123"/>
      <c r="M3" s="1123"/>
      <c r="N3" s="1059" t="s">
        <v>251</v>
      </c>
      <c r="O3" s="1057"/>
      <c r="P3" s="390">
        <v>1</v>
      </c>
      <c r="Q3" s="1056"/>
      <c r="R3" s="1058"/>
      <c r="S3" s="1058"/>
      <c r="T3" s="1058"/>
      <c r="U3" s="1058"/>
      <c r="V3" s="1058"/>
      <c r="W3" s="1060"/>
    </row>
    <row r="4" spans="2:23" ht="18.75" thickBot="1" x14ac:dyDescent="0.25">
      <c r="B4" s="348"/>
      <c r="C4" s="348"/>
      <c r="D4" s="348"/>
      <c r="E4" s="348"/>
      <c r="F4" s="348"/>
      <c r="G4" s="348"/>
      <c r="H4" s="348"/>
      <c r="I4" s="348"/>
      <c r="J4" s="348"/>
      <c r="K4" s="348"/>
      <c r="L4" s="348"/>
      <c r="M4" s="348"/>
      <c r="N4" s="348"/>
      <c r="O4" s="348"/>
      <c r="P4" s="348"/>
      <c r="Q4" s="348"/>
      <c r="R4" s="348"/>
      <c r="S4" s="348"/>
      <c r="T4" s="348"/>
      <c r="U4" s="348"/>
      <c r="V4" s="348"/>
      <c r="W4" s="348"/>
    </row>
    <row r="5" spans="2:23" ht="18.75" customHeight="1" thickBot="1" x14ac:dyDescent="0.25">
      <c r="B5" s="1069" t="s">
        <v>1283</v>
      </c>
      <c r="C5" s="1070"/>
      <c r="D5" s="1069" t="s">
        <v>1282</v>
      </c>
      <c r="E5" s="1070"/>
      <c r="W5" s="253"/>
    </row>
    <row r="6" spans="2:23" ht="18.75" customHeight="1" x14ac:dyDescent="0.2">
      <c r="B6" s="347" t="s">
        <v>182</v>
      </c>
      <c r="C6" s="346" t="s">
        <v>183</v>
      </c>
      <c r="D6" s="347" t="s">
        <v>182</v>
      </c>
      <c r="E6" s="346" t="s">
        <v>183</v>
      </c>
      <c r="W6" s="253"/>
    </row>
    <row r="7" spans="2:23" ht="18.75" customHeight="1" x14ac:dyDescent="0.2">
      <c r="B7" s="345" t="s">
        <v>198</v>
      </c>
      <c r="C7" s="339" t="s">
        <v>200</v>
      </c>
      <c r="D7" s="345" t="s">
        <v>1281</v>
      </c>
      <c r="E7" s="339" t="s">
        <v>200</v>
      </c>
      <c r="F7" s="238"/>
      <c r="G7" s="338"/>
      <c r="I7" s="337"/>
      <c r="W7" s="253"/>
    </row>
    <row r="8" spans="2:23" ht="25.5" x14ac:dyDescent="0.2">
      <c r="B8" s="344" t="s">
        <v>199</v>
      </c>
      <c r="C8" s="339" t="s">
        <v>184</v>
      </c>
      <c r="D8" s="344" t="s">
        <v>1318</v>
      </c>
      <c r="E8" s="339" t="s">
        <v>184</v>
      </c>
      <c r="G8" s="338"/>
      <c r="H8" s="343"/>
      <c r="I8" s="337"/>
      <c r="W8" s="342"/>
    </row>
    <row r="9" spans="2:23" ht="25.5" x14ac:dyDescent="0.2">
      <c r="B9" s="341" t="s">
        <v>196</v>
      </c>
      <c r="C9" s="339" t="s">
        <v>185</v>
      </c>
      <c r="D9" s="341" t="s">
        <v>1319</v>
      </c>
      <c r="E9" s="339" t="s">
        <v>185</v>
      </c>
      <c r="G9" s="338"/>
      <c r="H9" s="338"/>
      <c r="I9" s="337"/>
      <c r="W9" s="332"/>
    </row>
    <row r="10" spans="2:23" ht="15" x14ac:dyDescent="0.2">
      <c r="B10" s="340" t="s">
        <v>197</v>
      </c>
      <c r="C10" s="339" t="s">
        <v>186</v>
      </c>
      <c r="D10" s="340" t="s">
        <v>1276</v>
      </c>
      <c r="E10" s="339" t="s">
        <v>186</v>
      </c>
      <c r="G10" s="338"/>
      <c r="I10" s="337"/>
      <c r="W10" s="332"/>
    </row>
    <row r="11" spans="2:23" ht="15.75" thickBot="1" x14ac:dyDescent="0.25">
      <c r="B11" s="336" t="s">
        <v>187</v>
      </c>
      <c r="C11" s="334" t="s">
        <v>188</v>
      </c>
      <c r="D11" s="335" t="s">
        <v>1275</v>
      </c>
      <c r="E11" s="334" t="s">
        <v>188</v>
      </c>
      <c r="W11" s="332"/>
    </row>
    <row r="12" spans="2:23" ht="15" x14ac:dyDescent="0.2">
      <c r="D12" s="333"/>
      <c r="E12" s="333"/>
      <c r="F12" s="333"/>
      <c r="W12" s="332"/>
    </row>
    <row r="13" spans="2:23" ht="19.5" x14ac:dyDescent="0.25">
      <c r="F13" s="240"/>
      <c r="I13" s="503"/>
      <c r="J13" s="503"/>
    </row>
    <row r="14" spans="2:23" ht="19.5" x14ac:dyDescent="0.25">
      <c r="B14" s="1122" t="s">
        <v>1320</v>
      </c>
      <c r="C14" s="1122"/>
      <c r="E14" s="1122" t="s">
        <v>1321</v>
      </c>
      <c r="F14" s="1122"/>
      <c r="I14" s="1122" t="s">
        <v>1322</v>
      </c>
      <c r="J14" s="1122"/>
      <c r="M14" s="1122" t="s">
        <v>1323</v>
      </c>
      <c r="N14" s="1122"/>
    </row>
    <row r="15" spans="2:23" ht="19.5" x14ac:dyDescent="0.25">
      <c r="B15" s="504"/>
      <c r="C15" s="504"/>
      <c r="E15" s="237"/>
      <c r="I15" s="237"/>
      <c r="M15" s="237"/>
    </row>
    <row r="16" spans="2:23" ht="19.5" x14ac:dyDescent="0.25">
      <c r="B16" s="505" t="s">
        <v>1324</v>
      </c>
      <c r="C16" s="237"/>
      <c r="D16" s="503"/>
      <c r="E16" s="505" t="s">
        <v>1324</v>
      </c>
      <c r="G16" s="231"/>
      <c r="H16" s="231"/>
      <c r="I16" s="505" t="s">
        <v>1324</v>
      </c>
      <c r="K16" s="231"/>
      <c r="M16" s="505" t="s">
        <v>1324</v>
      </c>
      <c r="O16" s="231"/>
      <c r="S16" s="231"/>
    </row>
    <row r="17" spans="2:19" ht="19.5" x14ac:dyDescent="0.25">
      <c r="B17" s="506" t="s">
        <v>1325</v>
      </c>
      <c r="C17" s="507">
        <f>+'[11]Plan de Accion 2018'!AC328</f>
        <v>17235928559.849998</v>
      </c>
      <c r="D17" s="503"/>
      <c r="E17" s="506" t="s">
        <v>1325</v>
      </c>
      <c r="F17" s="507">
        <v>35922847995.809998</v>
      </c>
      <c r="G17" s="231"/>
      <c r="H17" s="231"/>
      <c r="I17" s="506" t="s">
        <v>1325</v>
      </c>
      <c r="J17" s="507">
        <v>56279035497.190002</v>
      </c>
      <c r="K17" s="231"/>
      <c r="L17" s="508"/>
      <c r="M17" s="506" t="s">
        <v>1325</v>
      </c>
      <c r="N17" s="507">
        <f>56279035497.19+13953713987.76</f>
        <v>70232749484.949997</v>
      </c>
      <c r="O17" s="231"/>
      <c r="S17" s="231"/>
    </row>
    <row r="18" spans="2:19" ht="20.25" thickBot="1" x14ac:dyDescent="0.3">
      <c r="B18" s="506" t="s">
        <v>1326</v>
      </c>
      <c r="C18" s="509">
        <f>+'[11]Plan de Accion 2018'!L327</f>
        <v>123940944854</v>
      </c>
      <c r="D18" s="503"/>
      <c r="E18" s="506" t="s">
        <v>1326</v>
      </c>
      <c r="F18" s="509">
        <v>123940944854</v>
      </c>
      <c r="G18" s="231"/>
      <c r="H18" s="234"/>
      <c r="I18" s="506" t="s">
        <v>1326</v>
      </c>
      <c r="J18" s="509">
        <v>123940944854.60999</v>
      </c>
      <c r="K18" s="231"/>
      <c r="M18" s="506" t="s">
        <v>1326</v>
      </c>
      <c r="N18" s="509">
        <v>107533582066.44</v>
      </c>
      <c r="O18" s="231"/>
      <c r="P18" s="510"/>
    </row>
    <row r="19" spans="2:19" ht="20.25" thickBot="1" x14ac:dyDescent="0.3">
      <c r="C19" s="511">
        <f>+C17/C18</f>
        <v>0.13906565405123855</v>
      </c>
      <c r="D19" s="503"/>
      <c r="F19" s="511">
        <f>+F17/F18</f>
        <v>0.28983842295317669</v>
      </c>
      <c r="G19" s="231"/>
      <c r="H19" s="234"/>
      <c r="J19" s="511">
        <f>+J17/J18</f>
        <v>0.45407944536172951</v>
      </c>
      <c r="K19" s="231"/>
      <c r="N19" s="511">
        <f>+N17/N18</f>
        <v>0.65312387195989108</v>
      </c>
      <c r="O19" s="231"/>
    </row>
    <row r="20" spans="2:19" ht="19.5" x14ac:dyDescent="0.25">
      <c r="C20" s="512"/>
      <c r="D20" s="503"/>
      <c r="F20" s="512"/>
      <c r="G20" s="231"/>
      <c r="H20" s="234"/>
      <c r="J20" s="512"/>
      <c r="K20" s="231"/>
      <c r="N20" s="512"/>
      <c r="O20" s="231"/>
    </row>
    <row r="21" spans="2:19" ht="18" x14ac:dyDescent="0.25">
      <c r="B21" s="505" t="s">
        <v>1327</v>
      </c>
      <c r="E21" s="505" t="s">
        <v>1327</v>
      </c>
      <c r="G21" s="231"/>
      <c r="H21" s="234"/>
      <c r="I21" s="505" t="s">
        <v>1327</v>
      </c>
      <c r="K21" s="231"/>
      <c r="M21" s="505" t="s">
        <v>1327</v>
      </c>
      <c r="O21" s="231"/>
    </row>
    <row r="22" spans="2:19" ht="19.5" x14ac:dyDescent="0.25">
      <c r="B22" s="506" t="s">
        <v>1325</v>
      </c>
      <c r="C22" s="507">
        <f>+'[11]Plan de Accion 2018'!AC327</f>
        <v>10741284867605.9</v>
      </c>
      <c r="D22" s="503"/>
      <c r="E22" s="506" t="s">
        <v>1325</v>
      </c>
      <c r="F22" s="507">
        <v>22444626965916.301</v>
      </c>
      <c r="G22" s="231"/>
      <c r="H22" s="234"/>
      <c r="I22" s="506" t="s">
        <v>1325</v>
      </c>
      <c r="J22" s="507">
        <v>34067125570443.301</v>
      </c>
      <c r="K22" s="231"/>
      <c r="M22" s="506" t="s">
        <v>1325</v>
      </c>
      <c r="N22" s="507">
        <f>34067125570443.3+12001295503907</f>
        <v>46068421074350.297</v>
      </c>
      <c r="O22" s="231"/>
    </row>
    <row r="23" spans="2:19" ht="20.25" thickBot="1" x14ac:dyDescent="0.3">
      <c r="B23" s="506" t="s">
        <v>1326</v>
      </c>
      <c r="C23" s="509">
        <f>+'[11]Plan de Accion 2018'!L326</f>
        <v>42726949922000</v>
      </c>
      <c r="D23" s="503"/>
      <c r="E23" s="506" t="s">
        <v>1326</v>
      </c>
      <c r="F23" s="509">
        <v>43128604240962.609</v>
      </c>
      <c r="G23" s="231"/>
      <c r="H23" s="234"/>
      <c r="I23" s="506" t="s">
        <v>1326</v>
      </c>
      <c r="J23" s="507">
        <v>44440604240962</v>
      </c>
      <c r="K23" s="231"/>
      <c r="M23" s="506" t="s">
        <v>1326</v>
      </c>
      <c r="N23" s="507">
        <v>46648156240962</v>
      </c>
      <c r="O23" s="231"/>
    </row>
    <row r="24" spans="2:19" ht="20.25" thickBot="1" x14ac:dyDescent="0.3">
      <c r="C24" s="513">
        <f>+C22/C23</f>
        <v>0.25139367278063629</v>
      </c>
      <c r="D24" s="503"/>
      <c r="F24" s="513">
        <f>+F22/F23</f>
        <v>0.5204116238150569</v>
      </c>
      <c r="G24" s="231"/>
      <c r="H24" s="234"/>
      <c r="J24" s="513">
        <f>+J22/J23</f>
        <v>0.76657656105950944</v>
      </c>
      <c r="K24" s="231"/>
      <c r="N24" s="513">
        <f>+N22/N23</f>
        <v>0.98757217405084419</v>
      </c>
      <c r="O24" s="231"/>
    </row>
    <row r="25" spans="2:19" ht="19.5" x14ac:dyDescent="0.25">
      <c r="C25" s="514"/>
      <c r="D25" s="503"/>
      <c r="F25" s="514"/>
      <c r="G25" s="231"/>
      <c r="H25" s="234"/>
      <c r="J25" s="514"/>
      <c r="K25" s="231"/>
      <c r="N25" s="514"/>
      <c r="O25" s="231"/>
    </row>
    <row r="26" spans="2:19" ht="18" x14ac:dyDescent="0.25">
      <c r="B26" s="505" t="s">
        <v>1328</v>
      </c>
      <c r="E26" s="505" t="s">
        <v>1328</v>
      </c>
      <c r="G26" s="231"/>
      <c r="H26" s="234"/>
      <c r="I26" s="505" t="s">
        <v>1328</v>
      </c>
      <c r="K26" s="231"/>
      <c r="M26" s="505" t="s">
        <v>1328</v>
      </c>
      <c r="O26" s="231"/>
    </row>
    <row r="27" spans="2:19" ht="18" x14ac:dyDescent="0.25">
      <c r="B27" s="506" t="s">
        <v>1325</v>
      </c>
      <c r="C27" s="507">
        <f>+C17+C22</f>
        <v>10758520796165.75</v>
      </c>
      <c r="E27" s="506" t="s">
        <v>1325</v>
      </c>
      <c r="F27" s="507">
        <v>22480549813912.109</v>
      </c>
      <c r="G27" s="231"/>
      <c r="H27" s="234"/>
      <c r="I27" s="506" t="s">
        <v>1325</v>
      </c>
      <c r="J27" s="507">
        <f>+J17+J22</f>
        <v>34123404605940.492</v>
      </c>
      <c r="K27" s="231"/>
      <c r="M27" s="506" t="s">
        <v>1325</v>
      </c>
      <c r="N27" s="507">
        <f>+N17+N22</f>
        <v>46138653823835.25</v>
      </c>
      <c r="O27" s="231"/>
    </row>
    <row r="28" spans="2:19" ht="18.75" thickBot="1" x14ac:dyDescent="0.3">
      <c r="B28" s="506" t="s">
        <v>1326</v>
      </c>
      <c r="C28" s="509">
        <f>+C18+C23</f>
        <v>42850890866854</v>
      </c>
      <c r="E28" s="506" t="s">
        <v>1326</v>
      </c>
      <c r="F28" s="509">
        <v>43252545185816.609</v>
      </c>
      <c r="G28" s="231"/>
      <c r="H28" s="234"/>
      <c r="I28" s="506" t="s">
        <v>1326</v>
      </c>
      <c r="J28" s="509">
        <f>+J18+J23</f>
        <v>44564545185816.609</v>
      </c>
      <c r="K28" s="231"/>
      <c r="M28" s="506" t="s">
        <v>1326</v>
      </c>
      <c r="N28" s="509">
        <f>+N18+N23</f>
        <v>46755689823028.438</v>
      </c>
      <c r="O28" s="231"/>
    </row>
    <row r="29" spans="2:19" ht="20.25" thickBot="1" x14ac:dyDescent="0.3">
      <c r="C29" s="513">
        <f>+C27/C28</f>
        <v>0.25106877776694431</v>
      </c>
      <c r="F29" s="513">
        <f>+F27/F28</f>
        <v>0.51975091216791425</v>
      </c>
      <c r="G29" s="231"/>
      <c r="H29" s="234"/>
      <c r="J29" s="513">
        <f>+J27/J28</f>
        <v>0.76570745788292749</v>
      </c>
      <c r="K29" s="231"/>
      <c r="N29" s="513">
        <f>+N27/N28</f>
        <v>0.9868029751773808</v>
      </c>
      <c r="O29" s="231"/>
    </row>
    <row r="30" spans="2:19" x14ac:dyDescent="0.2">
      <c r="F30" s="235"/>
      <c r="H30" s="231"/>
    </row>
  </sheetData>
  <mergeCells count="15">
    <mergeCell ref="M14:N14"/>
    <mergeCell ref="B1:C3"/>
    <mergeCell ref="D1:E1"/>
    <mergeCell ref="F1:P1"/>
    <mergeCell ref="Q1:W3"/>
    <mergeCell ref="D2:E2"/>
    <mergeCell ref="F2:P2"/>
    <mergeCell ref="D3:E3"/>
    <mergeCell ref="G3:M3"/>
    <mergeCell ref="N3:O3"/>
    <mergeCell ref="B5:C5"/>
    <mergeCell ref="D5:E5"/>
    <mergeCell ref="B14:C14"/>
    <mergeCell ref="E14:F14"/>
    <mergeCell ref="I14:J1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83"/>
  <sheetViews>
    <sheetView topLeftCell="N4" workbookViewId="0">
      <selection activeCell="N34" sqref="N34"/>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45.7109375" customWidth="1"/>
    <col min="19" max="19" width="56" bestFit="1" customWidth="1"/>
    <col min="20" max="20" width="4.5703125" customWidth="1"/>
    <col min="21" max="21" width="57.28515625" customWidth="1"/>
    <col min="22" max="22" width="4.5703125" customWidth="1"/>
    <col min="23" max="23" width="19.85546875" customWidth="1"/>
    <col min="24" max="24" width="39.28515625" customWidth="1"/>
  </cols>
  <sheetData>
    <row r="1" spans="1:25" x14ac:dyDescent="0.25">
      <c r="A1" s="1130" t="s">
        <v>261</v>
      </c>
      <c r="B1" s="1130"/>
      <c r="F1" t="s">
        <v>262</v>
      </c>
      <c r="H1" t="s">
        <v>263</v>
      </c>
      <c r="J1" s="3" t="s">
        <v>264</v>
      </c>
      <c r="L1" s="3" t="s">
        <v>265</v>
      </c>
      <c r="N1" t="s">
        <v>266</v>
      </c>
      <c r="P1" t="s">
        <v>267</v>
      </c>
      <c r="S1" t="s">
        <v>268</v>
      </c>
      <c r="U1" t="s">
        <v>269</v>
      </c>
    </row>
    <row r="2" spans="1:25" s="29" customFormat="1" x14ac:dyDescent="0.25">
      <c r="A2" s="28" t="s">
        <v>270</v>
      </c>
      <c r="B2" s="28" t="s">
        <v>271</v>
      </c>
      <c r="D2" s="28" t="s">
        <v>56</v>
      </c>
      <c r="F2" s="30" t="s">
        <v>272</v>
      </c>
      <c r="H2" s="30" t="s">
        <v>273</v>
      </c>
      <c r="J2" s="30" t="s">
        <v>274</v>
      </c>
      <c r="L2" s="30" t="s">
        <v>275</v>
      </c>
      <c r="N2" s="30" t="s">
        <v>276</v>
      </c>
      <c r="P2" s="30" t="s">
        <v>277</v>
      </c>
      <c r="Q2" s="51"/>
      <c r="R2" s="30" t="s">
        <v>331</v>
      </c>
      <c r="S2" s="30" t="s">
        <v>278</v>
      </c>
      <c r="U2" s="30" t="s">
        <v>279</v>
      </c>
      <c r="W2" s="30" t="s">
        <v>280</v>
      </c>
      <c r="X2" s="30" t="s">
        <v>340</v>
      </c>
    </row>
    <row r="3" spans="1:25" x14ac:dyDescent="0.25">
      <c r="A3" s="1"/>
      <c r="B3" s="1"/>
      <c r="D3" s="1"/>
      <c r="F3" s="1"/>
      <c r="H3" s="1"/>
      <c r="J3" s="1"/>
      <c r="L3" s="1"/>
      <c r="N3" s="1"/>
      <c r="P3" s="1"/>
      <c r="Q3" s="31"/>
      <c r="S3" s="2" t="s">
        <v>153</v>
      </c>
      <c r="U3" s="1"/>
      <c r="W3" s="1" t="s">
        <v>281</v>
      </c>
    </row>
    <row r="4" spans="1:25" ht="75" x14ac:dyDescent="0.25">
      <c r="A4" s="32">
        <v>11200</v>
      </c>
      <c r="B4" s="32" t="s">
        <v>1</v>
      </c>
      <c r="D4" s="2" t="s">
        <v>346</v>
      </c>
      <c r="F4" s="2" t="s">
        <v>16</v>
      </c>
      <c r="H4" s="2" t="s">
        <v>21</v>
      </c>
      <c r="J4" s="2" t="s">
        <v>674</v>
      </c>
      <c r="L4" s="2" t="s">
        <v>676</v>
      </c>
      <c r="N4" s="2" t="s">
        <v>29</v>
      </c>
      <c r="P4" s="1"/>
      <c r="Q4" s="31"/>
      <c r="R4" s="52" t="s">
        <v>332</v>
      </c>
      <c r="S4" s="2" t="s">
        <v>55</v>
      </c>
      <c r="U4" s="2" t="s">
        <v>282</v>
      </c>
      <c r="W4" s="55" t="s">
        <v>48</v>
      </c>
      <c r="X4" s="56" t="s">
        <v>341</v>
      </c>
      <c r="Y4" s="32">
        <v>11200</v>
      </c>
    </row>
    <row r="5" spans="1:25" ht="75.75" thickBot="1" x14ac:dyDescent="0.3">
      <c r="A5" s="32">
        <v>11300</v>
      </c>
      <c r="B5" s="32" t="s">
        <v>2</v>
      </c>
      <c r="D5" s="2" t="s">
        <v>59</v>
      </c>
      <c r="F5" s="2" t="s">
        <v>20</v>
      </c>
      <c r="H5" s="2" t="s">
        <v>283</v>
      </c>
      <c r="J5" s="2" t="s">
        <v>673</v>
      </c>
      <c r="K5" s="29"/>
      <c r="L5" s="2" t="s">
        <v>677</v>
      </c>
      <c r="N5" s="2" t="s">
        <v>1130</v>
      </c>
      <c r="P5" s="1"/>
      <c r="Q5" s="31"/>
      <c r="R5" s="52" t="s">
        <v>338</v>
      </c>
      <c r="S5" s="33" t="s">
        <v>64</v>
      </c>
      <c r="U5" s="2" t="s">
        <v>284</v>
      </c>
      <c r="W5" s="55" t="s">
        <v>46</v>
      </c>
      <c r="X5" s="56" t="s">
        <v>342</v>
      </c>
      <c r="Y5" s="32">
        <v>11300</v>
      </c>
    </row>
    <row r="6" spans="1:25" ht="60" x14ac:dyDescent="0.25">
      <c r="A6" s="32">
        <v>11400</v>
      </c>
      <c r="B6" s="32" t="s">
        <v>12</v>
      </c>
      <c r="D6" s="2" t="s">
        <v>60</v>
      </c>
      <c r="F6" s="2" t="s">
        <v>17</v>
      </c>
      <c r="H6" s="2" t="s">
        <v>22</v>
      </c>
      <c r="J6" s="2" t="s">
        <v>206</v>
      </c>
      <c r="L6" s="2" t="s">
        <v>675</v>
      </c>
      <c r="N6" s="2" t="s">
        <v>71</v>
      </c>
      <c r="P6" s="1"/>
      <c r="Q6" s="31"/>
      <c r="R6" s="52" t="s">
        <v>333</v>
      </c>
      <c r="S6" s="34" t="s">
        <v>285</v>
      </c>
      <c r="U6" s="2" t="s">
        <v>286</v>
      </c>
      <c r="W6" s="55" t="s">
        <v>287</v>
      </c>
      <c r="X6" s="56" t="s">
        <v>343</v>
      </c>
      <c r="Y6" s="32">
        <v>11400</v>
      </c>
    </row>
    <row r="7" spans="1:25" ht="45" x14ac:dyDescent="0.25">
      <c r="A7" s="32">
        <v>11420</v>
      </c>
      <c r="B7" s="32" t="s">
        <v>288</v>
      </c>
      <c r="D7" s="2" t="s">
        <v>61</v>
      </c>
      <c r="F7" s="2" t="s">
        <v>289</v>
      </c>
      <c r="H7" s="2" t="s">
        <v>290</v>
      </c>
      <c r="L7" s="2" t="s">
        <v>678</v>
      </c>
      <c r="N7" s="2" t="s">
        <v>72</v>
      </c>
      <c r="P7" s="1"/>
      <c r="Q7" s="31"/>
      <c r="R7" s="52" t="s">
        <v>334</v>
      </c>
      <c r="S7" s="35" t="s">
        <v>291</v>
      </c>
      <c r="U7" s="2" t="s">
        <v>292</v>
      </c>
      <c r="W7" s="55" t="s">
        <v>47</v>
      </c>
      <c r="X7" s="56" t="s">
        <v>344</v>
      </c>
      <c r="Y7" s="32">
        <v>11420</v>
      </c>
    </row>
    <row r="8" spans="1:25" ht="90" x14ac:dyDescent="0.25">
      <c r="A8" s="32">
        <v>11430</v>
      </c>
      <c r="B8" s="32" t="s">
        <v>293</v>
      </c>
      <c r="D8" s="2" t="s">
        <v>94</v>
      </c>
      <c r="F8" s="37" t="s">
        <v>18</v>
      </c>
      <c r="H8" s="38" t="s">
        <v>26</v>
      </c>
      <c r="K8" s="29"/>
      <c r="L8" s="1"/>
      <c r="N8" s="2" t="s">
        <v>73</v>
      </c>
      <c r="P8" s="1"/>
      <c r="Q8" s="31"/>
      <c r="R8" s="52" t="s">
        <v>335</v>
      </c>
      <c r="S8" s="35" t="s">
        <v>294</v>
      </c>
      <c r="U8" s="2" t="s">
        <v>295</v>
      </c>
      <c r="X8" s="56" t="s">
        <v>345</v>
      </c>
      <c r="Y8" s="32">
        <v>11430</v>
      </c>
    </row>
    <row r="9" spans="1:25" ht="45" x14ac:dyDescent="0.25">
      <c r="A9" s="32">
        <v>11500</v>
      </c>
      <c r="B9" s="32" t="s">
        <v>13</v>
      </c>
      <c r="D9" s="2" t="s">
        <v>347</v>
      </c>
      <c r="F9" s="37" t="s">
        <v>296</v>
      </c>
      <c r="H9" s="38" t="s">
        <v>297</v>
      </c>
      <c r="L9" s="37"/>
      <c r="N9" s="2" t="s">
        <v>1126</v>
      </c>
      <c r="P9" s="1"/>
      <c r="Q9" s="31"/>
      <c r="R9" s="52" t="s">
        <v>336</v>
      </c>
      <c r="S9" s="35" t="s">
        <v>84</v>
      </c>
      <c r="U9" s="2" t="s">
        <v>298</v>
      </c>
      <c r="X9" s="57" t="s">
        <v>206</v>
      </c>
      <c r="Y9" s="32">
        <v>11500</v>
      </c>
    </row>
    <row r="10" spans="1:25" ht="150" x14ac:dyDescent="0.25">
      <c r="A10" s="32">
        <v>11600</v>
      </c>
      <c r="B10" s="32" t="s">
        <v>4</v>
      </c>
      <c r="D10" s="63" t="s">
        <v>351</v>
      </c>
      <c r="F10" s="37" t="s">
        <v>19</v>
      </c>
      <c r="H10" s="37" t="s">
        <v>27</v>
      </c>
      <c r="L10" s="37"/>
      <c r="N10" s="2" t="s">
        <v>74</v>
      </c>
      <c r="P10" s="1"/>
      <c r="Q10" s="31"/>
      <c r="R10" s="52" t="s">
        <v>337</v>
      </c>
      <c r="S10" s="35" t="s">
        <v>85</v>
      </c>
      <c r="U10" s="2" t="s">
        <v>40</v>
      </c>
      <c r="Y10" s="32">
        <v>11600</v>
      </c>
    </row>
    <row r="11" spans="1:25" ht="90" x14ac:dyDescent="0.25">
      <c r="A11" s="32">
        <v>11700</v>
      </c>
      <c r="B11" s="32" t="s">
        <v>14</v>
      </c>
      <c r="D11" s="64" t="s">
        <v>406</v>
      </c>
      <c r="H11" s="37" t="s">
        <v>299</v>
      </c>
      <c r="K11" s="29"/>
      <c r="L11" s="37"/>
      <c r="N11" s="2" t="s">
        <v>75</v>
      </c>
      <c r="P11" s="1"/>
      <c r="Q11" s="31"/>
      <c r="R11" s="52" t="s">
        <v>535</v>
      </c>
      <c r="S11" s="35" t="s">
        <v>142</v>
      </c>
      <c r="U11" s="2" t="s">
        <v>41</v>
      </c>
      <c r="Y11" s="32">
        <v>11700</v>
      </c>
    </row>
    <row r="12" spans="1:25" ht="30" x14ac:dyDescent="0.25">
      <c r="A12" s="32">
        <v>11800</v>
      </c>
      <c r="B12" s="32" t="s">
        <v>3</v>
      </c>
      <c r="H12" s="37" t="s">
        <v>28</v>
      </c>
      <c r="N12" s="2" t="s">
        <v>76</v>
      </c>
      <c r="P12" s="1"/>
      <c r="Q12" s="31"/>
      <c r="R12" s="52" t="s">
        <v>339</v>
      </c>
      <c r="S12" s="35" t="s">
        <v>143</v>
      </c>
      <c r="U12" s="2" t="s">
        <v>300</v>
      </c>
      <c r="Y12" s="32">
        <v>11800</v>
      </c>
    </row>
    <row r="13" spans="1:25" ht="30" x14ac:dyDescent="0.25">
      <c r="A13" s="32">
        <v>11900</v>
      </c>
      <c r="B13" s="32" t="s">
        <v>125</v>
      </c>
      <c r="H13" s="37" t="s">
        <v>23</v>
      </c>
      <c r="N13" s="2" t="s">
        <v>77</v>
      </c>
      <c r="P13" s="1"/>
      <c r="Q13" s="31"/>
      <c r="R13" s="52" t="s">
        <v>922</v>
      </c>
      <c r="S13" s="35" t="s">
        <v>87</v>
      </c>
      <c r="U13" s="2" t="s">
        <v>42</v>
      </c>
      <c r="Y13" s="32">
        <v>11900</v>
      </c>
    </row>
    <row r="14" spans="1:25" ht="45" x14ac:dyDescent="0.25">
      <c r="A14" s="32">
        <v>12000</v>
      </c>
      <c r="B14" s="32" t="s">
        <v>15</v>
      </c>
      <c r="H14" s="37" t="s">
        <v>301</v>
      </c>
      <c r="N14" s="2" t="s">
        <v>1127</v>
      </c>
      <c r="P14" s="1"/>
      <c r="Q14" s="31"/>
      <c r="R14" s="53"/>
      <c r="S14" s="35" t="s">
        <v>146</v>
      </c>
      <c r="U14" s="2" t="s">
        <v>302</v>
      </c>
      <c r="Y14" s="32">
        <v>12000</v>
      </c>
    </row>
    <row r="15" spans="1:25" ht="30" x14ac:dyDescent="0.25">
      <c r="H15" s="37" t="s">
        <v>303</v>
      </c>
      <c r="N15" s="2" t="s">
        <v>78</v>
      </c>
      <c r="P15" s="1"/>
      <c r="Q15" s="31"/>
      <c r="R15" s="53"/>
      <c r="S15" s="35" t="s">
        <v>87</v>
      </c>
      <c r="U15" s="2" t="s">
        <v>304</v>
      </c>
    </row>
    <row r="16" spans="1:25" ht="45" x14ac:dyDescent="0.25">
      <c r="H16" s="37" t="s">
        <v>305</v>
      </c>
      <c r="N16" s="2" t="s">
        <v>1125</v>
      </c>
      <c r="P16" s="1"/>
      <c r="Q16" s="31"/>
      <c r="R16" s="53"/>
      <c r="S16" s="35" t="s">
        <v>147</v>
      </c>
      <c r="U16" s="2" t="s">
        <v>43</v>
      </c>
    </row>
    <row r="17" spans="8:21" ht="30" x14ac:dyDescent="0.25">
      <c r="H17" s="37" t="s">
        <v>306</v>
      </c>
      <c r="N17" s="2" t="s">
        <v>1128</v>
      </c>
      <c r="P17" s="1"/>
      <c r="Q17" s="31"/>
      <c r="R17" s="53"/>
      <c r="S17" s="35" t="s">
        <v>148</v>
      </c>
      <c r="U17" s="2" t="s">
        <v>44</v>
      </c>
    </row>
    <row r="18" spans="8:21" ht="30.75" thickBot="1" x14ac:dyDescent="0.3">
      <c r="H18" s="37" t="s">
        <v>307</v>
      </c>
      <c r="N18" s="2" t="s">
        <v>79</v>
      </c>
      <c r="P18" s="1"/>
      <c r="Q18" s="31"/>
      <c r="R18" s="54"/>
      <c r="S18" s="39" t="s">
        <v>149</v>
      </c>
      <c r="U18" s="2" t="s">
        <v>308</v>
      </c>
    </row>
    <row r="19" spans="8:21" ht="45" customHeight="1" x14ac:dyDescent="0.25">
      <c r="H19" s="37" t="s">
        <v>24</v>
      </c>
      <c r="N19" s="2" t="s">
        <v>1129</v>
      </c>
      <c r="P19" s="1"/>
      <c r="Q19" s="31"/>
      <c r="R19" s="1124" t="s">
        <v>2</v>
      </c>
      <c r="S19" s="40" t="s">
        <v>157</v>
      </c>
      <c r="U19" s="2" t="s">
        <v>309</v>
      </c>
    </row>
    <row r="20" spans="8:21" ht="30" x14ac:dyDescent="0.25">
      <c r="H20" s="37" t="s">
        <v>310</v>
      </c>
      <c r="N20" s="2" t="s">
        <v>80</v>
      </c>
      <c r="P20" s="1"/>
      <c r="Q20" s="31"/>
      <c r="R20" s="1125"/>
      <c r="S20" s="41" t="s">
        <v>91</v>
      </c>
      <c r="U20" s="2" t="s">
        <v>311</v>
      </c>
    </row>
    <row r="21" spans="8:21" ht="30" x14ac:dyDescent="0.25">
      <c r="H21" s="37" t="s">
        <v>25</v>
      </c>
      <c r="N21" s="2" t="s">
        <v>1131</v>
      </c>
      <c r="P21" s="1"/>
      <c r="Q21" s="31"/>
      <c r="R21" s="1125"/>
      <c r="S21" s="35" t="s">
        <v>165</v>
      </c>
      <c r="U21" s="2" t="s">
        <v>312</v>
      </c>
    </row>
    <row r="22" spans="8:21" ht="30" customHeight="1" x14ac:dyDescent="0.25">
      <c r="N22" s="2" t="s">
        <v>81</v>
      </c>
      <c r="P22" s="1"/>
      <c r="Q22" s="31"/>
      <c r="R22" s="1125"/>
      <c r="S22" s="35" t="s">
        <v>158</v>
      </c>
      <c r="U22" s="2" t="s">
        <v>313</v>
      </c>
    </row>
    <row r="23" spans="8:21" x14ac:dyDescent="0.25">
      <c r="N23" s="2" t="s">
        <v>82</v>
      </c>
      <c r="P23" s="1"/>
      <c r="Q23" s="31"/>
      <c r="R23" s="1125"/>
      <c r="S23" s="35" t="s">
        <v>159</v>
      </c>
      <c r="U23" s="2" t="s">
        <v>45</v>
      </c>
    </row>
    <row r="24" spans="8:21" ht="45" customHeight="1" x14ac:dyDescent="0.25">
      <c r="N24" s="2" t="s">
        <v>1124</v>
      </c>
      <c r="P24" s="1"/>
      <c r="Q24" s="31"/>
      <c r="R24" s="1125"/>
      <c r="S24" s="42" t="s">
        <v>166</v>
      </c>
      <c r="U24" s="2" t="s">
        <v>314</v>
      </c>
    </row>
    <row r="25" spans="8:21" ht="45" customHeight="1" x14ac:dyDescent="0.25">
      <c r="N25" s="64" t="s">
        <v>1132</v>
      </c>
      <c r="R25" s="1125"/>
      <c r="S25" s="43"/>
      <c r="U25" s="64" t="s">
        <v>206</v>
      </c>
    </row>
    <row r="26" spans="8:21" x14ac:dyDescent="0.25">
      <c r="N26" s="64" t="s">
        <v>1133</v>
      </c>
      <c r="R26" s="1131"/>
      <c r="S26" s="42"/>
    </row>
    <row r="27" spans="8:21" ht="45.75" customHeight="1" x14ac:dyDescent="0.25">
      <c r="N27" s="64" t="s">
        <v>1134</v>
      </c>
      <c r="R27" s="1132" t="s">
        <v>14</v>
      </c>
      <c r="S27" s="38" t="s">
        <v>133</v>
      </c>
    </row>
    <row r="28" spans="8:21" ht="45" customHeight="1" x14ac:dyDescent="0.25">
      <c r="N28" s="2" t="s">
        <v>1135</v>
      </c>
      <c r="R28" s="1132"/>
      <c r="S28" s="38" t="s">
        <v>134</v>
      </c>
    </row>
    <row r="29" spans="8:21" x14ac:dyDescent="0.25">
      <c r="N29" s="37" t="s">
        <v>1136</v>
      </c>
      <c r="R29" s="1132"/>
      <c r="S29" s="38" t="s">
        <v>135</v>
      </c>
    </row>
    <row r="30" spans="8:21" ht="30" x14ac:dyDescent="0.25">
      <c r="N30" s="37" t="s">
        <v>1137</v>
      </c>
      <c r="R30" s="1132"/>
      <c r="S30" s="38" t="s">
        <v>315</v>
      </c>
    </row>
    <row r="31" spans="8:21" ht="30" x14ac:dyDescent="0.25">
      <c r="N31" s="37" t="s">
        <v>1138</v>
      </c>
      <c r="R31" s="1132"/>
      <c r="S31" s="38" t="s">
        <v>172</v>
      </c>
    </row>
    <row r="32" spans="8:21" ht="30" x14ac:dyDescent="0.25">
      <c r="N32" s="64" t="s">
        <v>1139</v>
      </c>
      <c r="R32" s="1132"/>
      <c r="S32" s="38" t="s">
        <v>136</v>
      </c>
    </row>
    <row r="33" spans="2:19" x14ac:dyDescent="0.25">
      <c r="N33" s="37" t="s">
        <v>1140</v>
      </c>
      <c r="R33" s="1132"/>
      <c r="S33" s="38" t="s">
        <v>316</v>
      </c>
    </row>
    <row r="34" spans="2:19" x14ac:dyDescent="0.25">
      <c r="R34" s="1132"/>
      <c r="S34" s="38" t="s">
        <v>167</v>
      </c>
    </row>
    <row r="35" spans="2:19" ht="30" customHeight="1" x14ac:dyDescent="0.25">
      <c r="R35" s="1132"/>
      <c r="S35" s="36" t="s">
        <v>169</v>
      </c>
    </row>
    <row r="36" spans="2:19" x14ac:dyDescent="0.25">
      <c r="R36" s="1132"/>
      <c r="S36" s="36" t="s">
        <v>170</v>
      </c>
    </row>
    <row r="37" spans="2:19" x14ac:dyDescent="0.25">
      <c r="R37" s="1132"/>
      <c r="S37" s="36" t="s">
        <v>168</v>
      </c>
    </row>
    <row r="38" spans="2:19" ht="30" x14ac:dyDescent="0.25">
      <c r="R38" s="1132"/>
      <c r="S38" s="36" t="s">
        <v>224</v>
      </c>
    </row>
    <row r="39" spans="2:19" ht="30" x14ac:dyDescent="0.25">
      <c r="R39" s="1132"/>
      <c r="S39" s="36" t="s">
        <v>223</v>
      </c>
    </row>
    <row r="40" spans="2:19" x14ac:dyDescent="0.25">
      <c r="R40" s="1132"/>
      <c r="S40" s="36" t="s">
        <v>317</v>
      </c>
    </row>
    <row r="41" spans="2:19" ht="45" x14ac:dyDescent="0.25">
      <c r="R41" s="1132"/>
      <c r="S41" s="36" t="s">
        <v>318</v>
      </c>
    </row>
    <row r="42" spans="2:19" x14ac:dyDescent="0.25">
      <c r="R42" s="1132"/>
      <c r="S42" s="36" t="s">
        <v>319</v>
      </c>
    </row>
    <row r="43" spans="2:19" ht="45" x14ac:dyDescent="0.25">
      <c r="R43" s="1132"/>
      <c r="S43" s="36" t="s">
        <v>320</v>
      </c>
    </row>
    <row r="44" spans="2:19" ht="30" x14ac:dyDescent="0.25">
      <c r="R44" s="1132"/>
      <c r="S44" s="36" t="s">
        <v>321</v>
      </c>
    </row>
    <row r="45" spans="2:19" ht="30" x14ac:dyDescent="0.25">
      <c r="R45" s="1132"/>
      <c r="S45" s="36" t="s">
        <v>322</v>
      </c>
    </row>
    <row r="46" spans="2:19" x14ac:dyDescent="0.25">
      <c r="R46" s="1132"/>
      <c r="S46" s="36" t="s">
        <v>323</v>
      </c>
    </row>
    <row r="47" spans="2:19" ht="30" x14ac:dyDescent="0.25">
      <c r="B47" s="44"/>
      <c r="R47" s="1132"/>
      <c r="S47" s="36" t="s">
        <v>173</v>
      </c>
    </row>
    <row r="48" spans="2:19" ht="30" x14ac:dyDescent="0.25">
      <c r="R48" s="1133" t="s">
        <v>3</v>
      </c>
      <c r="S48" s="45" t="s">
        <v>120</v>
      </c>
    </row>
    <row r="49" spans="18:19" x14ac:dyDescent="0.25">
      <c r="R49" s="1133"/>
      <c r="S49" s="41" t="s">
        <v>121</v>
      </c>
    </row>
    <row r="50" spans="18:19" ht="30" x14ac:dyDescent="0.25">
      <c r="R50" s="1133"/>
      <c r="S50" s="41" t="s">
        <v>122</v>
      </c>
    </row>
    <row r="51" spans="18:19" ht="30" x14ac:dyDescent="0.25">
      <c r="R51" s="1133"/>
      <c r="S51" s="41" t="s">
        <v>123</v>
      </c>
    </row>
    <row r="52" spans="18:19" ht="45.75" thickBot="1" x14ac:dyDescent="0.3">
      <c r="R52" s="1134"/>
      <c r="S52" s="46" t="s">
        <v>124</v>
      </c>
    </row>
    <row r="53" spans="18:19" ht="30" x14ac:dyDescent="0.25">
      <c r="R53" s="1135" t="s">
        <v>125</v>
      </c>
      <c r="S53" s="40" t="s">
        <v>130</v>
      </c>
    </row>
    <row r="54" spans="18:19" ht="30" x14ac:dyDescent="0.25">
      <c r="R54" s="1133"/>
      <c r="S54" s="41" t="s">
        <v>137</v>
      </c>
    </row>
    <row r="55" spans="18:19" ht="45" x14ac:dyDescent="0.25">
      <c r="R55" s="1133"/>
      <c r="S55" s="41" t="s">
        <v>132</v>
      </c>
    </row>
    <row r="56" spans="18:19" ht="30" x14ac:dyDescent="0.25">
      <c r="R56" s="1133"/>
      <c r="S56" s="41" t="s">
        <v>138</v>
      </c>
    </row>
    <row r="57" spans="18:19" ht="30" x14ac:dyDescent="0.25">
      <c r="R57" s="1133"/>
      <c r="S57" s="41" t="s">
        <v>324</v>
      </c>
    </row>
    <row r="58" spans="18:19" ht="60" x14ac:dyDescent="0.25">
      <c r="R58" s="1133"/>
      <c r="S58" s="41" t="s">
        <v>325</v>
      </c>
    </row>
    <row r="59" spans="18:19" ht="45" x14ac:dyDescent="0.25">
      <c r="R59" s="1133"/>
      <c r="S59" s="41" t="s">
        <v>139</v>
      </c>
    </row>
    <row r="60" spans="18:19" ht="45" x14ac:dyDescent="0.25">
      <c r="R60" s="1133"/>
      <c r="S60" s="41" t="s">
        <v>326</v>
      </c>
    </row>
    <row r="61" spans="18:19" ht="30" x14ac:dyDescent="0.25">
      <c r="R61" s="1133"/>
      <c r="S61" s="41" t="s">
        <v>327</v>
      </c>
    </row>
    <row r="62" spans="18:19" ht="45" x14ac:dyDescent="0.25">
      <c r="R62" s="1133"/>
      <c r="S62" s="41" t="s">
        <v>141</v>
      </c>
    </row>
    <row r="63" spans="18:19" ht="45" x14ac:dyDescent="0.25">
      <c r="R63" s="1133"/>
      <c r="S63" s="43" t="s">
        <v>180</v>
      </c>
    </row>
    <row r="64" spans="18:19" x14ac:dyDescent="0.25">
      <c r="R64" s="1133"/>
      <c r="S64" s="43" t="s">
        <v>189</v>
      </c>
    </row>
    <row r="65" spans="18:19" ht="30" x14ac:dyDescent="0.25">
      <c r="R65" s="1133"/>
      <c r="S65" s="43" t="s">
        <v>235</v>
      </c>
    </row>
    <row r="66" spans="18:19" ht="60" x14ac:dyDescent="0.25">
      <c r="R66" s="1133"/>
      <c r="S66" s="47" t="s">
        <v>238</v>
      </c>
    </row>
    <row r="67" spans="18:19" ht="75" x14ac:dyDescent="0.25">
      <c r="R67" s="1133"/>
      <c r="S67" s="47" t="s">
        <v>237</v>
      </c>
    </row>
    <row r="68" spans="18:19" ht="45.75" thickBot="1" x14ac:dyDescent="0.3">
      <c r="R68" s="1133"/>
      <c r="S68" s="47" t="s">
        <v>236</v>
      </c>
    </row>
    <row r="69" spans="18:19" x14ac:dyDescent="0.25">
      <c r="R69" s="1124" t="s">
        <v>164</v>
      </c>
      <c r="S69" s="40" t="s">
        <v>174</v>
      </c>
    </row>
    <row r="70" spans="18:19" ht="45" x14ac:dyDescent="0.25">
      <c r="R70" s="1125"/>
      <c r="S70" s="41" t="s">
        <v>175</v>
      </c>
    </row>
    <row r="71" spans="18:19" x14ac:dyDescent="0.25">
      <c r="R71" s="1125"/>
      <c r="S71" s="41" t="s">
        <v>176</v>
      </c>
    </row>
    <row r="72" spans="18:19" ht="30" x14ac:dyDescent="0.25">
      <c r="R72" s="1125"/>
      <c r="S72" s="41" t="s">
        <v>161</v>
      </c>
    </row>
    <row r="73" spans="18:19" x14ac:dyDescent="0.25">
      <c r="R73" s="1125"/>
      <c r="S73" s="41" t="s">
        <v>162</v>
      </c>
    </row>
    <row r="74" spans="18:19" ht="30" x14ac:dyDescent="0.25">
      <c r="R74" s="1125"/>
      <c r="S74" s="41" t="s">
        <v>163</v>
      </c>
    </row>
    <row r="75" spans="18:19" ht="45" x14ac:dyDescent="0.25">
      <c r="R75" s="1125"/>
      <c r="S75" s="41" t="s">
        <v>177</v>
      </c>
    </row>
    <row r="76" spans="18:19" ht="15.75" thickBot="1" x14ac:dyDescent="0.3">
      <c r="R76" s="1126"/>
      <c r="S76" s="48"/>
    </row>
    <row r="77" spans="18:19" ht="30" x14ac:dyDescent="0.25">
      <c r="R77" s="1127" t="s">
        <v>1</v>
      </c>
      <c r="S77" s="49" t="s">
        <v>328</v>
      </c>
    </row>
    <row r="78" spans="18:19" ht="45" x14ac:dyDescent="0.25">
      <c r="R78" s="1128"/>
      <c r="S78" s="50" t="s">
        <v>239</v>
      </c>
    </row>
    <row r="79" spans="18:19" ht="30" x14ac:dyDescent="0.25">
      <c r="R79" s="1128"/>
      <c r="S79" s="50" t="s">
        <v>329</v>
      </c>
    </row>
    <row r="80" spans="18:19" ht="45.75" thickBot="1" x14ac:dyDescent="0.3">
      <c r="R80" s="1129"/>
      <c r="S80" s="50" t="s">
        <v>330</v>
      </c>
    </row>
    <row r="82" spans="21:21" x14ac:dyDescent="0.25">
      <c r="U82">
        <f>15/10</f>
        <v>1.5</v>
      </c>
    </row>
    <row r="83" spans="21:21" x14ac:dyDescent="0.25">
      <c r="U83">
        <f>1-U82</f>
        <v>-0.5</v>
      </c>
    </row>
  </sheetData>
  <mergeCells count="7">
    <mergeCell ref="R69:R76"/>
    <mergeCell ref="R77:R80"/>
    <mergeCell ref="A1:B1"/>
    <mergeCell ref="R19:R26"/>
    <mergeCell ref="R27:R47"/>
    <mergeCell ref="R48:R52"/>
    <mergeCell ref="R53:R68"/>
  </mergeCells>
  <dataValidations count="1">
    <dataValidation type="list" allowBlank="1" showInputMessage="1" showErrorMessage="1" sqref="S44" xr:uid="{00000000-0002-0000-0D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1000000}">
          <x14:formula1>
            <xm:f>'C:\Users\norela.briceno\AppData\Local\Microsoft\Windows\INetCache\Content.Outlook\FBI6K8AZ\[Copia de Plan Accion ADRES Vigencia 2018 con Cuadro de Mando.xlsx]TAB. REF. PA'!#REF!</xm:f>
          </x14:formula1>
          <xm:sqref>S44</xm:sqref>
        </x14:dataValidation>
        <x14:dataValidation type="list" allowBlank="1" showInputMessage="1" showErrorMessage="1" xr:uid="{00000000-0002-0000-0D00-000002000000}">
          <x14:formula1>
            <xm:f>'C:\Users\norela.briceno\Documents\Plan de acción\Plan Accion 2018\[Plan Accion Integrado ADRES Vigencia 2018 V3.xlsx]TAB. REF. PA'!#REF!</xm:f>
          </x14:formula1>
          <xm:sqref>R5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F2A3-89F5-4A08-A6A6-199D46BB30A9}">
  <dimension ref="A1:P18"/>
  <sheetViews>
    <sheetView workbookViewId="0">
      <selection activeCell="D21" sqref="D21"/>
    </sheetView>
  </sheetViews>
  <sheetFormatPr baseColWidth="10" defaultRowHeight="15" x14ac:dyDescent="0.25"/>
  <cols>
    <col min="1" max="1" width="39.140625" customWidth="1"/>
    <col min="2" max="2" width="15.7109375" customWidth="1"/>
    <col min="3" max="3" width="15.85546875" customWidth="1"/>
    <col min="4" max="4" width="18.140625" customWidth="1"/>
    <col min="5" max="5" width="16.28515625" customWidth="1"/>
    <col min="6" max="6" width="17.85546875" customWidth="1"/>
    <col min="7" max="7" width="18.140625" customWidth="1"/>
    <col min="8" max="8" width="16.7109375" customWidth="1"/>
    <col min="9" max="10" width="8.7109375" customWidth="1"/>
    <col min="11" max="11" width="22.5703125" customWidth="1"/>
  </cols>
  <sheetData>
    <row r="1" spans="1:16" ht="21" customHeight="1" x14ac:dyDescent="0.25">
      <c r="A1" s="133" t="s">
        <v>1069</v>
      </c>
      <c r="B1" s="134" t="s">
        <v>1072</v>
      </c>
      <c r="C1" s="134" t="s">
        <v>1073</v>
      </c>
      <c r="D1" s="134" t="s">
        <v>1074</v>
      </c>
      <c r="E1" s="134" t="s">
        <v>1071</v>
      </c>
      <c r="F1" s="134" t="s">
        <v>1078</v>
      </c>
      <c r="G1" s="134" t="s">
        <v>1070</v>
      </c>
      <c r="H1" s="134" t="s">
        <v>1076</v>
      </c>
      <c r="I1" s="134" t="s">
        <v>1075</v>
      </c>
      <c r="J1" s="134" t="s">
        <v>1077</v>
      </c>
      <c r="K1" s="135" t="s">
        <v>1088</v>
      </c>
    </row>
    <row r="2" spans="1:16" ht="28.5" x14ac:dyDescent="0.25">
      <c r="A2" s="126" t="s">
        <v>1079</v>
      </c>
      <c r="B2" s="123">
        <v>0</v>
      </c>
      <c r="C2" s="123">
        <v>0</v>
      </c>
      <c r="D2" s="123">
        <v>0</v>
      </c>
      <c r="E2" s="123"/>
      <c r="F2" s="123"/>
      <c r="G2" s="123">
        <v>3</v>
      </c>
      <c r="H2" s="123"/>
      <c r="I2" s="123"/>
      <c r="J2" s="123"/>
      <c r="K2" s="127">
        <f>SUM(B2:J2)</f>
        <v>3</v>
      </c>
    </row>
    <row r="3" spans="1:16" x14ac:dyDescent="0.25">
      <c r="A3" s="126" t="s">
        <v>1080</v>
      </c>
      <c r="B3" s="124">
        <v>905259596</v>
      </c>
      <c r="C3" s="124">
        <v>709814969</v>
      </c>
      <c r="D3" s="124">
        <v>40295380870</v>
      </c>
      <c r="E3" s="124">
        <v>1399424829</v>
      </c>
      <c r="F3" s="124">
        <v>12447687914</v>
      </c>
      <c r="G3" s="124">
        <v>1882022599</v>
      </c>
      <c r="H3" s="124">
        <v>2668206982</v>
      </c>
      <c r="I3" s="124">
        <v>0</v>
      </c>
      <c r="J3" s="124">
        <v>0</v>
      </c>
      <c r="K3" s="128">
        <f>SUM(B3:J3)</f>
        <v>60307797759</v>
      </c>
    </row>
    <row r="4" spans="1:16" x14ac:dyDescent="0.25">
      <c r="A4" s="126" t="s">
        <v>922</v>
      </c>
      <c r="B4" s="123">
        <v>0</v>
      </c>
      <c r="C4" s="123">
        <v>0</v>
      </c>
      <c r="D4" s="123">
        <v>0</v>
      </c>
      <c r="E4" s="123"/>
      <c r="F4" s="125"/>
      <c r="G4" s="125">
        <v>3</v>
      </c>
      <c r="H4" s="125"/>
      <c r="I4" s="125"/>
      <c r="J4" s="125"/>
      <c r="K4" s="127">
        <f t="shared" ref="K4:K13" si="0">SUM(B4:J4)</f>
        <v>3</v>
      </c>
    </row>
    <row r="5" spans="1:16" ht="28.5" x14ac:dyDescent="0.25">
      <c r="A5" s="126" t="s">
        <v>1081</v>
      </c>
      <c r="B5" s="123">
        <v>0</v>
      </c>
      <c r="C5" s="123">
        <v>0</v>
      </c>
      <c r="D5" s="123">
        <v>0</v>
      </c>
      <c r="E5" s="123"/>
      <c r="F5" s="125"/>
      <c r="G5" s="125"/>
      <c r="H5" s="125"/>
      <c r="I5" s="125"/>
      <c r="J5" s="125"/>
      <c r="K5" s="127">
        <f t="shared" si="0"/>
        <v>0</v>
      </c>
    </row>
    <row r="6" spans="1:16" x14ac:dyDescent="0.25">
      <c r="A6" s="126" t="s">
        <v>1082</v>
      </c>
      <c r="B6" s="123">
        <v>0</v>
      </c>
      <c r="C6" s="123">
        <v>0</v>
      </c>
      <c r="D6" s="123">
        <v>0</v>
      </c>
      <c r="E6" s="123"/>
      <c r="F6" s="125"/>
      <c r="G6" s="125"/>
      <c r="H6" s="125"/>
      <c r="I6" s="125"/>
      <c r="J6" s="125"/>
      <c r="K6" s="127">
        <f t="shared" si="0"/>
        <v>0</v>
      </c>
    </row>
    <row r="7" spans="1:16" x14ac:dyDescent="0.25">
      <c r="A7" s="126" t="s">
        <v>530</v>
      </c>
      <c r="B7" s="123">
        <v>0</v>
      </c>
      <c r="C7" s="123">
        <v>0</v>
      </c>
      <c r="D7" s="123">
        <v>0</v>
      </c>
      <c r="E7" s="123"/>
      <c r="F7" s="125">
        <v>1</v>
      </c>
      <c r="G7" s="125">
        <f>1+18</f>
        <v>19</v>
      </c>
      <c r="H7" s="125"/>
      <c r="I7" s="125"/>
      <c r="J7" s="125"/>
      <c r="K7" s="127">
        <f t="shared" si="0"/>
        <v>20</v>
      </c>
    </row>
    <row r="8" spans="1:16" x14ac:dyDescent="0.25">
      <c r="A8" s="126" t="s">
        <v>1083</v>
      </c>
      <c r="B8" s="123">
        <v>0</v>
      </c>
      <c r="C8" s="123">
        <v>0</v>
      </c>
      <c r="D8" s="123">
        <v>0</v>
      </c>
      <c r="E8" s="123"/>
      <c r="F8" s="125"/>
      <c r="G8" s="125">
        <v>9</v>
      </c>
      <c r="H8" s="125"/>
      <c r="I8" s="125"/>
      <c r="J8" s="125"/>
      <c r="K8" s="127">
        <f t="shared" si="0"/>
        <v>9</v>
      </c>
    </row>
    <row r="9" spans="1:16" ht="28.5" x14ac:dyDescent="0.25">
      <c r="A9" s="126" t="s">
        <v>1084</v>
      </c>
      <c r="B9" s="123">
        <v>0</v>
      </c>
      <c r="C9" s="123">
        <v>0</v>
      </c>
      <c r="D9" s="123">
        <v>0</v>
      </c>
      <c r="E9" s="123"/>
      <c r="F9" s="125"/>
      <c r="G9" s="125">
        <f>16+1+1+1</f>
        <v>19</v>
      </c>
      <c r="H9" s="125"/>
      <c r="I9" s="125"/>
      <c r="J9" s="125"/>
      <c r="K9" s="127">
        <f t="shared" si="0"/>
        <v>19</v>
      </c>
    </row>
    <row r="10" spans="1:16" ht="28.5" x14ac:dyDescent="0.25">
      <c r="A10" s="126" t="s">
        <v>338</v>
      </c>
      <c r="B10" s="123">
        <v>6</v>
      </c>
      <c r="C10" s="123">
        <v>0</v>
      </c>
      <c r="D10" s="123">
        <v>1</v>
      </c>
      <c r="E10" s="123"/>
      <c r="F10" s="125">
        <f>2+1</f>
        <v>3</v>
      </c>
      <c r="G10" s="125">
        <f>8+1</f>
        <v>9</v>
      </c>
      <c r="H10" s="125"/>
      <c r="I10" s="125">
        <v>8</v>
      </c>
      <c r="J10" s="125">
        <v>1</v>
      </c>
      <c r="K10" s="127">
        <f t="shared" si="0"/>
        <v>28</v>
      </c>
    </row>
    <row r="11" spans="1:16" ht="28.5" x14ac:dyDescent="0.25">
      <c r="A11" s="126" t="s">
        <v>333</v>
      </c>
      <c r="B11" s="123">
        <v>0</v>
      </c>
      <c r="C11" s="123">
        <v>0</v>
      </c>
      <c r="D11" s="123">
        <v>0</v>
      </c>
      <c r="E11" s="123"/>
      <c r="F11" s="125">
        <v>1</v>
      </c>
      <c r="G11" s="125"/>
      <c r="H11" s="125"/>
      <c r="I11" s="125"/>
      <c r="J11" s="125"/>
      <c r="K11" s="127">
        <f t="shared" si="0"/>
        <v>1</v>
      </c>
    </row>
    <row r="12" spans="1:16" ht="42.75" x14ac:dyDescent="0.25">
      <c r="A12" s="126" t="s">
        <v>1085</v>
      </c>
      <c r="B12" s="123">
        <v>0</v>
      </c>
      <c r="C12" s="123">
        <v>0</v>
      </c>
      <c r="D12" s="123">
        <v>0</v>
      </c>
      <c r="E12" s="123"/>
      <c r="F12" s="125">
        <v>2</v>
      </c>
      <c r="G12" s="125"/>
      <c r="H12" s="125"/>
      <c r="I12" s="125"/>
      <c r="J12" s="125"/>
      <c r="K12" s="127">
        <f t="shared" si="0"/>
        <v>2</v>
      </c>
    </row>
    <row r="13" spans="1:16" ht="28.5" x14ac:dyDescent="0.25">
      <c r="A13" s="126" t="s">
        <v>1086</v>
      </c>
      <c r="B13" s="123">
        <v>0</v>
      </c>
      <c r="C13" s="123">
        <v>0</v>
      </c>
      <c r="D13" s="123">
        <v>0</v>
      </c>
      <c r="E13" s="123"/>
      <c r="F13" s="125">
        <f>6+1+1</f>
        <v>8</v>
      </c>
      <c r="G13" s="125"/>
      <c r="H13" s="125"/>
      <c r="I13" s="125"/>
      <c r="J13" s="125"/>
      <c r="K13" s="127">
        <f t="shared" si="0"/>
        <v>8</v>
      </c>
    </row>
    <row r="14" spans="1:16" ht="15.75" thickBot="1" x14ac:dyDescent="0.3">
      <c r="A14" s="129" t="s">
        <v>1087</v>
      </c>
      <c r="B14" s="130">
        <v>2</v>
      </c>
      <c r="C14" s="130">
        <v>10</v>
      </c>
      <c r="D14" s="130">
        <v>9</v>
      </c>
      <c r="E14" s="130">
        <v>7</v>
      </c>
      <c r="F14" s="131">
        <f>13+1+1+6</f>
        <v>21</v>
      </c>
      <c r="G14" s="131">
        <v>6</v>
      </c>
      <c r="H14" s="131">
        <v>18</v>
      </c>
      <c r="I14" s="131">
        <v>3</v>
      </c>
      <c r="J14" s="131">
        <v>6</v>
      </c>
      <c r="K14" s="132">
        <f>SUM(B14:J14)</f>
        <v>82</v>
      </c>
    </row>
    <row r="15" spans="1:16" ht="6.75" customHeight="1" thickBot="1" x14ac:dyDescent="0.3">
      <c r="A15" s="113"/>
      <c r="B15" s="117"/>
      <c r="C15" s="117"/>
      <c r="D15" s="117"/>
      <c r="E15" s="117"/>
      <c r="F15" s="117"/>
      <c r="G15" s="117"/>
      <c r="H15" s="117"/>
      <c r="I15" s="117"/>
      <c r="J15" s="117"/>
      <c r="K15" s="117"/>
    </row>
    <row r="16" spans="1:16" ht="19.5" thickBot="1" x14ac:dyDescent="0.35">
      <c r="A16" s="118" t="s">
        <v>1089</v>
      </c>
      <c r="B16" s="121">
        <f>+B2+B4+B5+B6+B7+B8+B9+B10+B11+B12+B13+B14</f>
        <v>8</v>
      </c>
      <c r="C16" s="121">
        <f t="shared" ref="C16:J16" si="1">+C2+C4+C5+C6+C7+C8+C9+C10+C11+C12+C13+C14</f>
        <v>10</v>
      </c>
      <c r="D16" s="121">
        <f t="shared" si="1"/>
        <v>10</v>
      </c>
      <c r="E16" s="121">
        <f t="shared" si="1"/>
        <v>7</v>
      </c>
      <c r="F16" s="121">
        <f t="shared" si="1"/>
        <v>36</v>
      </c>
      <c r="G16" s="121">
        <f t="shared" si="1"/>
        <v>68</v>
      </c>
      <c r="H16" s="121">
        <f t="shared" si="1"/>
        <v>18</v>
      </c>
      <c r="I16" s="121">
        <f t="shared" si="1"/>
        <v>11</v>
      </c>
      <c r="J16" s="121">
        <f t="shared" si="1"/>
        <v>7</v>
      </c>
      <c r="K16" s="122">
        <f>+K2+K4+K5+K6+K7+K8+K9+K10+K11+K12+K13+K14</f>
        <v>175</v>
      </c>
      <c r="L16" s="94"/>
      <c r="M16" s="94"/>
      <c r="N16" s="94"/>
      <c r="O16" s="94"/>
      <c r="P16" s="94"/>
    </row>
    <row r="17" spans="1:14" ht="5.25" customHeight="1" thickBot="1" x14ac:dyDescent="0.35">
      <c r="K17" s="114"/>
    </row>
    <row r="18" spans="1:14" ht="19.5" thickBot="1" x14ac:dyDescent="0.35">
      <c r="A18" s="118" t="s">
        <v>1090</v>
      </c>
      <c r="B18" s="119">
        <f t="shared" ref="B18:K18" si="2">+B3</f>
        <v>905259596</v>
      </c>
      <c r="C18" s="119">
        <f t="shared" si="2"/>
        <v>709814969</v>
      </c>
      <c r="D18" s="119">
        <f t="shared" si="2"/>
        <v>40295380870</v>
      </c>
      <c r="E18" s="119">
        <f t="shared" si="2"/>
        <v>1399424829</v>
      </c>
      <c r="F18" s="119">
        <f t="shared" si="2"/>
        <v>12447687914</v>
      </c>
      <c r="G18" s="119">
        <f t="shared" si="2"/>
        <v>1882022599</v>
      </c>
      <c r="H18" s="119">
        <f t="shared" si="2"/>
        <v>2668206982</v>
      </c>
      <c r="I18" s="119">
        <f t="shared" si="2"/>
        <v>0</v>
      </c>
      <c r="J18" s="119">
        <f t="shared" si="2"/>
        <v>0</v>
      </c>
      <c r="K18" s="120">
        <f t="shared" si="2"/>
        <v>60307797759</v>
      </c>
      <c r="L18" s="62"/>
      <c r="M18" s="62"/>
      <c r="N18" s="6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D616D-F878-43ED-A865-AB24834D7F5B}">
  <dimension ref="A2:J10"/>
  <sheetViews>
    <sheetView topLeftCell="A7" workbookViewId="0">
      <selection activeCell="C10" sqref="C10"/>
    </sheetView>
  </sheetViews>
  <sheetFormatPr baseColWidth="10" defaultRowHeight="15" x14ac:dyDescent="0.25"/>
  <cols>
    <col min="2" max="2" width="13.28515625" bestFit="1" customWidth="1"/>
    <col min="3" max="3" width="62.42578125" customWidth="1"/>
    <col min="4" max="4" width="23.85546875" customWidth="1"/>
    <col min="5" max="5" width="18.85546875" customWidth="1"/>
    <col min="6" max="6" width="19.42578125" customWidth="1"/>
    <col min="7" max="7" width="18.28515625" customWidth="1"/>
    <col min="8" max="8" width="1.28515625" customWidth="1"/>
    <col min="9" max="9" width="0" style="526" hidden="1" customWidth="1"/>
    <col min="10" max="10" width="38.5703125" style="526" hidden="1" customWidth="1"/>
    <col min="11" max="11" width="36.140625" customWidth="1"/>
  </cols>
  <sheetData>
    <row r="2" spans="1:10" x14ac:dyDescent="0.25">
      <c r="A2" s="1137" t="s">
        <v>1358</v>
      </c>
      <c r="B2" s="1137"/>
      <c r="C2" s="1137"/>
      <c r="D2" s="1137"/>
      <c r="E2" s="1137"/>
      <c r="F2" s="1137"/>
      <c r="G2" s="1137"/>
    </row>
    <row r="3" spans="1:10" x14ac:dyDescent="0.25">
      <c r="A3" s="22"/>
      <c r="B3" s="22"/>
      <c r="C3" s="22"/>
      <c r="D3" s="22"/>
      <c r="E3" s="22"/>
      <c r="F3" s="22"/>
      <c r="G3" s="22"/>
    </row>
    <row r="4" spans="1:10" x14ac:dyDescent="0.25">
      <c r="A4" s="522" t="s">
        <v>1359</v>
      </c>
      <c r="B4" s="522" t="s">
        <v>1360</v>
      </c>
      <c r="C4" s="522" t="s">
        <v>1361</v>
      </c>
      <c r="D4" s="522" t="s">
        <v>1362</v>
      </c>
      <c r="E4" s="522" t="s">
        <v>1363</v>
      </c>
      <c r="F4" s="522" t="s">
        <v>1364</v>
      </c>
      <c r="G4" s="522" t="s">
        <v>1365</v>
      </c>
      <c r="I4" s="1136" t="s">
        <v>1372</v>
      </c>
      <c r="J4" s="1136"/>
    </row>
    <row r="5" spans="1:10" ht="76.5" x14ac:dyDescent="0.25">
      <c r="A5" s="523">
        <v>1</v>
      </c>
      <c r="B5" s="622">
        <v>43495</v>
      </c>
      <c r="C5" s="524" t="s">
        <v>1366</v>
      </c>
      <c r="D5" s="524" t="s">
        <v>1367</v>
      </c>
      <c r="E5" s="525" t="s">
        <v>233</v>
      </c>
      <c r="F5" s="525" t="s">
        <v>1369</v>
      </c>
      <c r="G5" s="525" t="s">
        <v>1369</v>
      </c>
    </row>
    <row r="6" spans="1:10" ht="183.75" customHeight="1" x14ac:dyDescent="0.25">
      <c r="A6" s="1141">
        <v>2</v>
      </c>
      <c r="B6" s="1140">
        <v>43552</v>
      </c>
      <c r="C6" s="525" t="s">
        <v>1426</v>
      </c>
      <c r="D6" s="1138" t="s">
        <v>1368</v>
      </c>
      <c r="E6" s="1139" t="s">
        <v>1370</v>
      </c>
      <c r="F6" s="1139" t="s">
        <v>1371</v>
      </c>
      <c r="G6" s="1139" t="s">
        <v>1425</v>
      </c>
      <c r="H6">
        <v>0</v>
      </c>
    </row>
    <row r="7" spans="1:10" ht="76.5" x14ac:dyDescent="0.25">
      <c r="A7" s="1141"/>
      <c r="B7" s="1140"/>
      <c r="C7" s="525" t="s">
        <v>1420</v>
      </c>
      <c r="D7" s="1138"/>
      <c r="E7" s="1139"/>
      <c r="F7" s="1139"/>
      <c r="G7" s="1139"/>
      <c r="H7">
        <v>3</v>
      </c>
      <c r="I7" s="527" t="s">
        <v>1373</v>
      </c>
      <c r="J7" s="527" t="s">
        <v>1374</v>
      </c>
    </row>
    <row r="8" spans="1:10" ht="382.5" x14ac:dyDescent="0.25">
      <c r="A8" s="1141"/>
      <c r="B8" s="670">
        <v>43571</v>
      </c>
      <c r="C8" s="621" t="s">
        <v>1532</v>
      </c>
      <c r="D8" s="621" t="s">
        <v>1534</v>
      </c>
      <c r="E8" s="621" t="s">
        <v>1534</v>
      </c>
      <c r="F8" s="621" t="s">
        <v>1533</v>
      </c>
      <c r="G8" s="621" t="s">
        <v>1533</v>
      </c>
      <c r="I8" s="527"/>
      <c r="J8" s="527"/>
    </row>
    <row r="9" spans="1:10" ht="76.5" x14ac:dyDescent="0.25">
      <c r="A9" s="1141"/>
      <c r="B9" s="670">
        <v>43588</v>
      </c>
      <c r="C9" s="621" t="s">
        <v>1530</v>
      </c>
      <c r="D9" s="621" t="s">
        <v>1529</v>
      </c>
      <c r="E9" s="621" t="s">
        <v>1529</v>
      </c>
      <c r="F9" s="621" t="s">
        <v>1529</v>
      </c>
      <c r="G9" s="621" t="s">
        <v>1529</v>
      </c>
    </row>
    <row r="10" spans="1:10" ht="102" x14ac:dyDescent="0.25">
      <c r="A10" s="1141"/>
      <c r="B10" s="670">
        <v>43588</v>
      </c>
      <c r="C10" s="621" t="s">
        <v>1565</v>
      </c>
      <c r="D10" s="621" t="s">
        <v>1563</v>
      </c>
      <c r="E10" s="669" t="s">
        <v>1563</v>
      </c>
      <c r="F10" s="669" t="s">
        <v>1563</v>
      </c>
      <c r="G10" s="621" t="s">
        <v>1564</v>
      </c>
    </row>
  </sheetData>
  <mergeCells count="8">
    <mergeCell ref="I4:J4"/>
    <mergeCell ref="A2:G2"/>
    <mergeCell ref="D6:D7"/>
    <mergeCell ref="E6:E7"/>
    <mergeCell ref="F6:F7"/>
    <mergeCell ref="G6:G7"/>
    <mergeCell ref="B6:B7"/>
    <mergeCell ref="A6:A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U36"/>
  <sheetViews>
    <sheetView topLeftCell="AG1" zoomScale="70" zoomScaleNormal="70" workbookViewId="0">
      <selection activeCell="B9" sqref="B9"/>
    </sheetView>
  </sheetViews>
  <sheetFormatPr baseColWidth="10" defaultRowHeight="12.75" x14ac:dyDescent="0.2"/>
  <cols>
    <col min="1" max="1" width="17.85546875" style="22" customWidth="1"/>
    <col min="2" max="2" width="20.42578125" style="22" customWidth="1"/>
    <col min="3" max="3" width="15.42578125" style="22" customWidth="1"/>
    <col min="4" max="5" width="8" style="22" customWidth="1"/>
    <col min="6" max="6" width="16.5703125" style="22" customWidth="1"/>
    <col min="7" max="7" width="30.5703125" style="22" customWidth="1"/>
    <col min="8" max="8" width="18.5703125" style="22" customWidth="1"/>
    <col min="9" max="9" width="40.5703125" style="22" customWidth="1"/>
    <col min="10" max="10" width="14" style="22" customWidth="1"/>
    <col min="11" max="11" width="32.5703125" style="22" customWidth="1"/>
    <col min="12" max="12" width="14.85546875" style="168" customWidth="1"/>
    <col min="13" max="13" width="15" style="22" customWidth="1"/>
    <col min="14" max="14" width="14.5703125" style="22" customWidth="1"/>
    <col min="15" max="15" width="56.5703125" style="22" customWidth="1"/>
    <col min="16" max="16" width="24.140625" style="22" customWidth="1"/>
    <col min="17" max="17" width="17.28515625" style="22" customWidth="1"/>
    <col min="18" max="18" width="21.42578125" style="22" customWidth="1"/>
    <col min="19" max="19" width="23.7109375" style="22" customWidth="1"/>
    <col min="20" max="20" width="25.7109375" style="22" customWidth="1"/>
    <col min="21" max="21" width="35" style="22" customWidth="1"/>
    <col min="22" max="22" width="19.140625" style="22" customWidth="1"/>
    <col min="23" max="23" width="33.7109375" style="22" customWidth="1"/>
    <col min="24" max="24" width="31" style="22" customWidth="1"/>
    <col min="25" max="25" width="28.28515625" style="22" customWidth="1"/>
    <col min="26" max="26" width="14.5703125" style="22" customWidth="1"/>
    <col min="27" max="27" width="35.7109375" style="22" customWidth="1"/>
    <col min="28" max="28" width="27.7109375" style="22" customWidth="1"/>
    <col min="29" max="29" width="25.7109375" style="22" customWidth="1"/>
    <col min="30" max="30" width="13.85546875" style="86" customWidth="1"/>
    <col min="31" max="31" width="35.7109375" style="86" customWidth="1"/>
    <col min="32" max="32" width="27.7109375" style="86" customWidth="1"/>
    <col min="33" max="33" width="13.5703125" style="86" customWidth="1"/>
    <col min="34" max="34" width="27.7109375" style="86" customWidth="1"/>
    <col min="35" max="35" width="11.42578125" style="86" customWidth="1"/>
    <col min="36" max="36" width="15.7109375" style="86" customWidth="1"/>
    <col min="37" max="37" width="11.42578125" style="86" customWidth="1"/>
    <col min="38" max="38" width="15.7109375" style="86" customWidth="1"/>
    <col min="39" max="39" width="50.7109375" style="86" customWidth="1"/>
    <col min="40" max="40" width="13.7109375" style="86" hidden="1" customWidth="1"/>
    <col min="41" max="41" width="35.7109375" style="86" hidden="1" customWidth="1"/>
    <col min="42" max="42" width="27.7109375" style="86" hidden="1" customWidth="1"/>
    <col min="43" max="43" width="17.140625" style="86" hidden="1" customWidth="1"/>
    <col min="44" max="44" width="27.7109375" style="86" hidden="1" customWidth="1"/>
    <col min="45" max="45" width="13.7109375" style="86" hidden="1" customWidth="1"/>
    <col min="46" max="46" width="15.7109375" style="86" hidden="1" customWidth="1"/>
    <col min="47" max="47" width="13.7109375" style="86" hidden="1" customWidth="1"/>
    <col min="48" max="48" width="15.7109375" style="86" hidden="1" customWidth="1"/>
    <col min="49" max="49" width="50.7109375" style="86" hidden="1" customWidth="1"/>
    <col min="50" max="50" width="13.7109375" style="86" hidden="1" customWidth="1"/>
    <col min="51" max="51" width="35.7109375" style="86" hidden="1" customWidth="1"/>
    <col min="52" max="52" width="27.7109375" style="86" hidden="1" customWidth="1"/>
    <col min="53" max="53" width="18" style="86" hidden="1" customWidth="1"/>
    <col min="54" max="54" width="27.7109375" style="86" hidden="1" customWidth="1"/>
    <col min="55" max="55" width="13.7109375" style="86" hidden="1" customWidth="1"/>
    <col min="56" max="56" width="15.7109375" style="86" hidden="1" customWidth="1"/>
    <col min="57" max="57" width="13.7109375" style="86" hidden="1" customWidth="1"/>
    <col min="58" max="58" width="15.7109375" style="86" hidden="1" customWidth="1"/>
    <col min="59" max="59" width="50.7109375" style="86" hidden="1" customWidth="1"/>
    <col min="60" max="60" width="13.7109375" style="86" hidden="1" customWidth="1"/>
    <col min="61" max="61" width="35.7109375" style="86" hidden="1" customWidth="1"/>
    <col min="62" max="62" width="27.7109375" style="86" hidden="1" customWidth="1"/>
    <col min="63" max="63" width="13.7109375" style="86" hidden="1" customWidth="1"/>
    <col min="64" max="64" width="27.7109375" style="86" hidden="1" customWidth="1"/>
    <col min="65" max="65" width="13.7109375" style="86" hidden="1" customWidth="1"/>
    <col min="66" max="66" width="15.7109375" style="86" hidden="1" customWidth="1"/>
    <col min="67" max="67" width="13.7109375" style="86" hidden="1" customWidth="1"/>
    <col min="68" max="68" width="15.7109375" style="86" hidden="1" customWidth="1"/>
    <col min="69" max="69" width="50.7109375" style="86" hidden="1" customWidth="1"/>
    <col min="70" max="70" width="13.7109375" style="86" customWidth="1"/>
    <col min="71" max="71" width="15.7109375" style="86" customWidth="1"/>
    <col min="72" max="72" width="15.42578125" style="86" customWidth="1"/>
    <col min="73" max="73" width="15.7109375" style="86" customWidth="1"/>
    <col min="74" max="74" width="13.7109375" style="86" customWidth="1"/>
    <col min="75" max="75" width="15.7109375" style="86" customWidth="1"/>
    <col min="76" max="76" width="13.7109375" style="86" customWidth="1"/>
    <col min="77" max="77" width="15.7109375" style="86" customWidth="1"/>
    <col min="78" max="78" width="11.42578125" style="86" hidden="1" customWidth="1"/>
    <col min="79" max="16384" width="11.42578125" style="86"/>
  </cols>
  <sheetData>
    <row r="1" spans="1:229" ht="22.5" customHeight="1" x14ac:dyDescent="0.2">
      <c r="A1" s="734"/>
      <c r="B1" s="735"/>
      <c r="C1" s="740" t="s">
        <v>248</v>
      </c>
      <c r="D1" s="741"/>
      <c r="E1" s="741"/>
      <c r="F1" s="741"/>
      <c r="G1" s="741"/>
      <c r="H1" s="741"/>
      <c r="I1" s="741"/>
      <c r="J1" s="742"/>
      <c r="K1" s="743" t="s">
        <v>249</v>
      </c>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4"/>
      <c r="BV1" s="802"/>
      <c r="BW1" s="803"/>
      <c r="BX1" s="803"/>
      <c r="BY1" s="803"/>
    </row>
    <row r="2" spans="1:229" ht="24" customHeight="1" x14ac:dyDescent="0.2">
      <c r="A2" s="736"/>
      <c r="B2" s="737"/>
      <c r="C2" s="761" t="s">
        <v>250</v>
      </c>
      <c r="D2" s="762"/>
      <c r="E2" s="762"/>
      <c r="F2" s="762"/>
      <c r="G2" s="762"/>
      <c r="H2" s="762"/>
      <c r="I2" s="762"/>
      <c r="J2" s="763"/>
      <c r="K2" s="764" t="s">
        <v>256</v>
      </c>
      <c r="L2" s="766" t="s">
        <v>252</v>
      </c>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t="s">
        <v>251</v>
      </c>
      <c r="BU2" s="768">
        <v>2</v>
      </c>
      <c r="BV2" s="804"/>
      <c r="BW2" s="805"/>
      <c r="BX2" s="805"/>
      <c r="BY2" s="805"/>
    </row>
    <row r="3" spans="1:229" ht="25.5" customHeight="1" thickBot="1" x14ac:dyDescent="0.25">
      <c r="A3" s="738"/>
      <c r="B3" s="739"/>
      <c r="C3" s="770" t="s">
        <v>244</v>
      </c>
      <c r="D3" s="771"/>
      <c r="E3" s="771"/>
      <c r="F3" s="771"/>
      <c r="G3" s="771"/>
      <c r="H3" s="771"/>
      <c r="I3" s="771"/>
      <c r="J3" s="772"/>
      <c r="K3" s="765"/>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c r="BF3" s="767"/>
      <c r="BG3" s="767"/>
      <c r="BH3" s="767"/>
      <c r="BI3" s="767"/>
      <c r="BJ3" s="767"/>
      <c r="BK3" s="767"/>
      <c r="BL3" s="767"/>
      <c r="BM3" s="767"/>
      <c r="BN3" s="767"/>
      <c r="BO3" s="767"/>
      <c r="BP3" s="767"/>
      <c r="BQ3" s="767"/>
      <c r="BR3" s="767"/>
      <c r="BS3" s="767"/>
      <c r="BT3" s="767"/>
      <c r="BU3" s="769"/>
      <c r="BV3" s="806"/>
      <c r="BW3" s="807"/>
      <c r="BX3" s="807"/>
      <c r="BY3" s="807"/>
    </row>
    <row r="4" spans="1:229" x14ac:dyDescent="0.2">
      <c r="G4" s="165"/>
      <c r="H4" s="165"/>
      <c r="I4" s="165"/>
      <c r="J4" s="165"/>
      <c r="K4" s="165"/>
      <c r="L4" s="165"/>
      <c r="M4" s="165"/>
      <c r="N4" s="165"/>
      <c r="O4" s="165"/>
      <c r="P4" s="165"/>
      <c r="Q4" s="165"/>
      <c r="R4" s="165"/>
    </row>
    <row r="5" spans="1:229" x14ac:dyDescent="0.2">
      <c r="A5" s="166" t="s">
        <v>348</v>
      </c>
      <c r="G5" s="751"/>
      <c r="H5" s="751"/>
      <c r="I5" s="751"/>
      <c r="J5" s="751"/>
      <c r="K5" s="751"/>
      <c r="L5" s="751"/>
      <c r="M5" s="751"/>
      <c r="N5" s="751"/>
      <c r="O5" s="751"/>
      <c r="P5" s="751"/>
      <c r="Q5" s="751"/>
      <c r="R5" s="751"/>
      <c r="T5" s="167"/>
    </row>
    <row r="6" spans="1:229" ht="13.5" thickBot="1" x14ac:dyDescent="0.25">
      <c r="A6" s="166"/>
      <c r="G6" s="210"/>
      <c r="H6" s="210"/>
      <c r="I6" s="210"/>
      <c r="J6" s="210"/>
      <c r="K6" s="210"/>
      <c r="L6" s="210"/>
      <c r="M6" s="210"/>
      <c r="N6" s="210"/>
      <c r="O6" s="210"/>
      <c r="P6" s="210"/>
      <c r="Q6" s="210"/>
      <c r="R6" s="210"/>
      <c r="T6" s="167"/>
    </row>
    <row r="7" spans="1:229" ht="29.25" customHeight="1" thickBot="1" x14ac:dyDescent="0.25">
      <c r="A7" s="774" t="s">
        <v>30</v>
      </c>
      <c r="B7" s="706" t="s">
        <v>31</v>
      </c>
      <c r="C7" s="706" t="s">
        <v>257</v>
      </c>
      <c r="D7" s="706" t="s">
        <v>257</v>
      </c>
      <c r="E7" s="706"/>
      <c r="F7" s="706" t="s">
        <v>57</v>
      </c>
      <c r="G7" s="706" t="s">
        <v>259</v>
      </c>
      <c r="H7" s="706" t="s">
        <v>258</v>
      </c>
      <c r="I7" s="706" t="s">
        <v>260</v>
      </c>
      <c r="J7" s="706" t="s">
        <v>32</v>
      </c>
      <c r="K7" s="706" t="s">
        <v>49</v>
      </c>
      <c r="L7" s="706" t="s">
        <v>35</v>
      </c>
      <c r="M7" s="706" t="s">
        <v>8</v>
      </c>
      <c r="N7" s="706" t="s">
        <v>33</v>
      </c>
      <c r="O7" s="706" t="s">
        <v>50</v>
      </c>
      <c r="P7" s="706" t="s">
        <v>152</v>
      </c>
      <c r="Q7" s="706" t="s">
        <v>5</v>
      </c>
      <c r="R7" s="706" t="s">
        <v>37</v>
      </c>
      <c r="S7" s="706" t="s">
        <v>36</v>
      </c>
      <c r="T7" s="706" t="s">
        <v>38</v>
      </c>
      <c r="U7" s="706" t="s">
        <v>39</v>
      </c>
      <c r="V7" s="706" t="s">
        <v>6</v>
      </c>
      <c r="W7" s="706" t="s">
        <v>1387</v>
      </c>
      <c r="X7" s="706" t="s">
        <v>0</v>
      </c>
      <c r="Y7" s="706" t="s">
        <v>34</v>
      </c>
      <c r="Z7" s="706" t="s">
        <v>8</v>
      </c>
      <c r="AA7" s="706" t="s">
        <v>190</v>
      </c>
      <c r="AB7" s="706" t="s">
        <v>152</v>
      </c>
      <c r="AC7" s="708" t="s">
        <v>9</v>
      </c>
      <c r="AD7" s="746" t="s">
        <v>192</v>
      </c>
      <c r="AE7" s="746"/>
      <c r="AF7" s="746"/>
      <c r="AG7" s="746"/>
      <c r="AH7" s="746"/>
      <c r="AI7" s="746"/>
      <c r="AJ7" s="746"/>
      <c r="AK7" s="746"/>
      <c r="AL7" s="746"/>
      <c r="AM7" s="747"/>
      <c r="AN7" s="748" t="s">
        <v>194</v>
      </c>
      <c r="AO7" s="749"/>
      <c r="AP7" s="749"/>
      <c r="AQ7" s="749"/>
      <c r="AR7" s="749"/>
      <c r="AS7" s="749"/>
      <c r="AT7" s="749"/>
      <c r="AU7" s="749"/>
      <c r="AV7" s="749"/>
      <c r="AW7" s="750"/>
      <c r="AX7" s="745" t="s">
        <v>193</v>
      </c>
      <c r="AY7" s="746"/>
      <c r="AZ7" s="746"/>
      <c r="BA7" s="746"/>
      <c r="BB7" s="746"/>
      <c r="BC7" s="746"/>
      <c r="BD7" s="746"/>
      <c r="BE7" s="746"/>
      <c r="BF7" s="746"/>
      <c r="BG7" s="747"/>
      <c r="BH7" s="748" t="s">
        <v>195</v>
      </c>
      <c r="BI7" s="749"/>
      <c r="BJ7" s="749"/>
      <c r="BK7" s="749"/>
      <c r="BL7" s="749"/>
      <c r="BM7" s="749"/>
      <c r="BN7" s="749"/>
      <c r="BO7" s="749"/>
      <c r="BP7" s="749"/>
      <c r="BQ7" s="750"/>
      <c r="BR7" s="752" t="s">
        <v>1262</v>
      </c>
      <c r="BS7" s="753"/>
      <c r="BT7" s="753"/>
      <c r="BU7" s="753"/>
      <c r="BV7" s="753"/>
      <c r="BW7" s="753"/>
      <c r="BX7" s="753"/>
      <c r="BY7" s="754"/>
    </row>
    <row r="8" spans="1:229" s="199" customFormat="1" ht="40.5" customHeight="1" thickBot="1" x14ac:dyDescent="0.25">
      <c r="A8" s="775"/>
      <c r="B8" s="707"/>
      <c r="C8" s="707"/>
      <c r="D8" s="223">
        <v>2</v>
      </c>
      <c r="E8" s="223">
        <v>3</v>
      </c>
      <c r="F8" s="707"/>
      <c r="G8" s="707"/>
      <c r="H8" s="707"/>
      <c r="I8" s="707"/>
      <c r="J8" s="707"/>
      <c r="K8" s="707"/>
      <c r="L8" s="707"/>
      <c r="M8" s="707"/>
      <c r="N8" s="707"/>
      <c r="O8" s="707"/>
      <c r="P8" s="707"/>
      <c r="Q8" s="707"/>
      <c r="R8" s="707"/>
      <c r="S8" s="707"/>
      <c r="T8" s="707"/>
      <c r="U8" s="707"/>
      <c r="V8" s="707"/>
      <c r="W8" s="707"/>
      <c r="X8" s="707"/>
      <c r="Y8" s="707"/>
      <c r="Z8" s="707"/>
      <c r="AA8" s="707"/>
      <c r="AB8" s="707"/>
      <c r="AC8" s="709"/>
      <c r="AD8" s="222" t="s">
        <v>8</v>
      </c>
      <c r="AE8" s="173" t="s">
        <v>50</v>
      </c>
      <c r="AF8" s="173" t="s">
        <v>152</v>
      </c>
      <c r="AG8" s="173" t="s">
        <v>8</v>
      </c>
      <c r="AH8" s="173" t="s">
        <v>152</v>
      </c>
      <c r="AI8" s="173" t="s">
        <v>7</v>
      </c>
      <c r="AJ8" s="173" t="s">
        <v>10</v>
      </c>
      <c r="AK8" s="173" t="s">
        <v>7</v>
      </c>
      <c r="AL8" s="173" t="s">
        <v>10</v>
      </c>
      <c r="AM8" s="173" t="s">
        <v>191</v>
      </c>
      <c r="AN8" s="170" t="s">
        <v>8</v>
      </c>
      <c r="AO8" s="170" t="s">
        <v>50</v>
      </c>
      <c r="AP8" s="170" t="s">
        <v>152</v>
      </c>
      <c r="AQ8" s="170" t="s">
        <v>8</v>
      </c>
      <c r="AR8" s="170" t="s">
        <v>152</v>
      </c>
      <c r="AS8" s="170" t="s">
        <v>7</v>
      </c>
      <c r="AT8" s="170" t="s">
        <v>10</v>
      </c>
      <c r="AU8" s="170" t="s">
        <v>7</v>
      </c>
      <c r="AV8" s="170" t="s">
        <v>10</v>
      </c>
      <c r="AW8" s="170" t="s">
        <v>191</v>
      </c>
      <c r="AX8" s="173" t="s">
        <v>8</v>
      </c>
      <c r="AY8" s="173" t="s">
        <v>50</v>
      </c>
      <c r="AZ8" s="173" t="s">
        <v>152</v>
      </c>
      <c r="BA8" s="173" t="s">
        <v>8</v>
      </c>
      <c r="BB8" s="173" t="s">
        <v>152</v>
      </c>
      <c r="BC8" s="173" t="s">
        <v>7</v>
      </c>
      <c r="BD8" s="173" t="s">
        <v>10</v>
      </c>
      <c r="BE8" s="173" t="s">
        <v>7</v>
      </c>
      <c r="BF8" s="173" t="s">
        <v>10</v>
      </c>
      <c r="BG8" s="173" t="s">
        <v>191</v>
      </c>
      <c r="BH8" s="170" t="s">
        <v>8</v>
      </c>
      <c r="BI8" s="170" t="s">
        <v>50</v>
      </c>
      <c r="BJ8" s="170" t="s">
        <v>152</v>
      </c>
      <c r="BK8" s="170" t="s">
        <v>8</v>
      </c>
      <c r="BL8" s="170" t="s">
        <v>152</v>
      </c>
      <c r="BM8" s="170" t="s">
        <v>7</v>
      </c>
      <c r="BN8" s="170" t="s">
        <v>10</v>
      </c>
      <c r="BO8" s="170" t="s">
        <v>7</v>
      </c>
      <c r="BP8" s="170" t="s">
        <v>10</v>
      </c>
      <c r="BQ8" s="170" t="s">
        <v>191</v>
      </c>
      <c r="BR8" s="174" t="s">
        <v>7</v>
      </c>
      <c r="BS8" s="174" t="s">
        <v>10</v>
      </c>
      <c r="BT8" s="174" t="s">
        <v>7</v>
      </c>
      <c r="BU8" s="174" t="s">
        <v>10</v>
      </c>
      <c r="BV8" s="174" t="s">
        <v>7</v>
      </c>
      <c r="BW8" s="174" t="s">
        <v>10</v>
      </c>
      <c r="BX8" s="174" t="s">
        <v>7</v>
      </c>
      <c r="BY8" s="174" t="s">
        <v>10</v>
      </c>
    </row>
    <row r="9" spans="1:229" s="75" customFormat="1" ht="178.5" x14ac:dyDescent="0.2">
      <c r="A9" s="201">
        <v>11900</v>
      </c>
      <c r="B9" s="200" t="s">
        <v>125</v>
      </c>
      <c r="C9" s="200" t="s">
        <v>332</v>
      </c>
      <c r="D9" s="215" t="s">
        <v>1108</v>
      </c>
      <c r="E9" s="215" t="s">
        <v>1108</v>
      </c>
      <c r="F9" s="201" t="s">
        <v>126</v>
      </c>
      <c r="G9" s="200" t="s">
        <v>60</v>
      </c>
      <c r="H9" s="200" t="s">
        <v>206</v>
      </c>
      <c r="I9" s="200" t="s">
        <v>206</v>
      </c>
      <c r="J9" s="201" t="s">
        <v>150</v>
      </c>
      <c r="K9" s="200" t="s">
        <v>445</v>
      </c>
      <c r="L9" s="203" t="s">
        <v>514</v>
      </c>
      <c r="M9" s="213">
        <v>4400</v>
      </c>
      <c r="N9" s="201" t="s">
        <v>128</v>
      </c>
      <c r="O9" s="214" t="s">
        <v>350</v>
      </c>
      <c r="P9" s="204">
        <v>53164884</v>
      </c>
      <c r="Q9" s="206">
        <v>1</v>
      </c>
      <c r="R9" s="200" t="s">
        <v>17</v>
      </c>
      <c r="S9" s="200" t="s">
        <v>26</v>
      </c>
      <c r="T9" s="200" t="s">
        <v>674</v>
      </c>
      <c r="U9" s="200" t="s">
        <v>676</v>
      </c>
      <c r="V9" s="200" t="s">
        <v>1133</v>
      </c>
      <c r="W9" s="529" t="s">
        <v>1388</v>
      </c>
      <c r="X9" s="200" t="s">
        <v>515</v>
      </c>
      <c r="Y9" s="200" t="s">
        <v>206</v>
      </c>
      <c r="Z9" s="213">
        <v>4400</v>
      </c>
      <c r="AA9" s="200" t="str">
        <f>+O9</f>
        <v>Adelantar las actuaciones administrativas y operativas del proceso de Cobro Coactivo, encaminadas a lograr el cobro efectivo de las acreencias por todo concepto a favor de la Administradora de los Recursos del Sistema General de Seguridad Social en Salud – ADRES.</v>
      </c>
      <c r="AB9" s="205">
        <f>+P9</f>
        <v>53164884</v>
      </c>
      <c r="AC9" s="214" t="s">
        <v>46</v>
      </c>
      <c r="AD9" s="66">
        <v>800</v>
      </c>
      <c r="AE9" s="144" t="str">
        <f t="shared" ref="AE9:AE15" si="0">+AA9</f>
        <v>Adelantar las actuaciones administrativas y operativas del proceso de Cobro Coactivo, encaminadas a lograr el cobro efectivo de las acreencias por todo concepto a favor de la Administradora de los Recursos del Sistema General de Seguridad Social en Salud – ADRES.</v>
      </c>
      <c r="AF9" s="111">
        <f>+AB9/4</f>
        <v>13291221</v>
      </c>
      <c r="AG9" s="590">
        <v>2287</v>
      </c>
      <c r="AH9" s="590" t="s">
        <v>1499</v>
      </c>
      <c r="AI9" s="71">
        <f t="shared" ref="AI9:AI15" si="1">+(AG9/AD9)</f>
        <v>2.8587500000000001</v>
      </c>
      <c r="AJ9" s="71">
        <f t="shared" ref="AJ9:AJ15" si="2">+(AH9/AF9)</f>
        <v>0.73333330323828039</v>
      </c>
      <c r="AK9" s="71">
        <f t="shared" ref="AK9:AK15" si="3">+(AG9/Z9)</f>
        <v>0.51977272727272728</v>
      </c>
      <c r="AL9" s="71">
        <f t="shared" ref="AL9:AL15" si="4">+(AH9/AB9)</f>
        <v>0.1833333258095701</v>
      </c>
      <c r="AM9" s="601" t="s">
        <v>1502</v>
      </c>
      <c r="AN9" s="66">
        <v>1200</v>
      </c>
      <c r="AO9" s="144" t="str">
        <f t="shared" ref="AO9:AO15" si="5">+AA9</f>
        <v>Adelantar las actuaciones administrativas y operativas del proceso de Cobro Coactivo, encaminadas a lograr el cobro efectivo de las acreencias por todo concepto a favor de la Administradora de los Recursos del Sistema General de Seguridad Social en Salud – ADRES.</v>
      </c>
      <c r="AP9" s="111">
        <f>+AB9/4</f>
        <v>13291221</v>
      </c>
      <c r="AQ9" s="155"/>
      <c r="AR9" s="155"/>
      <c r="AS9" s="71">
        <f t="shared" ref="AS9:AS15" si="6">+(AQ9/AN9)</f>
        <v>0</v>
      </c>
      <c r="AT9" s="71">
        <f t="shared" ref="AT9:AT15" si="7">+(AR9/AP9)</f>
        <v>0</v>
      </c>
      <c r="AU9" s="71">
        <f t="shared" ref="AU9:AU15" si="8">+(AQ9+AG9)/Z9</f>
        <v>0.51977272727272728</v>
      </c>
      <c r="AV9" s="71">
        <f t="shared" ref="AV9:AV15" si="9">+(AR9+AH9)/AB9</f>
        <v>0.1833333258095701</v>
      </c>
      <c r="AW9" s="71"/>
      <c r="AX9" s="66">
        <v>1200</v>
      </c>
      <c r="AY9" s="144" t="str">
        <f t="shared" ref="AY9:AY15" si="10">+AA9</f>
        <v>Adelantar las actuaciones administrativas y operativas del proceso de Cobro Coactivo, encaminadas a lograr el cobro efectivo de las acreencias por todo concepto a favor de la Administradora de los Recursos del Sistema General de Seguridad Social en Salud – ADRES.</v>
      </c>
      <c r="AZ9" s="111">
        <f>+AB9/4</f>
        <v>13291221</v>
      </c>
      <c r="BA9" s="73"/>
      <c r="BB9" s="73"/>
      <c r="BC9" s="71">
        <f t="shared" ref="BC9:BC15" si="11">+(BA9/AX9)</f>
        <v>0</v>
      </c>
      <c r="BD9" s="71">
        <f t="shared" ref="BD9:BD15" si="12">+(BB9/AZ9)</f>
        <v>0</v>
      </c>
      <c r="BE9" s="71">
        <f t="shared" ref="BE9:BE15" si="13">+(AQ9+AG9+BA9)/Z9</f>
        <v>0.51977272727272728</v>
      </c>
      <c r="BF9" s="71">
        <f t="shared" ref="BF9:BF15" si="14">+(AR9+AH9+BB9)/AB9</f>
        <v>0.1833333258095701</v>
      </c>
      <c r="BG9" s="71"/>
      <c r="BH9" s="66">
        <v>1200</v>
      </c>
      <c r="BI9" s="144" t="str">
        <f t="shared" ref="BI9:BI15" si="15">+AA9</f>
        <v>Adelantar las actuaciones administrativas y operativas del proceso de Cobro Coactivo, encaminadas a lograr el cobro efectivo de las acreencias por todo concepto a favor de la Administradora de los Recursos del Sistema General de Seguridad Social en Salud – ADRES.</v>
      </c>
      <c r="BJ9" s="111">
        <f>+AB9/4</f>
        <v>13291221</v>
      </c>
      <c r="BK9" s="155"/>
      <c r="BL9" s="155"/>
      <c r="BM9" s="105">
        <f t="shared" ref="BM9:BM15" si="16">+(BK9/BH9)</f>
        <v>0</v>
      </c>
      <c r="BN9" s="105">
        <f t="shared" ref="BN9:BN15" si="17">+(BL9/BJ9)</f>
        <v>0</v>
      </c>
      <c r="BO9" s="105">
        <f t="shared" ref="BO9:BO15" si="18">+(AQ9+AG9+BA9+BK9)/Z9</f>
        <v>0.51977272727272728</v>
      </c>
      <c r="BP9" s="105">
        <f t="shared" ref="BP9:BP15" si="19">+(AR9+AH9+BB9+BL9)/AB9</f>
        <v>0.1833333258095701</v>
      </c>
      <c r="BQ9" s="105"/>
      <c r="BR9" s="74">
        <f t="shared" ref="BR9:BR15" si="20">IF(AND(AD9=0,AG9=0),"No Prog ni Ejec",IF(AD9=0,CONCATENATE("No Prog, Ejec=  ",AG9),AG9/AD9))</f>
        <v>2.8587500000000001</v>
      </c>
      <c r="BS9" s="74">
        <f t="shared" ref="BS9:BS15" si="21">IF(AND(AF9=0,AH9=0),"No Prog ni Ejec",IF(AF9=0,CONCATENATE("No Prog, Ejec=  ",AH9),AH9/AF9))</f>
        <v>0.73333330323828039</v>
      </c>
      <c r="BT9" s="74">
        <f t="shared" ref="BT9:BT15" si="22">IF(AND(AN9=0,AQ9=0),"No Prog ni Ejec",IF(AN9=0,CONCATENATE("No Prog, Ejec=  ",AQ9),AQ9/AN9))</f>
        <v>0</v>
      </c>
      <c r="BU9" s="74">
        <f t="shared" ref="BU9:BU15" si="23">IF(AND(AP9=0,AR9=0),"No Prog ni Ejec",IF(AP9=0,CONCATENATE("No Prog, Ejec=  ",AR9),AR9/AP9))</f>
        <v>0</v>
      </c>
      <c r="BV9" s="74">
        <f t="shared" ref="BV9:BV15" si="24">IF(AND(AX9=0,BA9=0),"No Prog ni Ejec",IF(AX9=0,CONCATENATE("No Prog, Ejec=  ",BA9),BA9/AX9))</f>
        <v>0</v>
      </c>
      <c r="BW9" s="74">
        <f t="shared" ref="BW9:BW15" si="25">IF(AND(AZ9=0,BB9=0),"No Prog ni Ejec",IF(AZ9=0,CONCATENATE("No Prog, Ejec=  ",BB9),BB9/AZ9))</f>
        <v>0</v>
      </c>
      <c r="BX9" s="74">
        <f t="shared" ref="BX9:BX15" si="26">IF(AND(BH9=0,BK9=0),"No Prog ni Ejec",IF(BH9=0,CONCATENATE("No Prog, Ejec=  ",BK9),BK9/BH9))</f>
        <v>0</v>
      </c>
      <c r="BY9" s="74">
        <f t="shared" ref="BY9:BY15" si="27">IF(AND(BJ9=0,BL9=0),"No Prog ni Ejec",IF(BJ9=0,CONCATENATE("No Prog, Ejec=  ",BL9),BL9/BJ9))</f>
        <v>0</v>
      </c>
      <c r="BZ9" s="157">
        <f>+AB9-AF9-AP9-AZ9-BJ9</f>
        <v>0</v>
      </c>
    </row>
    <row r="10" spans="1:229" s="75" customFormat="1" ht="51" customHeight="1" x14ac:dyDescent="0.2">
      <c r="A10" s="148">
        <v>11900</v>
      </c>
      <c r="B10" s="144" t="s">
        <v>125</v>
      </c>
      <c r="C10" s="144" t="s">
        <v>332</v>
      </c>
      <c r="D10" s="145" t="s">
        <v>1108</v>
      </c>
      <c r="E10" s="145" t="s">
        <v>1108</v>
      </c>
      <c r="F10" s="148" t="s">
        <v>126</v>
      </c>
      <c r="G10" s="144" t="s">
        <v>60</v>
      </c>
      <c r="H10" s="144" t="s">
        <v>206</v>
      </c>
      <c r="I10" s="144" t="s">
        <v>206</v>
      </c>
      <c r="J10" s="148" t="s">
        <v>630</v>
      </c>
      <c r="K10" s="144" t="s">
        <v>513</v>
      </c>
      <c r="L10" s="149" t="s">
        <v>514</v>
      </c>
      <c r="M10" s="66">
        <f>3000*4</f>
        <v>12000</v>
      </c>
      <c r="N10" s="710" t="s">
        <v>629</v>
      </c>
      <c r="O10" s="69" t="s">
        <v>512</v>
      </c>
      <c r="P10" s="811">
        <v>27880404</v>
      </c>
      <c r="Q10" s="787">
        <v>1</v>
      </c>
      <c r="R10" s="713" t="s">
        <v>18</v>
      </c>
      <c r="S10" s="713" t="s">
        <v>24</v>
      </c>
      <c r="T10" s="713" t="s">
        <v>206</v>
      </c>
      <c r="U10" s="713" t="s">
        <v>678</v>
      </c>
      <c r="V10" s="713" t="s">
        <v>1133</v>
      </c>
      <c r="W10" s="827" t="s">
        <v>1388</v>
      </c>
      <c r="X10" s="144" t="s">
        <v>516</v>
      </c>
      <c r="Y10" s="713" t="s">
        <v>206</v>
      </c>
      <c r="Z10" s="66">
        <f>3000*4</f>
        <v>12000</v>
      </c>
      <c r="AA10" s="144" t="str">
        <f>+O10</f>
        <v>Remitir comunicaciones a los terceros deudores informándoles lo adeudado a la ADRES</v>
      </c>
      <c r="AB10" s="728">
        <f>+P10</f>
        <v>27880404</v>
      </c>
      <c r="AC10" s="69" t="s">
        <v>46</v>
      </c>
      <c r="AD10" s="66">
        <v>3000</v>
      </c>
      <c r="AE10" s="144" t="str">
        <f t="shared" si="0"/>
        <v>Remitir comunicaciones a los terceros deudores informándoles lo adeudado a la ADRES</v>
      </c>
      <c r="AF10" s="778">
        <f>+AB10/4</f>
        <v>6970101</v>
      </c>
      <c r="AG10" s="590">
        <v>0</v>
      </c>
      <c r="AH10" s="839" t="s">
        <v>1500</v>
      </c>
      <c r="AI10" s="71">
        <f>+(AG10/AD10)</f>
        <v>0</v>
      </c>
      <c r="AJ10" s="834">
        <f>+(AH10/AF10)</f>
        <v>0.66666666666666663</v>
      </c>
      <c r="AK10" s="71">
        <f>+(AG10/Z10)</f>
        <v>0</v>
      </c>
      <c r="AL10" s="834">
        <f>+(AH10/AB10)</f>
        <v>0.16666666666666666</v>
      </c>
      <c r="AM10" s="601" t="s">
        <v>1503</v>
      </c>
      <c r="AN10" s="66">
        <v>3000</v>
      </c>
      <c r="AO10" s="144" t="str">
        <f t="shared" si="5"/>
        <v>Remitir comunicaciones a los terceros deudores informándoles lo adeudado a la ADRES</v>
      </c>
      <c r="AP10" s="778">
        <f>+AB10/4</f>
        <v>6970101</v>
      </c>
      <c r="AQ10" s="155"/>
      <c r="AR10" s="836"/>
      <c r="AS10" s="71">
        <f>+(AQ10/AN10)</f>
        <v>0</v>
      </c>
      <c r="AT10" s="834">
        <f>+(AR10/AP10)</f>
        <v>0</v>
      </c>
      <c r="AU10" s="71">
        <f>+(AQ10+AG10)/Z10</f>
        <v>0</v>
      </c>
      <c r="AV10" s="834">
        <f>+(AR10+AH10)/AB10</f>
        <v>0.16666666666666666</v>
      </c>
      <c r="AW10" s="71"/>
      <c r="AX10" s="66">
        <v>3000</v>
      </c>
      <c r="AY10" s="144" t="str">
        <f t="shared" si="10"/>
        <v>Remitir comunicaciones a los terceros deudores informándoles lo adeudado a la ADRES</v>
      </c>
      <c r="AZ10" s="778">
        <f>+AB10/4</f>
        <v>6970101</v>
      </c>
      <c r="BA10" s="73"/>
      <c r="BB10" s="836"/>
      <c r="BC10" s="71">
        <f>+(BA10/AX10)</f>
        <v>0</v>
      </c>
      <c r="BD10" s="834">
        <f>+(BB10/AZ10)</f>
        <v>0</v>
      </c>
      <c r="BE10" s="71">
        <f>+(AQ10+AG10+BA10)/Z10</f>
        <v>0</v>
      </c>
      <c r="BF10" s="834">
        <f>+(AR10+AH10+BB10)/AB10</f>
        <v>0.16666666666666666</v>
      </c>
      <c r="BG10" s="71"/>
      <c r="BH10" s="66">
        <v>300</v>
      </c>
      <c r="BI10" s="144" t="str">
        <f t="shared" si="15"/>
        <v>Remitir comunicaciones a los terceros deudores informándoles lo adeudado a la ADRES</v>
      </c>
      <c r="BJ10" s="778">
        <f>+AB10/4</f>
        <v>6970101</v>
      </c>
      <c r="BK10" s="155"/>
      <c r="BL10" s="836"/>
      <c r="BM10" s="105">
        <f>+(BK10/BH10)</f>
        <v>0</v>
      </c>
      <c r="BN10" s="832">
        <f>+(BL10/BJ10)</f>
        <v>0</v>
      </c>
      <c r="BO10" s="105">
        <f>+(AQ10+AG10+BA10+BK10)/Z10</f>
        <v>0</v>
      </c>
      <c r="BP10" s="832">
        <f>+(AR10+AH10+BB10+BL10)/AB10</f>
        <v>0.16666666666666666</v>
      </c>
      <c r="BQ10" s="105"/>
      <c r="BR10" s="74">
        <f>IF(AND(AD10=0,AG10=0),"No Prog ni Ejec",IF(AD10=0,CONCATENATE("No Prog, Ejec=  ",AG10),AG10/AD10))</f>
        <v>0</v>
      </c>
      <c r="BS10" s="795">
        <f>IF(AND(AF10=0,AH10=0),"No Prog ni Ejec",IF(AF10=0,CONCATENATE("No Prog, Ejec=  ",AH10),AH10/AF10))</f>
        <v>0.66666666666666663</v>
      </c>
      <c r="BT10" s="74">
        <f>IF(AND(AN10=0,AQ10=0),"No Prog ni Ejec",IF(AN10=0,CONCATENATE("No Prog, Ejec=  ",AQ10),AQ10/AN10))</f>
        <v>0</v>
      </c>
      <c r="BU10" s="795">
        <f>IF(AND(AP10=0,AR10=0),"No Prog ni Ejec",IF(AP10=0,CONCATENATE("No Prog, Ejec=  ",AR10),AR10/AP10))</f>
        <v>0</v>
      </c>
      <c r="BV10" s="74">
        <f>IF(AND(AX10=0,BA10=0),"No Prog ni Ejec",IF(AX10=0,CONCATENATE("No Prog, Ejec=  ",BA10),BA10/AX10))</f>
        <v>0</v>
      </c>
      <c r="BW10" s="795">
        <f>IF(AND(AZ10=0,BB10=0),"No Prog ni Ejec",IF(AZ10=0,CONCATENATE("No Prog, Ejec=  ",BB10),BB10/AZ10))</f>
        <v>0</v>
      </c>
      <c r="BX10" s="74">
        <f>IF(AND(BH10=0,BK10=0),"No Prog ni Ejec",IF(BH10=0,CONCATENATE("No Prog, Ejec=  ",BK10),BK10/BH10))</f>
        <v>0</v>
      </c>
      <c r="BY10" s="795">
        <f>IF(AND(BJ10=0,BL10=0),"No Prog ni Ejec",IF(BJ10=0,CONCATENATE("No Prog, Ejec=  ",BL10),BL10/BJ10))</f>
        <v>0</v>
      </c>
      <c r="BZ10" s="157">
        <f t="shared" ref="BZ10:BZ20" si="28">+AB10-AF10-AP10-AZ10-BJ10</f>
        <v>0</v>
      </c>
    </row>
    <row r="11" spans="1:229" s="75" customFormat="1" ht="153" x14ac:dyDescent="0.2">
      <c r="A11" s="148">
        <v>11900</v>
      </c>
      <c r="B11" s="144" t="s">
        <v>125</v>
      </c>
      <c r="C11" s="144" t="s">
        <v>332</v>
      </c>
      <c r="D11" s="145" t="s">
        <v>1108</v>
      </c>
      <c r="E11" s="145" t="s">
        <v>1108</v>
      </c>
      <c r="F11" s="148" t="s">
        <v>126</v>
      </c>
      <c r="G11" s="144" t="s">
        <v>60</v>
      </c>
      <c r="H11" s="144" t="s">
        <v>206</v>
      </c>
      <c r="I11" s="144" t="s">
        <v>206</v>
      </c>
      <c r="J11" s="148" t="s">
        <v>1017</v>
      </c>
      <c r="K11" s="144" t="s">
        <v>520</v>
      </c>
      <c r="L11" s="149" t="s">
        <v>51</v>
      </c>
      <c r="M11" s="112">
        <v>1</v>
      </c>
      <c r="N11" s="711"/>
      <c r="O11" s="69" t="s">
        <v>519</v>
      </c>
      <c r="P11" s="719"/>
      <c r="Q11" s="788"/>
      <c r="R11" s="714"/>
      <c r="S11" s="714"/>
      <c r="T11" s="714"/>
      <c r="U11" s="714"/>
      <c r="V11" s="714"/>
      <c r="W11" s="828"/>
      <c r="X11" s="144" t="s">
        <v>521</v>
      </c>
      <c r="Y11" s="714"/>
      <c r="Z11" s="112">
        <v>1</v>
      </c>
      <c r="AA11" s="144" t="str">
        <f>+O11</f>
        <v>Conciliar con el Grupo de Tesorería de la DGRFS los pagos realizados por los terceros deudores con ocasión de los acuerdos de pago</v>
      </c>
      <c r="AB11" s="782"/>
      <c r="AC11" s="69" t="s">
        <v>46</v>
      </c>
      <c r="AD11" s="105">
        <v>0</v>
      </c>
      <c r="AE11" s="144" t="str">
        <f t="shared" si="0"/>
        <v>Conciliar con el Grupo de Tesorería de la DGRFS los pagos realizados por los terceros deudores con ocasión de los acuerdos de pago</v>
      </c>
      <c r="AF11" s="784"/>
      <c r="AG11" s="589">
        <f>(277/233)*AD11</f>
        <v>0</v>
      </c>
      <c r="AH11" s="840"/>
      <c r="AI11" s="71" t="e">
        <f>+(AG11/AD11)</f>
        <v>#DIV/0!</v>
      </c>
      <c r="AJ11" s="835"/>
      <c r="AK11" s="71">
        <f>+(AG11/Z11)</f>
        <v>0</v>
      </c>
      <c r="AL11" s="835"/>
      <c r="AM11" s="601" t="s">
        <v>1504</v>
      </c>
      <c r="AN11" s="105">
        <v>0</v>
      </c>
      <c r="AO11" s="144" t="str">
        <f t="shared" si="5"/>
        <v>Conciliar con el Grupo de Tesorería de la DGRFS los pagos realizados por los terceros deudores con ocasión de los acuerdos de pago</v>
      </c>
      <c r="AP11" s="784"/>
      <c r="AQ11" s="155"/>
      <c r="AR11" s="837"/>
      <c r="AS11" s="71" t="e">
        <f>+(AQ11/AN11)</f>
        <v>#DIV/0!</v>
      </c>
      <c r="AT11" s="835"/>
      <c r="AU11" s="71">
        <f>+(AQ11+AG11)/Z11</f>
        <v>0</v>
      </c>
      <c r="AV11" s="835"/>
      <c r="AW11" s="71"/>
      <c r="AX11" s="105">
        <v>0</v>
      </c>
      <c r="AY11" s="144" t="str">
        <f t="shared" si="10"/>
        <v>Conciliar con el Grupo de Tesorería de la DGRFS los pagos realizados por los terceros deudores con ocasión de los acuerdos de pago</v>
      </c>
      <c r="AZ11" s="784"/>
      <c r="BA11" s="73"/>
      <c r="BB11" s="837"/>
      <c r="BC11" s="71" t="e">
        <f>+(BA11/AX11)</f>
        <v>#DIV/0!</v>
      </c>
      <c r="BD11" s="835"/>
      <c r="BE11" s="71">
        <f>+(AQ11+AG11+BA11)/Z11</f>
        <v>0</v>
      </c>
      <c r="BF11" s="835"/>
      <c r="BG11" s="71"/>
      <c r="BH11" s="105">
        <v>1</v>
      </c>
      <c r="BI11" s="144" t="str">
        <f t="shared" si="15"/>
        <v>Conciliar con el Grupo de Tesorería de la DGRFS los pagos realizados por los terceros deudores con ocasión de los acuerdos de pago</v>
      </c>
      <c r="BJ11" s="784"/>
      <c r="BK11" s="155"/>
      <c r="BL11" s="837"/>
      <c r="BM11" s="105">
        <f>+(BK11/BH11)</f>
        <v>0</v>
      </c>
      <c r="BN11" s="727"/>
      <c r="BO11" s="105">
        <f>+(AQ11+AG11+BA11+BK11)/Z11</f>
        <v>0</v>
      </c>
      <c r="BP11" s="727"/>
      <c r="BQ11" s="105"/>
      <c r="BR11" s="74" t="str">
        <f>IF(AND(AD11=0,AG11=0),"No Prog ni Ejec",IF(AD11=0,CONCATENATE("No Prog, Ejec=  ",AG11),AG11/AD11))</f>
        <v>No Prog ni Ejec</v>
      </c>
      <c r="BS11" s="830"/>
      <c r="BT11" s="74" t="str">
        <f>IF(AND(AN11=0,AQ11=0),"No Prog ni Ejec",IF(AN11=0,CONCATENATE("No Prog, Ejec=  ",AQ11),AQ11/AN11))</f>
        <v>No Prog ni Ejec</v>
      </c>
      <c r="BU11" s="830"/>
      <c r="BV11" s="74" t="str">
        <f>IF(AND(AX11=0,BA11=0),"No Prog ni Ejec",IF(AX11=0,CONCATENATE("No Prog, Ejec=  ",BA11),BA11/AX11))</f>
        <v>No Prog ni Ejec</v>
      </c>
      <c r="BW11" s="830"/>
      <c r="BX11" s="74">
        <f>IF(AND(BH11=0,BK11=0),"No Prog ni Ejec",IF(BH11=0,CONCATENATE("No Prog, Ejec=  ",BK11),BK11/BH11))</f>
        <v>0</v>
      </c>
      <c r="BY11" s="830"/>
      <c r="BZ11" s="157">
        <f t="shared" si="28"/>
        <v>0</v>
      </c>
    </row>
    <row r="12" spans="1:229" s="75" customFormat="1" ht="63.75" x14ac:dyDescent="0.2">
      <c r="A12" s="148">
        <v>11900</v>
      </c>
      <c r="B12" s="144" t="s">
        <v>125</v>
      </c>
      <c r="C12" s="144" t="s">
        <v>332</v>
      </c>
      <c r="D12" s="145" t="s">
        <v>1108</v>
      </c>
      <c r="E12" s="145" t="s">
        <v>1108</v>
      </c>
      <c r="F12" s="148" t="s">
        <v>126</v>
      </c>
      <c r="G12" s="144" t="s">
        <v>60</v>
      </c>
      <c r="H12" s="144" t="s">
        <v>206</v>
      </c>
      <c r="I12" s="144" t="s">
        <v>206</v>
      </c>
      <c r="J12" s="148" t="s">
        <v>1018</v>
      </c>
      <c r="K12" s="144" t="s">
        <v>517</v>
      </c>
      <c r="L12" s="149" t="s">
        <v>51</v>
      </c>
      <c r="M12" s="112">
        <v>1</v>
      </c>
      <c r="N12" s="712"/>
      <c r="O12" s="69" t="s">
        <v>446</v>
      </c>
      <c r="P12" s="720"/>
      <c r="Q12" s="789"/>
      <c r="R12" s="715"/>
      <c r="S12" s="715"/>
      <c r="T12" s="715"/>
      <c r="U12" s="715"/>
      <c r="V12" s="715"/>
      <c r="W12" s="829"/>
      <c r="X12" s="144" t="s">
        <v>518</v>
      </c>
      <c r="Y12" s="715"/>
      <c r="Z12" s="105">
        <v>1</v>
      </c>
      <c r="AA12" s="144" t="str">
        <f>+O12</f>
        <v>Realizar periodicamente depuración de cartera confome a las normas contables aplicables</v>
      </c>
      <c r="AB12" s="729"/>
      <c r="AC12" s="69" t="s">
        <v>46</v>
      </c>
      <c r="AD12" s="105">
        <v>0</v>
      </c>
      <c r="AE12" s="144" t="str">
        <f t="shared" si="0"/>
        <v>Realizar periodicamente depuración de cartera confome a las normas contables aplicables</v>
      </c>
      <c r="AF12" s="779"/>
      <c r="AG12" s="590">
        <v>0</v>
      </c>
      <c r="AH12" s="841"/>
      <c r="AI12" s="71" t="e">
        <f>+(AG12/AD12)</f>
        <v>#DIV/0!</v>
      </c>
      <c r="AJ12" s="796"/>
      <c r="AK12" s="71">
        <f>+(AG12/Z12)</f>
        <v>0</v>
      </c>
      <c r="AL12" s="796"/>
      <c r="AM12" s="601" t="s">
        <v>1505</v>
      </c>
      <c r="AN12" s="105">
        <v>0</v>
      </c>
      <c r="AO12" s="144" t="str">
        <f t="shared" si="5"/>
        <v>Realizar periodicamente depuración de cartera confome a las normas contables aplicables</v>
      </c>
      <c r="AP12" s="779"/>
      <c r="AQ12" s="155"/>
      <c r="AR12" s="838"/>
      <c r="AS12" s="71" t="e">
        <f>+(AQ12/AN12)</f>
        <v>#DIV/0!</v>
      </c>
      <c r="AT12" s="796"/>
      <c r="AU12" s="71">
        <f>+(AQ12+AG12)/Z12</f>
        <v>0</v>
      </c>
      <c r="AV12" s="796"/>
      <c r="AW12" s="71"/>
      <c r="AX12" s="105">
        <v>0</v>
      </c>
      <c r="AY12" s="144" t="str">
        <f t="shared" si="10"/>
        <v>Realizar periodicamente depuración de cartera confome a las normas contables aplicables</v>
      </c>
      <c r="AZ12" s="779"/>
      <c r="BA12" s="73"/>
      <c r="BB12" s="838"/>
      <c r="BC12" s="71" t="e">
        <f>+(BA12/AX12)</f>
        <v>#DIV/0!</v>
      </c>
      <c r="BD12" s="796"/>
      <c r="BE12" s="71">
        <f>+(AQ12+AG12+BA12)/Z12</f>
        <v>0</v>
      </c>
      <c r="BF12" s="796"/>
      <c r="BG12" s="71"/>
      <c r="BH12" s="105">
        <v>1</v>
      </c>
      <c r="BI12" s="144" t="str">
        <f t="shared" si="15"/>
        <v>Realizar periodicamente depuración de cartera confome a las normas contables aplicables</v>
      </c>
      <c r="BJ12" s="779"/>
      <c r="BK12" s="155"/>
      <c r="BL12" s="838"/>
      <c r="BM12" s="105">
        <f>+(BK12/BH12)</f>
        <v>0</v>
      </c>
      <c r="BN12" s="833"/>
      <c r="BO12" s="105">
        <f>+(AQ12+AG12+BA12+BK12)/Z12</f>
        <v>0</v>
      </c>
      <c r="BP12" s="833"/>
      <c r="BQ12" s="105"/>
      <c r="BR12" s="74" t="str">
        <f>IF(AND(AD12=0,AG12=0),"No Prog ni Ejec",IF(AD12=0,CONCATENATE("No Prog, Ejec=  ",AG12),AG12/AD12))</f>
        <v>No Prog ni Ejec</v>
      </c>
      <c r="BS12" s="831"/>
      <c r="BT12" s="74" t="str">
        <f>IF(AND(AN12=0,AQ12=0),"No Prog ni Ejec",IF(AN12=0,CONCATENATE("No Prog, Ejec=  ",AQ12),AQ12/AN12))</f>
        <v>No Prog ni Ejec</v>
      </c>
      <c r="BU12" s="831"/>
      <c r="BV12" s="74" t="str">
        <f>IF(AND(AX12=0,BA12=0),"No Prog ni Ejec",IF(AX12=0,CONCATENATE("No Prog, Ejec=  ",BA12),BA12/AX12))</f>
        <v>No Prog ni Ejec</v>
      </c>
      <c r="BW12" s="831"/>
      <c r="BX12" s="74">
        <f>IF(AND(BH12=0,BK12=0),"No Prog ni Ejec",IF(BH12=0,CONCATENATE("No Prog, Ejec=  ",BK12),BK12/BH12))</f>
        <v>0</v>
      </c>
      <c r="BY12" s="831"/>
      <c r="BZ12" s="157">
        <f t="shared" si="28"/>
        <v>0</v>
      </c>
    </row>
    <row r="13" spans="1:229" s="75" customFormat="1" ht="89.25" x14ac:dyDescent="0.2">
      <c r="A13" s="148">
        <v>11900</v>
      </c>
      <c r="B13" s="144" t="s">
        <v>125</v>
      </c>
      <c r="C13" s="144" t="s">
        <v>332</v>
      </c>
      <c r="D13" s="145" t="s">
        <v>1108</v>
      </c>
      <c r="E13" s="145" t="s">
        <v>1108</v>
      </c>
      <c r="F13" s="148" t="s">
        <v>126</v>
      </c>
      <c r="G13" s="144" t="s">
        <v>60</v>
      </c>
      <c r="H13" s="144" t="s">
        <v>206</v>
      </c>
      <c r="I13" s="144" t="s">
        <v>206</v>
      </c>
      <c r="J13" s="148" t="s">
        <v>672</v>
      </c>
      <c r="K13" s="143" t="s">
        <v>691</v>
      </c>
      <c r="L13" s="149" t="s">
        <v>51</v>
      </c>
      <c r="M13" s="112">
        <v>1</v>
      </c>
      <c r="N13" s="148" t="s">
        <v>631</v>
      </c>
      <c r="O13" s="147" t="s">
        <v>690</v>
      </c>
      <c r="P13" s="162">
        <v>27880404</v>
      </c>
      <c r="Q13" s="112">
        <v>1</v>
      </c>
      <c r="R13" s="144" t="s">
        <v>18</v>
      </c>
      <c r="S13" s="144" t="s">
        <v>24</v>
      </c>
      <c r="T13" s="144" t="s">
        <v>206</v>
      </c>
      <c r="U13" s="144" t="s">
        <v>678</v>
      </c>
      <c r="V13" s="144" t="s">
        <v>1133</v>
      </c>
      <c r="W13" s="530" t="s">
        <v>1388</v>
      </c>
      <c r="X13" s="144" t="s">
        <v>692</v>
      </c>
      <c r="Y13" s="144" t="s">
        <v>206</v>
      </c>
      <c r="Z13" s="105">
        <v>1</v>
      </c>
      <c r="AA13" s="143" t="str">
        <f>+O13</f>
        <v>Actualizar las bases de información sobre la gestión del cobro coactivo</v>
      </c>
      <c r="AB13" s="163">
        <f>+P13</f>
        <v>27880404</v>
      </c>
      <c r="AC13" s="69" t="s">
        <v>46</v>
      </c>
      <c r="AD13" s="105">
        <v>0.25</v>
      </c>
      <c r="AE13" s="143" t="str">
        <f t="shared" si="0"/>
        <v>Actualizar las bases de información sobre la gestión del cobro coactivo</v>
      </c>
      <c r="AF13" s="164">
        <f>(AB13/11)*2</f>
        <v>5069164.3636363633</v>
      </c>
      <c r="AG13" s="589">
        <f>2288/5111*25%</f>
        <v>0.11191547642340051</v>
      </c>
      <c r="AH13" s="590" t="s">
        <v>1501</v>
      </c>
      <c r="AI13" s="71">
        <f>+(AG13/AD13)</f>
        <v>0.44766190569360204</v>
      </c>
      <c r="AJ13" s="71">
        <f>+(AH13/AF13)</f>
        <v>0.80972221564651647</v>
      </c>
      <c r="AK13" s="71">
        <f>+(AG13/Z13)</f>
        <v>0.11191547642340051</v>
      </c>
      <c r="AL13" s="71">
        <f>+(AH13/AB13)</f>
        <v>0.14722222102663934</v>
      </c>
      <c r="AM13" s="601" t="s">
        <v>1506</v>
      </c>
      <c r="AN13" s="105">
        <v>0.25</v>
      </c>
      <c r="AO13" s="143" t="str">
        <f t="shared" si="5"/>
        <v>Actualizar las bases de información sobre la gestión del cobro coactivo</v>
      </c>
      <c r="AP13" s="164">
        <f>(AB13/11)*3</f>
        <v>7603746.5454545449</v>
      </c>
      <c r="AQ13" s="155"/>
      <c r="AR13" s="155"/>
      <c r="AS13" s="71">
        <f>+(AQ13/AN13)</f>
        <v>0</v>
      </c>
      <c r="AT13" s="71">
        <f>+(AR13/AP13)</f>
        <v>0</v>
      </c>
      <c r="AU13" s="71">
        <f>+(AQ13+AG13)/Z13</f>
        <v>0.11191547642340051</v>
      </c>
      <c r="AV13" s="71">
        <f>+(AR13+AH13)/AB13</f>
        <v>0.14722222102663934</v>
      </c>
      <c r="AW13" s="71"/>
      <c r="AX13" s="105">
        <v>0.25</v>
      </c>
      <c r="AY13" s="143" t="str">
        <f t="shared" si="10"/>
        <v>Actualizar las bases de información sobre la gestión del cobro coactivo</v>
      </c>
      <c r="AZ13" s="164">
        <f>(AB13/11)*3</f>
        <v>7603746.5454545449</v>
      </c>
      <c r="BA13" s="73"/>
      <c r="BB13" s="73"/>
      <c r="BC13" s="71">
        <f>+(BA13/AX13)</f>
        <v>0</v>
      </c>
      <c r="BD13" s="71">
        <f>+(BB13/AZ13)</f>
        <v>0</v>
      </c>
      <c r="BE13" s="71">
        <f>+(AQ13+AG13+BA13)/Z13</f>
        <v>0.11191547642340051</v>
      </c>
      <c r="BF13" s="71">
        <f>+(AR13+AH13+BB13)/AB13</f>
        <v>0.14722222102663934</v>
      </c>
      <c r="BG13" s="71"/>
      <c r="BH13" s="105">
        <v>0.25</v>
      </c>
      <c r="BI13" s="143" t="str">
        <f t="shared" si="15"/>
        <v>Actualizar las bases de información sobre la gestión del cobro coactivo</v>
      </c>
      <c r="BJ13" s="164">
        <f>(AB13/11)*3</f>
        <v>7603746.5454545449</v>
      </c>
      <c r="BK13" s="155"/>
      <c r="BL13" s="155"/>
      <c r="BM13" s="105">
        <f>+(BK13/BH13)</f>
        <v>0</v>
      </c>
      <c r="BN13" s="105">
        <f>+(BL13/BJ13)</f>
        <v>0</v>
      </c>
      <c r="BO13" s="105">
        <f>+(AQ13+AG13+BA13+BK13)/Z13</f>
        <v>0.11191547642340051</v>
      </c>
      <c r="BP13" s="105">
        <f>+(AR13+AH13+BB13+BL13)/AB13</f>
        <v>0.14722222102663934</v>
      </c>
      <c r="BQ13" s="105"/>
      <c r="BR13" s="74">
        <f>IF(AND(AD13=0,AG13=0),"No Prog ni Ejec",IF(AD13=0,CONCATENATE("No Prog, Ejec=  ",AG13),AG13/AD13))</f>
        <v>0.44766190569360204</v>
      </c>
      <c r="BS13" s="74">
        <f>IF(AND(AF13=0,AH13=0),"No Prog ni Ejec",IF(AF13=0,CONCATENATE("No Prog, Ejec=  ",AH13),AH13/AF13))</f>
        <v>0.80972221564651647</v>
      </c>
      <c r="BT13" s="74">
        <f>IF(AND(AN13=0,AQ13=0),"No Prog ni Ejec",IF(AN13=0,CONCATENATE("No Prog, Ejec=  ",AQ13),AQ13/AN13))</f>
        <v>0</v>
      </c>
      <c r="BU13" s="74">
        <f>IF(AND(AP13=0,AR13=0),"No Prog ni Ejec",IF(AP13=0,CONCATENATE("No Prog, Ejec=  ",AR13),AR13/AP13))</f>
        <v>0</v>
      </c>
      <c r="BV13" s="74">
        <f>IF(AND(AX13=0,BA13=0),"No Prog ni Ejec",IF(AX13=0,CONCATENATE("No Prog, Ejec=  ",BA13),BA13/AX13))</f>
        <v>0</v>
      </c>
      <c r="BW13" s="74">
        <f>IF(AND(AZ13=0,BB13=0),"No Prog ni Ejec",IF(AZ13=0,CONCATENATE("No Prog, Ejec=  ",BB13),BB13/AZ13))</f>
        <v>0</v>
      </c>
      <c r="BX13" s="74">
        <f>IF(AND(BH13=0,BK13=0),"No Prog ni Ejec",IF(BH13=0,CONCATENATE("No Prog, Ejec=  ",BK13),BK13/BH13))</f>
        <v>0</v>
      </c>
      <c r="BY13" s="74">
        <f>IF(AND(BJ13=0,BL13=0),"No Prog ni Ejec",IF(BJ13=0,CONCATENATE("No Prog, Ejec=  ",BL13),BL13/BJ13))</f>
        <v>0</v>
      </c>
      <c r="BZ13" s="157">
        <f t="shared" si="28"/>
        <v>0</v>
      </c>
    </row>
    <row r="14" spans="1:229" s="75" customFormat="1" ht="102" x14ac:dyDescent="0.2">
      <c r="A14" s="148">
        <v>11900</v>
      </c>
      <c r="B14" s="144" t="s">
        <v>125</v>
      </c>
      <c r="C14" s="144" t="s">
        <v>332</v>
      </c>
      <c r="D14" s="145" t="s">
        <v>1108</v>
      </c>
      <c r="E14" s="145"/>
      <c r="F14" s="148" t="s">
        <v>126</v>
      </c>
      <c r="G14" s="144" t="s">
        <v>60</v>
      </c>
      <c r="H14" s="144" t="s">
        <v>206</v>
      </c>
      <c r="I14" s="144" t="s">
        <v>206</v>
      </c>
      <c r="J14" s="148" t="s">
        <v>635</v>
      </c>
      <c r="K14" s="713" t="s">
        <v>522</v>
      </c>
      <c r="L14" s="149" t="s">
        <v>51</v>
      </c>
      <c r="M14" s="112">
        <v>1</v>
      </c>
      <c r="N14" s="710" t="s">
        <v>632</v>
      </c>
      <c r="O14" s="713" t="s">
        <v>140</v>
      </c>
      <c r="P14" s="800">
        <v>0</v>
      </c>
      <c r="Q14" s="787">
        <v>1</v>
      </c>
      <c r="R14" s="713" t="s">
        <v>17</v>
      </c>
      <c r="S14" s="713" t="s">
        <v>26</v>
      </c>
      <c r="T14" s="713" t="s">
        <v>674</v>
      </c>
      <c r="U14" s="713" t="s">
        <v>676</v>
      </c>
      <c r="V14" s="713" t="s">
        <v>1133</v>
      </c>
      <c r="W14" s="528"/>
      <c r="X14" s="144" t="s">
        <v>523</v>
      </c>
      <c r="Y14" s="713" t="s">
        <v>206</v>
      </c>
      <c r="Z14" s="92">
        <v>1</v>
      </c>
      <c r="AA14" s="713" t="str">
        <f>+O14</f>
        <v>Venta de Cartera mayor a &gt;180 días con actos administrativos debidamente ejecutoriados a Central de Inversiones SA -CISA-</v>
      </c>
      <c r="AB14" s="728">
        <f>+P14</f>
        <v>0</v>
      </c>
      <c r="AC14" s="69" t="s">
        <v>48</v>
      </c>
      <c r="AD14" s="105">
        <v>0</v>
      </c>
      <c r="AE14" s="713" t="str">
        <f t="shared" si="0"/>
        <v>Venta de Cartera mayor a &gt;180 días con actos administrativos debidamente ejecutoriados a Central de Inversiones SA -CISA-</v>
      </c>
      <c r="AF14" s="728">
        <v>0</v>
      </c>
      <c r="AG14" s="590">
        <v>0</v>
      </c>
      <c r="AH14" s="636">
        <v>0</v>
      </c>
      <c r="AI14" s="71" t="e">
        <f t="shared" si="1"/>
        <v>#DIV/0!</v>
      </c>
      <c r="AJ14" s="71" t="e">
        <f t="shared" si="2"/>
        <v>#DIV/0!</v>
      </c>
      <c r="AK14" s="71">
        <f t="shared" si="3"/>
        <v>0</v>
      </c>
      <c r="AL14" s="71" t="e">
        <f t="shared" si="4"/>
        <v>#DIV/0!</v>
      </c>
      <c r="AM14" s="601" t="s">
        <v>1507</v>
      </c>
      <c r="AN14" s="105">
        <v>0</v>
      </c>
      <c r="AO14" s="713" t="str">
        <f t="shared" si="5"/>
        <v>Venta de Cartera mayor a &gt;180 días con actos administrativos debidamente ejecutoriados a Central de Inversiones SA -CISA-</v>
      </c>
      <c r="AP14" s="728">
        <v>0</v>
      </c>
      <c r="AQ14" s="155"/>
      <c r="AR14" s="155"/>
      <c r="AS14" s="71" t="e">
        <f t="shared" si="6"/>
        <v>#DIV/0!</v>
      </c>
      <c r="AT14" s="71" t="e">
        <f t="shared" si="7"/>
        <v>#DIV/0!</v>
      </c>
      <c r="AU14" s="71">
        <f t="shared" si="8"/>
        <v>0</v>
      </c>
      <c r="AV14" s="71" t="e">
        <f t="shared" si="9"/>
        <v>#DIV/0!</v>
      </c>
      <c r="AW14" s="71"/>
      <c r="AX14" s="105">
        <v>0</v>
      </c>
      <c r="AY14" s="713" t="str">
        <f t="shared" si="10"/>
        <v>Venta de Cartera mayor a &gt;180 días con actos administrativos debidamente ejecutoriados a Central de Inversiones SA -CISA-</v>
      </c>
      <c r="AZ14" s="728">
        <v>0</v>
      </c>
      <c r="BA14" s="73"/>
      <c r="BB14" s="73"/>
      <c r="BC14" s="71" t="e">
        <f t="shared" si="11"/>
        <v>#DIV/0!</v>
      </c>
      <c r="BD14" s="71" t="e">
        <f t="shared" si="12"/>
        <v>#DIV/0!</v>
      </c>
      <c r="BE14" s="71">
        <f t="shared" si="13"/>
        <v>0</v>
      </c>
      <c r="BF14" s="71" t="e">
        <f t="shared" si="14"/>
        <v>#DIV/0!</v>
      </c>
      <c r="BG14" s="71"/>
      <c r="BH14" s="105">
        <v>1</v>
      </c>
      <c r="BI14" s="713" t="str">
        <f t="shared" si="15"/>
        <v>Venta de Cartera mayor a &gt;180 días con actos administrativos debidamente ejecutoriados a Central de Inversiones SA -CISA-</v>
      </c>
      <c r="BJ14" s="728">
        <v>0</v>
      </c>
      <c r="BK14" s="155"/>
      <c r="BL14" s="155"/>
      <c r="BM14" s="105">
        <f t="shared" si="16"/>
        <v>0</v>
      </c>
      <c r="BN14" s="105" t="e">
        <f t="shared" si="17"/>
        <v>#DIV/0!</v>
      </c>
      <c r="BO14" s="105">
        <f t="shared" si="18"/>
        <v>0</v>
      </c>
      <c r="BP14" s="105" t="e">
        <f t="shared" si="19"/>
        <v>#DIV/0!</v>
      </c>
      <c r="BQ14" s="105"/>
      <c r="BR14" s="74" t="str">
        <f t="shared" si="20"/>
        <v>No Prog ni Ejec</v>
      </c>
      <c r="BS14" s="74" t="str">
        <f t="shared" si="21"/>
        <v>No Prog ni Ejec</v>
      </c>
      <c r="BT14" s="74" t="str">
        <f t="shared" si="22"/>
        <v>No Prog ni Ejec</v>
      </c>
      <c r="BU14" s="74" t="str">
        <f t="shared" si="23"/>
        <v>No Prog ni Ejec</v>
      </c>
      <c r="BV14" s="74" t="str">
        <f t="shared" si="24"/>
        <v>No Prog ni Ejec</v>
      </c>
      <c r="BW14" s="74" t="str">
        <f t="shared" si="25"/>
        <v>No Prog ni Ejec</v>
      </c>
      <c r="BX14" s="74">
        <f t="shared" si="26"/>
        <v>0</v>
      </c>
      <c r="BY14" s="74" t="str">
        <f t="shared" si="27"/>
        <v>No Prog ni Ejec</v>
      </c>
      <c r="BZ14" s="157">
        <f t="shared" si="28"/>
        <v>0</v>
      </c>
    </row>
    <row r="15" spans="1:229" s="75" customFormat="1" ht="38.25" customHeight="1" x14ac:dyDescent="0.2">
      <c r="A15" s="148">
        <v>11900</v>
      </c>
      <c r="B15" s="144" t="s">
        <v>125</v>
      </c>
      <c r="C15" s="144" t="s">
        <v>332</v>
      </c>
      <c r="D15" s="145" t="s">
        <v>1108</v>
      </c>
      <c r="E15" s="145"/>
      <c r="F15" s="148" t="s">
        <v>126</v>
      </c>
      <c r="G15" s="144" t="s">
        <v>60</v>
      </c>
      <c r="H15" s="144" t="s">
        <v>206</v>
      </c>
      <c r="I15" s="144" t="s">
        <v>206</v>
      </c>
      <c r="J15" s="148" t="s">
        <v>636</v>
      </c>
      <c r="K15" s="715"/>
      <c r="L15" s="149" t="s">
        <v>51</v>
      </c>
      <c r="M15" s="92">
        <v>0.02</v>
      </c>
      <c r="N15" s="712"/>
      <c r="O15" s="715"/>
      <c r="P15" s="801"/>
      <c r="Q15" s="789"/>
      <c r="R15" s="715"/>
      <c r="S15" s="715"/>
      <c r="T15" s="715"/>
      <c r="U15" s="715"/>
      <c r="V15" s="715"/>
      <c r="W15" s="529" t="s">
        <v>1388</v>
      </c>
      <c r="X15" s="144" t="s">
        <v>524</v>
      </c>
      <c r="Y15" s="715"/>
      <c r="Z15" s="92">
        <v>0.02</v>
      </c>
      <c r="AA15" s="715"/>
      <c r="AB15" s="729"/>
      <c r="AC15" s="69" t="s">
        <v>48</v>
      </c>
      <c r="AD15" s="105">
        <v>0</v>
      </c>
      <c r="AE15" s="715">
        <f t="shared" si="0"/>
        <v>0</v>
      </c>
      <c r="AF15" s="729"/>
      <c r="AG15" s="583">
        <v>0</v>
      </c>
      <c r="AH15" s="636">
        <v>0</v>
      </c>
      <c r="AI15" s="71" t="e">
        <f t="shared" si="1"/>
        <v>#DIV/0!</v>
      </c>
      <c r="AJ15" s="71" t="e">
        <f t="shared" si="2"/>
        <v>#DIV/0!</v>
      </c>
      <c r="AK15" s="71">
        <f t="shared" si="3"/>
        <v>0</v>
      </c>
      <c r="AL15" s="71" t="e">
        <f t="shared" si="4"/>
        <v>#DIV/0!</v>
      </c>
      <c r="AM15" s="601" t="s">
        <v>1508</v>
      </c>
      <c r="AN15" s="105">
        <v>0</v>
      </c>
      <c r="AO15" s="715">
        <f t="shared" si="5"/>
        <v>0</v>
      </c>
      <c r="AP15" s="729"/>
      <c r="AQ15" s="155"/>
      <c r="AR15" s="155"/>
      <c r="AS15" s="71" t="e">
        <f t="shared" si="6"/>
        <v>#DIV/0!</v>
      </c>
      <c r="AT15" s="71" t="e">
        <f t="shared" si="7"/>
        <v>#DIV/0!</v>
      </c>
      <c r="AU15" s="71">
        <f t="shared" si="8"/>
        <v>0</v>
      </c>
      <c r="AV15" s="71" t="e">
        <f t="shared" si="9"/>
        <v>#DIV/0!</v>
      </c>
      <c r="AW15" s="71"/>
      <c r="AX15" s="105">
        <v>0</v>
      </c>
      <c r="AY15" s="715">
        <f t="shared" si="10"/>
        <v>0</v>
      </c>
      <c r="AZ15" s="729"/>
      <c r="BA15" s="73"/>
      <c r="BB15" s="73"/>
      <c r="BC15" s="71" t="e">
        <f t="shared" si="11"/>
        <v>#DIV/0!</v>
      </c>
      <c r="BD15" s="71" t="e">
        <f t="shared" si="12"/>
        <v>#DIV/0!</v>
      </c>
      <c r="BE15" s="71">
        <f t="shared" si="13"/>
        <v>0</v>
      </c>
      <c r="BF15" s="71" t="e">
        <f t="shared" si="14"/>
        <v>#DIV/0!</v>
      </c>
      <c r="BG15" s="71"/>
      <c r="BH15" s="105">
        <v>0.02</v>
      </c>
      <c r="BI15" s="715">
        <f t="shared" si="15"/>
        <v>0</v>
      </c>
      <c r="BJ15" s="729"/>
      <c r="BK15" s="155"/>
      <c r="BL15" s="155"/>
      <c r="BM15" s="105">
        <f t="shared" si="16"/>
        <v>0</v>
      </c>
      <c r="BN15" s="105" t="e">
        <f t="shared" si="17"/>
        <v>#DIV/0!</v>
      </c>
      <c r="BO15" s="105">
        <f t="shared" si="18"/>
        <v>0</v>
      </c>
      <c r="BP15" s="105" t="e">
        <f t="shared" si="19"/>
        <v>#DIV/0!</v>
      </c>
      <c r="BQ15" s="105"/>
      <c r="BR15" s="74" t="str">
        <f t="shared" si="20"/>
        <v>No Prog ni Ejec</v>
      </c>
      <c r="BS15" s="74" t="str">
        <f t="shared" si="21"/>
        <v>No Prog ni Ejec</v>
      </c>
      <c r="BT15" s="74" t="str">
        <f t="shared" si="22"/>
        <v>No Prog ni Ejec</v>
      </c>
      <c r="BU15" s="74" t="str">
        <f t="shared" si="23"/>
        <v>No Prog ni Ejec</v>
      </c>
      <c r="BV15" s="74" t="str">
        <f t="shared" si="24"/>
        <v>No Prog ni Ejec</v>
      </c>
      <c r="BW15" s="74" t="str">
        <f t="shared" si="25"/>
        <v>No Prog ni Ejec</v>
      </c>
      <c r="BX15" s="74">
        <f t="shared" si="26"/>
        <v>0</v>
      </c>
      <c r="BY15" s="74" t="str">
        <f t="shared" si="27"/>
        <v>No Prog ni Ejec</v>
      </c>
      <c r="BZ15" s="157">
        <f t="shared" si="28"/>
        <v>0</v>
      </c>
    </row>
    <row r="16" spans="1:229" s="91" customFormat="1" ht="165.75" x14ac:dyDescent="0.2">
      <c r="A16" s="148">
        <v>11300</v>
      </c>
      <c r="B16" s="144" t="s">
        <v>2</v>
      </c>
      <c r="C16" s="144" t="s">
        <v>332</v>
      </c>
      <c r="D16" s="145" t="s">
        <v>1108</v>
      </c>
      <c r="E16" s="145"/>
      <c r="F16" s="148" t="s">
        <v>62</v>
      </c>
      <c r="G16" s="144" t="s">
        <v>59</v>
      </c>
      <c r="H16" s="144" t="s">
        <v>206</v>
      </c>
      <c r="I16" s="144" t="s">
        <v>206</v>
      </c>
      <c r="J16" s="148" t="s">
        <v>113</v>
      </c>
      <c r="K16" s="144" t="s">
        <v>154</v>
      </c>
      <c r="L16" s="149" t="s">
        <v>52</v>
      </c>
      <c r="M16" s="148">
        <v>12</v>
      </c>
      <c r="N16" s="148" t="s">
        <v>1427</v>
      </c>
      <c r="O16" s="144" t="s">
        <v>88</v>
      </c>
      <c r="P16" s="152">
        <v>0</v>
      </c>
      <c r="Q16" s="112">
        <v>1</v>
      </c>
      <c r="R16" s="144" t="s">
        <v>17</v>
      </c>
      <c r="S16" s="144" t="s">
        <v>26</v>
      </c>
      <c r="T16" s="144" t="s">
        <v>674</v>
      </c>
      <c r="U16" s="144" t="s">
        <v>677</v>
      </c>
      <c r="V16" s="144" t="s">
        <v>72</v>
      </c>
      <c r="W16" s="530"/>
      <c r="X16" s="144" t="s">
        <v>165</v>
      </c>
      <c r="Y16" s="144" t="s">
        <v>40</v>
      </c>
      <c r="Z16" s="148">
        <v>12</v>
      </c>
      <c r="AA16" s="144" t="str">
        <f t="shared" ref="AA16:AB20" si="29">+O16</f>
        <v>Realizar Informes de Ejecución Presupuestal</v>
      </c>
      <c r="AB16" s="68">
        <f t="shared" si="29"/>
        <v>0</v>
      </c>
      <c r="AC16" s="69" t="s">
        <v>48</v>
      </c>
      <c r="AD16" s="67">
        <v>3</v>
      </c>
      <c r="AE16" s="144" t="str">
        <f>+AA16</f>
        <v>Realizar Informes de Ejecución Presupuestal</v>
      </c>
      <c r="AF16" s="111">
        <v>0</v>
      </c>
      <c r="AG16" s="588">
        <v>3</v>
      </c>
      <c r="AH16" s="581">
        <v>0</v>
      </c>
      <c r="AI16" s="71">
        <f>+(AG16/AD16)</f>
        <v>1</v>
      </c>
      <c r="AJ16" s="71" t="e">
        <f>+(AH16/AF16)</f>
        <v>#DIV/0!</v>
      </c>
      <c r="AK16" s="71">
        <f>+(AG16/Z16)</f>
        <v>0.25</v>
      </c>
      <c r="AL16" s="71" t="e">
        <f>+(AH16/AB16)</f>
        <v>#DIV/0!</v>
      </c>
      <c r="AM16" s="591" t="s">
        <v>1455</v>
      </c>
      <c r="AN16" s="67">
        <v>3</v>
      </c>
      <c r="AO16" s="144" t="str">
        <f>+AA16</f>
        <v>Realizar Informes de Ejecución Presupuestal</v>
      </c>
      <c r="AP16" s="111">
        <v>0</v>
      </c>
      <c r="AQ16" s="155"/>
      <c r="AR16" s="155"/>
      <c r="AS16" s="71">
        <f>+(AQ16/AN16)</f>
        <v>0</v>
      </c>
      <c r="AT16" s="71" t="e">
        <f>+(AR16/AP16)</f>
        <v>#DIV/0!</v>
      </c>
      <c r="AU16" s="71">
        <f>+(AQ16+AG16)/Z16</f>
        <v>0.25</v>
      </c>
      <c r="AV16" s="71" t="e">
        <f>+(AR16+AH16)/AB16</f>
        <v>#DIV/0!</v>
      </c>
      <c r="AW16" s="71"/>
      <c r="AX16" s="67">
        <v>3</v>
      </c>
      <c r="AY16" s="144" t="str">
        <f>+AA16</f>
        <v>Realizar Informes de Ejecución Presupuestal</v>
      </c>
      <c r="AZ16" s="111">
        <v>0</v>
      </c>
      <c r="BA16" s="73"/>
      <c r="BB16" s="73"/>
      <c r="BC16" s="71">
        <f>+(BA16/AX16)</f>
        <v>0</v>
      </c>
      <c r="BD16" s="71" t="e">
        <f>+(BB16/AZ16)</f>
        <v>#DIV/0!</v>
      </c>
      <c r="BE16" s="71">
        <f>+(AQ16+AG16+BA16)/Z16</f>
        <v>0.25</v>
      </c>
      <c r="BF16" s="71" t="e">
        <f>+(AR16+AH16+BB16)/AB16</f>
        <v>#DIV/0!</v>
      </c>
      <c r="BG16" s="71"/>
      <c r="BH16" s="67">
        <v>3</v>
      </c>
      <c r="BI16" s="144" t="str">
        <f>+AA16</f>
        <v>Realizar Informes de Ejecución Presupuestal</v>
      </c>
      <c r="BJ16" s="111">
        <v>0</v>
      </c>
      <c r="BK16" s="155"/>
      <c r="BL16" s="155"/>
      <c r="BM16" s="105">
        <f>+(BK16/BH16)</f>
        <v>0</v>
      </c>
      <c r="BN16" s="105" t="e">
        <f>+(BL16/BJ16)</f>
        <v>#DIV/0!</v>
      </c>
      <c r="BO16" s="105">
        <f>+(AQ16+AG16+BA16+BK16)/Z16</f>
        <v>0.25</v>
      </c>
      <c r="BP16" s="105" t="e">
        <f>+(AR16+AH16+BB16+BL16)/AB16</f>
        <v>#DIV/0!</v>
      </c>
      <c r="BQ16" s="105"/>
      <c r="BR16" s="90">
        <f>IF(AND(AD16=0,AG16=0),"No Prog ni Ejec",IF(AD16=0,CONCATENATE("No Prog, Ejec=  ",AG16),AG16/AD16))</f>
        <v>1</v>
      </c>
      <c r="BS16" s="90" t="str">
        <f>IF(AND(AF16=0,AH16=0),"No Prog ni Ejec",IF(AF16=0,CONCATENATE("No Prog, Ejec=  ",AH16),AH16/AF16))</f>
        <v>No Prog ni Ejec</v>
      </c>
      <c r="BT16" s="90">
        <f>IF(AND(AN16=0,AQ16=0),"No Prog ni Ejec",IF(AN16=0,CONCATENATE("No Prog, Ejec=  ",AQ16),AQ16/AN16))</f>
        <v>0</v>
      </c>
      <c r="BU16" s="90" t="str">
        <f>IF(AND(AP16=0,AR16=0),"No Prog ni Ejec",IF(AP16=0,CONCATENATE("No Prog, Ejec=  ",AR16),AR16/AP16))</f>
        <v>No Prog ni Ejec</v>
      </c>
      <c r="BV16" s="90">
        <f>IF(AND(AX16=0,BA16=0),"No Prog ni Ejec",IF(AX16=0,CONCATENATE("No Prog, Ejec=  ",BA16),BA16/AX16))</f>
        <v>0</v>
      </c>
      <c r="BW16" s="90" t="str">
        <f>IF(AND(AZ16=0,BB16=0),"No Prog ni Ejec",IF(AZ16=0,CONCATENATE("No Prog, Ejec=  ",BB16),BB16/AZ16))</f>
        <v>No Prog ni Ejec</v>
      </c>
      <c r="BX16" s="90">
        <f>IF(AND(BH16=0,BK16=0),"No Prog ni Ejec",IF(BH16=0,CONCATENATE("No Prog, Ejec=  ",BK16),BK16/BH16))</f>
        <v>0</v>
      </c>
      <c r="BY16" s="90" t="str">
        <f>IF(AND(BJ16=0,BL16=0),"No Prog ni Ejec",IF(BJ16=0,CONCATENATE("No Prog, Ejec=  ",BL16),BL16/BJ16))</f>
        <v>No Prog ni Ejec</v>
      </c>
      <c r="BZ16" s="157">
        <f t="shared" si="28"/>
        <v>0</v>
      </c>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row>
    <row r="17" spans="1:229" s="91" customFormat="1" ht="267.75" x14ac:dyDescent="0.2">
      <c r="A17" s="148">
        <v>11300</v>
      </c>
      <c r="B17" s="144" t="s">
        <v>2</v>
      </c>
      <c r="C17" s="144" t="s">
        <v>332</v>
      </c>
      <c r="D17" s="145" t="s">
        <v>1108</v>
      </c>
      <c r="E17" s="145" t="s">
        <v>1108</v>
      </c>
      <c r="F17" s="148" t="s">
        <v>62</v>
      </c>
      <c r="G17" s="144" t="s">
        <v>59</v>
      </c>
      <c r="H17" s="144" t="s">
        <v>206</v>
      </c>
      <c r="I17" s="144" t="s">
        <v>206</v>
      </c>
      <c r="J17" s="148" t="s">
        <v>988</v>
      </c>
      <c r="K17" s="144" t="s">
        <v>89</v>
      </c>
      <c r="L17" s="149" t="s">
        <v>51</v>
      </c>
      <c r="M17" s="112">
        <v>1</v>
      </c>
      <c r="N17" s="148" t="s">
        <v>1428</v>
      </c>
      <c r="O17" s="144" t="s">
        <v>90</v>
      </c>
      <c r="P17" s="152">
        <v>215224404</v>
      </c>
      <c r="Q17" s="112">
        <v>1</v>
      </c>
      <c r="R17" s="144" t="s">
        <v>17</v>
      </c>
      <c r="S17" s="144" t="s">
        <v>26</v>
      </c>
      <c r="T17" s="144" t="s">
        <v>674</v>
      </c>
      <c r="U17" s="144" t="s">
        <v>677</v>
      </c>
      <c r="V17" s="144" t="s">
        <v>73</v>
      </c>
      <c r="W17" s="530" t="s">
        <v>1392</v>
      </c>
      <c r="X17" s="144" t="s">
        <v>157</v>
      </c>
      <c r="Y17" s="144" t="s">
        <v>206</v>
      </c>
      <c r="Z17" s="112">
        <v>1</v>
      </c>
      <c r="AA17" s="144" t="str">
        <f t="shared" si="29"/>
        <v>Seguimiento e identificación del Recaudo</v>
      </c>
      <c r="AB17" s="68">
        <f t="shared" si="29"/>
        <v>215224404</v>
      </c>
      <c r="AC17" s="69" t="s">
        <v>46</v>
      </c>
      <c r="AD17" s="105">
        <v>0.25</v>
      </c>
      <c r="AE17" s="144" t="str">
        <f>+AA17</f>
        <v>Seguimiento e identificación del Recaudo</v>
      </c>
      <c r="AF17" s="111">
        <f>AB17/4</f>
        <v>53806101</v>
      </c>
      <c r="AG17" s="589">
        <f>(110346/110415)*AD17</f>
        <v>0.24984377122673551</v>
      </c>
      <c r="AH17" s="581">
        <v>44240572</v>
      </c>
      <c r="AI17" s="71">
        <f>+(AG17/AD17)</f>
        <v>0.99937508490694205</v>
      </c>
      <c r="AJ17" s="71">
        <f>+(AH17/AF17)</f>
        <v>0.82222222346123908</v>
      </c>
      <c r="AK17" s="71">
        <f>+(AG17/Z17)</f>
        <v>0.24984377122673551</v>
      </c>
      <c r="AL17" s="71">
        <f>+(AH17/AB17)</f>
        <v>0.20555555586530977</v>
      </c>
      <c r="AM17" s="591" t="s">
        <v>1456</v>
      </c>
      <c r="AN17" s="105">
        <v>0.25</v>
      </c>
      <c r="AO17" s="144" t="str">
        <f>+AA17</f>
        <v>Seguimiento e identificación del Recaudo</v>
      </c>
      <c r="AP17" s="111">
        <f>AB17/4</f>
        <v>53806101</v>
      </c>
      <c r="AQ17" s="155"/>
      <c r="AR17" s="155"/>
      <c r="AS17" s="71">
        <f>+(AQ17/AN17)</f>
        <v>0</v>
      </c>
      <c r="AT17" s="71">
        <f>+(AR17/AP17)</f>
        <v>0</v>
      </c>
      <c r="AU17" s="71">
        <f>+(AQ17+AG17)/Z17</f>
        <v>0.24984377122673551</v>
      </c>
      <c r="AV17" s="71">
        <f>+(AR17+AH17)/AB17</f>
        <v>0.20555555586530977</v>
      </c>
      <c r="AW17" s="71"/>
      <c r="AX17" s="105">
        <v>0.25</v>
      </c>
      <c r="AY17" s="144" t="str">
        <f>+AA17</f>
        <v>Seguimiento e identificación del Recaudo</v>
      </c>
      <c r="AZ17" s="111">
        <f>AB17/4</f>
        <v>53806101</v>
      </c>
      <c r="BA17" s="73"/>
      <c r="BB17" s="73"/>
      <c r="BC17" s="71">
        <f>+(BA17/AX17)</f>
        <v>0</v>
      </c>
      <c r="BD17" s="71">
        <f>+(BB17/AZ17)</f>
        <v>0</v>
      </c>
      <c r="BE17" s="71">
        <f>+(AQ17+AG17+BA17)/Z17</f>
        <v>0.24984377122673551</v>
      </c>
      <c r="BF17" s="71">
        <f>+(AR17+AH17+BB17)/AB17</f>
        <v>0.20555555586530977</v>
      </c>
      <c r="BG17" s="71"/>
      <c r="BH17" s="105">
        <v>0.25</v>
      </c>
      <c r="BI17" s="144" t="str">
        <f>+AA17</f>
        <v>Seguimiento e identificación del Recaudo</v>
      </c>
      <c r="BJ17" s="111">
        <f>AB17/4</f>
        <v>53806101</v>
      </c>
      <c r="BK17" s="155"/>
      <c r="BL17" s="155"/>
      <c r="BM17" s="105">
        <f>+(BK17/BH17)</f>
        <v>0</v>
      </c>
      <c r="BN17" s="105">
        <f>+(BL17/BJ17)</f>
        <v>0</v>
      </c>
      <c r="BO17" s="105">
        <f>+(AQ17+AG17+BA17+BK17)/Z17</f>
        <v>0.24984377122673551</v>
      </c>
      <c r="BP17" s="105">
        <f>+(AR17+AH17+BB17+BL17)/AB17</f>
        <v>0.20555555586530977</v>
      </c>
      <c r="BQ17" s="105"/>
      <c r="BR17" s="90">
        <f>IF(AND(AD17=0,AG17=0),"No Prog ni Ejec",IF(AD17=0,CONCATENATE("No Prog, Ejec=  ",AG17),AG17/AD17))</f>
        <v>0.99937508490694205</v>
      </c>
      <c r="BS17" s="90">
        <f>IF(AND(AF17=0,AH17=0),"No Prog ni Ejec",IF(AF17=0,CONCATENATE("No Prog, Ejec=  ",AH17),AH17/AF17))</f>
        <v>0.82222222346123908</v>
      </c>
      <c r="BT17" s="90">
        <f>IF(AND(AN17=0,AQ17=0),"No Prog ni Ejec",IF(AN17=0,CONCATENATE("No Prog, Ejec=  ",AQ17),AQ17/AN17))</f>
        <v>0</v>
      </c>
      <c r="BU17" s="90">
        <f>IF(AND(AP17=0,AR17=0),"No Prog ni Ejec",IF(AP17=0,CONCATENATE("No Prog, Ejec=  ",AR17),AR17/AP17))</f>
        <v>0</v>
      </c>
      <c r="BV17" s="90">
        <f>IF(AND(AX17=0,BA17=0),"No Prog ni Ejec",IF(AX17=0,CONCATENATE("No Prog, Ejec=  ",BA17),BA17/AX17))</f>
        <v>0</v>
      </c>
      <c r="BW17" s="90">
        <f>IF(AND(AZ17=0,BB17=0),"No Prog ni Ejec",IF(AZ17=0,CONCATENATE("No Prog, Ejec=  ",BB17),BB17/AZ17))</f>
        <v>0</v>
      </c>
      <c r="BX17" s="90">
        <f>IF(AND(BH17=0,BK17=0),"No Prog ni Ejec",IF(BH17=0,CONCATENATE("No Prog, Ejec=  ",BK17),BK17/BH17))</f>
        <v>0</v>
      </c>
      <c r="BY17" s="90">
        <f>IF(AND(BJ17=0,BL17=0),"No Prog ni Ejec",IF(BJ17=0,CONCATENATE("No Prog, Ejec=  ",BL17),BL17/BJ17))</f>
        <v>0</v>
      </c>
      <c r="BZ17" s="157">
        <f t="shared" si="28"/>
        <v>0</v>
      </c>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row>
    <row r="18" spans="1:229" s="91" customFormat="1" ht="255" x14ac:dyDescent="0.2">
      <c r="A18" s="148">
        <v>11300</v>
      </c>
      <c r="B18" s="144" t="s">
        <v>2</v>
      </c>
      <c r="C18" s="144" t="s">
        <v>332</v>
      </c>
      <c r="D18" s="145" t="s">
        <v>1108</v>
      </c>
      <c r="E18" s="145" t="s">
        <v>1108</v>
      </c>
      <c r="F18" s="148" t="s">
        <v>62</v>
      </c>
      <c r="G18" s="144" t="s">
        <v>59</v>
      </c>
      <c r="H18" s="144" t="s">
        <v>206</v>
      </c>
      <c r="I18" s="144" t="s">
        <v>206</v>
      </c>
      <c r="J18" s="148" t="s">
        <v>989</v>
      </c>
      <c r="K18" s="144" t="s">
        <v>92</v>
      </c>
      <c r="L18" s="149" t="s">
        <v>51</v>
      </c>
      <c r="M18" s="112">
        <v>1</v>
      </c>
      <c r="N18" s="148" t="s">
        <v>1429</v>
      </c>
      <c r="O18" s="144" t="s">
        <v>480</v>
      </c>
      <c r="P18" s="152">
        <v>313146156</v>
      </c>
      <c r="Q18" s="112">
        <v>1</v>
      </c>
      <c r="R18" s="144" t="s">
        <v>17</v>
      </c>
      <c r="S18" s="144" t="s">
        <v>26</v>
      </c>
      <c r="T18" s="144" t="s">
        <v>674</v>
      </c>
      <c r="U18" s="144" t="s">
        <v>677</v>
      </c>
      <c r="V18" s="144" t="s">
        <v>74</v>
      </c>
      <c r="W18" s="530" t="s">
        <v>1393</v>
      </c>
      <c r="X18" s="144" t="s">
        <v>475</v>
      </c>
      <c r="Y18" s="144" t="s">
        <v>206</v>
      </c>
      <c r="Z18" s="112">
        <v>1</v>
      </c>
      <c r="AA18" s="144" t="str">
        <f t="shared" si="29"/>
        <v>Tramitar Ordenes de Giro</v>
      </c>
      <c r="AB18" s="68">
        <f t="shared" si="29"/>
        <v>313146156</v>
      </c>
      <c r="AC18" s="69" t="s">
        <v>46</v>
      </c>
      <c r="AD18" s="105">
        <v>0.25</v>
      </c>
      <c r="AE18" s="144" t="str">
        <f>+AA18</f>
        <v>Tramitar Ordenes de Giro</v>
      </c>
      <c r="AF18" s="111">
        <f>AB18/4</f>
        <v>78286539</v>
      </c>
      <c r="AG18" s="589">
        <f>(57892/57892)*AD18</f>
        <v>0.25</v>
      </c>
      <c r="AH18" s="581">
        <v>61187081</v>
      </c>
      <c r="AI18" s="71">
        <f>+(AG18/AD18)</f>
        <v>1</v>
      </c>
      <c r="AJ18" s="71">
        <f>+(AH18/AF18)</f>
        <v>0.78157856742140563</v>
      </c>
      <c r="AK18" s="71">
        <f>+(AG18/Z18)</f>
        <v>0.25</v>
      </c>
      <c r="AL18" s="71">
        <f>+(AH18/AB18)</f>
        <v>0.19539464185535141</v>
      </c>
      <c r="AM18" s="591" t="s">
        <v>1457</v>
      </c>
      <c r="AN18" s="105">
        <v>0.25</v>
      </c>
      <c r="AO18" s="144" t="str">
        <f>+AA18</f>
        <v>Tramitar Ordenes de Giro</v>
      </c>
      <c r="AP18" s="111">
        <f>AB18/4</f>
        <v>78286539</v>
      </c>
      <c r="AQ18" s="155"/>
      <c r="AR18" s="155"/>
      <c r="AS18" s="71">
        <f>+(AQ18/AN18)</f>
        <v>0</v>
      </c>
      <c r="AT18" s="71">
        <f>+(AR18/AP18)</f>
        <v>0</v>
      </c>
      <c r="AU18" s="71">
        <f>+(AQ18+AG18)/Z18</f>
        <v>0.25</v>
      </c>
      <c r="AV18" s="71">
        <f>+(AR18+AH18)/AB18</f>
        <v>0.19539464185535141</v>
      </c>
      <c r="AW18" s="71"/>
      <c r="AX18" s="105">
        <v>0.25</v>
      </c>
      <c r="AY18" s="144" t="str">
        <f>+AA18</f>
        <v>Tramitar Ordenes de Giro</v>
      </c>
      <c r="AZ18" s="111">
        <f>AB18/4</f>
        <v>78286539</v>
      </c>
      <c r="BA18" s="73"/>
      <c r="BB18" s="73"/>
      <c r="BC18" s="71">
        <f>+(BA18/AX18)</f>
        <v>0</v>
      </c>
      <c r="BD18" s="71">
        <f>+(BB18/AZ18)</f>
        <v>0</v>
      </c>
      <c r="BE18" s="71">
        <f>+(AQ18+AG18+BA18)/Z18</f>
        <v>0.25</v>
      </c>
      <c r="BF18" s="71">
        <f>+(AR18+AH18+BB18)/AB18</f>
        <v>0.19539464185535141</v>
      </c>
      <c r="BG18" s="71"/>
      <c r="BH18" s="105">
        <v>0.25</v>
      </c>
      <c r="BI18" s="144" t="str">
        <f>+AA18</f>
        <v>Tramitar Ordenes de Giro</v>
      </c>
      <c r="BJ18" s="111">
        <f>AB18/4</f>
        <v>78286539</v>
      </c>
      <c r="BK18" s="155"/>
      <c r="BL18" s="155"/>
      <c r="BM18" s="105">
        <f>+(BK18/BH18)</f>
        <v>0</v>
      </c>
      <c r="BN18" s="105">
        <f>+(BL18/BJ18)</f>
        <v>0</v>
      </c>
      <c r="BO18" s="105">
        <f>+(AQ18+AG18+BA18+BK18)/Z18</f>
        <v>0.25</v>
      </c>
      <c r="BP18" s="105">
        <f>+(AR18+AH18+BB18+BL18)/AB18</f>
        <v>0.19539464185535141</v>
      </c>
      <c r="BQ18" s="105"/>
      <c r="BR18" s="90">
        <f>IF(AND(AD18=0,AG18=0),"No Prog ni Ejec",IF(AD18=0,CONCATENATE("No Prog, Ejec=  ",AG18),AG18/AD18))</f>
        <v>1</v>
      </c>
      <c r="BS18" s="90">
        <f>IF(AND(AF18=0,AH18=0),"No Prog ni Ejec",IF(AF18=0,CONCATENATE("No Prog, Ejec=  ",AH18),AH18/AF18))</f>
        <v>0.78157856742140563</v>
      </c>
      <c r="BT18" s="90">
        <f>IF(AND(AN18=0,AQ18=0),"No Prog ni Ejec",IF(AN18=0,CONCATENATE("No Prog, Ejec=  ",AQ18),AQ18/AN18))</f>
        <v>0</v>
      </c>
      <c r="BU18" s="90">
        <f>IF(AND(AP18=0,AR18=0),"No Prog ni Ejec",IF(AP18=0,CONCATENATE("No Prog, Ejec=  ",AR18),AR18/AP18))</f>
        <v>0</v>
      </c>
      <c r="BV18" s="90">
        <f>IF(AND(AX18=0,BA18=0),"No Prog ni Ejec",IF(AX18=0,CONCATENATE("No Prog, Ejec=  ",BA18),BA18/AX18))</f>
        <v>0</v>
      </c>
      <c r="BW18" s="90">
        <f>IF(AND(AZ18=0,BB18=0),"No Prog ni Ejec",IF(AZ18=0,CONCATENATE("No Prog, Ejec=  ",BB18),BB18/AZ18))</f>
        <v>0</v>
      </c>
      <c r="BX18" s="90">
        <f>IF(AND(BH18=0,BK18=0),"No Prog ni Ejec",IF(BH18=0,CONCATENATE("No Prog, Ejec=  ",BK18),BK18/BH18))</f>
        <v>0</v>
      </c>
      <c r="BY18" s="90">
        <f>IF(AND(BJ18=0,BL18=0),"No Prog ni Ejec",IF(BJ18=0,CONCATENATE("No Prog, Ejec=  ",BL18),BL18/BJ18))</f>
        <v>0</v>
      </c>
      <c r="BZ18" s="157">
        <f t="shared" si="28"/>
        <v>0</v>
      </c>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row>
    <row r="19" spans="1:229" s="91" customFormat="1" ht="204" x14ac:dyDescent="0.2">
      <c r="A19" s="148">
        <v>11300</v>
      </c>
      <c r="B19" s="144" t="s">
        <v>2</v>
      </c>
      <c r="C19" s="144" t="s">
        <v>332</v>
      </c>
      <c r="D19" s="145" t="s">
        <v>1108</v>
      </c>
      <c r="E19" s="145" t="s">
        <v>1108</v>
      </c>
      <c r="F19" s="148" t="s">
        <v>62</v>
      </c>
      <c r="G19" s="144" t="s">
        <v>59</v>
      </c>
      <c r="H19" s="144" t="s">
        <v>206</v>
      </c>
      <c r="I19" s="144" t="s">
        <v>206</v>
      </c>
      <c r="J19" s="148" t="s">
        <v>990</v>
      </c>
      <c r="K19" s="144" t="s">
        <v>478</v>
      </c>
      <c r="L19" s="149" t="s">
        <v>51</v>
      </c>
      <c r="M19" s="112">
        <v>1</v>
      </c>
      <c r="N19" s="148" t="s">
        <v>1430</v>
      </c>
      <c r="O19" s="144" t="s">
        <v>479</v>
      </c>
      <c r="P19" s="152">
        <v>48960000</v>
      </c>
      <c r="Q19" s="112">
        <v>1</v>
      </c>
      <c r="R19" s="144" t="s">
        <v>17</v>
      </c>
      <c r="S19" s="144" t="s">
        <v>26</v>
      </c>
      <c r="T19" s="144" t="s">
        <v>674</v>
      </c>
      <c r="U19" s="144" t="s">
        <v>677</v>
      </c>
      <c r="V19" s="144" t="s">
        <v>74</v>
      </c>
      <c r="W19" s="530" t="s">
        <v>206</v>
      </c>
      <c r="X19" s="144" t="s">
        <v>159</v>
      </c>
      <c r="Y19" s="144" t="s">
        <v>206</v>
      </c>
      <c r="Z19" s="112">
        <v>1</v>
      </c>
      <c r="AA19" s="144" t="str">
        <f t="shared" si="29"/>
        <v>Realizar informes de portafolio</v>
      </c>
      <c r="AB19" s="68">
        <f t="shared" si="29"/>
        <v>48960000</v>
      </c>
      <c r="AC19" s="69" t="s">
        <v>46</v>
      </c>
      <c r="AD19" s="105">
        <v>0.25</v>
      </c>
      <c r="AE19" s="144" t="str">
        <f>+AA19</f>
        <v>Realizar informes de portafolio</v>
      </c>
      <c r="AF19" s="111">
        <f>AB19/4</f>
        <v>12240000</v>
      </c>
      <c r="AG19" s="589">
        <f>(61/61)*AD19</f>
        <v>0.25</v>
      </c>
      <c r="AH19" s="581">
        <v>10064000</v>
      </c>
      <c r="AI19" s="71">
        <f>+(AG19/AD19)</f>
        <v>1</v>
      </c>
      <c r="AJ19" s="71">
        <f>+(AH19/AF19)</f>
        <v>0.82222222222222219</v>
      </c>
      <c r="AK19" s="71">
        <f>+(AG19/Z19)</f>
        <v>0.25</v>
      </c>
      <c r="AL19" s="71">
        <f>+(AH19/AB19)</f>
        <v>0.20555555555555555</v>
      </c>
      <c r="AM19" s="591" t="s">
        <v>1458</v>
      </c>
      <c r="AN19" s="105">
        <v>0.25</v>
      </c>
      <c r="AO19" s="144" t="str">
        <f>+AA19</f>
        <v>Realizar informes de portafolio</v>
      </c>
      <c r="AP19" s="111">
        <f>AB19/4</f>
        <v>12240000</v>
      </c>
      <c r="AQ19" s="155"/>
      <c r="AR19" s="155"/>
      <c r="AS19" s="71">
        <f>+(AQ19/AN19)</f>
        <v>0</v>
      </c>
      <c r="AT19" s="71">
        <f>+(AR19/AP19)</f>
        <v>0</v>
      </c>
      <c r="AU19" s="71">
        <f>+(AQ19+AG19)/Z19</f>
        <v>0.25</v>
      </c>
      <c r="AV19" s="71">
        <f>+(AR19+AH19)/AB19</f>
        <v>0.20555555555555555</v>
      </c>
      <c r="AW19" s="71"/>
      <c r="AX19" s="105">
        <v>0.25</v>
      </c>
      <c r="AY19" s="144" t="str">
        <f>+AA19</f>
        <v>Realizar informes de portafolio</v>
      </c>
      <c r="AZ19" s="111">
        <f>AB19/4</f>
        <v>12240000</v>
      </c>
      <c r="BA19" s="73"/>
      <c r="BB19" s="73"/>
      <c r="BC19" s="71">
        <f>+(BA19/AX19)</f>
        <v>0</v>
      </c>
      <c r="BD19" s="71">
        <f>+(BB19/AZ19)</f>
        <v>0</v>
      </c>
      <c r="BE19" s="71">
        <f>+(AQ19+AG19+BA19)/Z19</f>
        <v>0.25</v>
      </c>
      <c r="BF19" s="71">
        <f>+(AR19+AH19+BB19)/AB19</f>
        <v>0.20555555555555555</v>
      </c>
      <c r="BG19" s="71"/>
      <c r="BH19" s="105">
        <v>0.25</v>
      </c>
      <c r="BI19" s="144" t="str">
        <f>+AA19</f>
        <v>Realizar informes de portafolio</v>
      </c>
      <c r="BJ19" s="111">
        <f>AB19/4</f>
        <v>12240000</v>
      </c>
      <c r="BK19" s="155"/>
      <c r="BL19" s="155"/>
      <c r="BM19" s="105">
        <f>+(BK19/BH19)</f>
        <v>0</v>
      </c>
      <c r="BN19" s="105">
        <f>+(BL19/BJ19)</f>
        <v>0</v>
      </c>
      <c r="BO19" s="105">
        <f>+(AQ19+AG19+BA19+BK19)/Z19</f>
        <v>0.25</v>
      </c>
      <c r="BP19" s="105">
        <f>+(AR19+AH19+BB19+BL19)/AB19</f>
        <v>0.20555555555555555</v>
      </c>
      <c r="BQ19" s="105"/>
      <c r="BR19" s="90">
        <f>IF(AND(AD19=0,AG19=0),"No Prog ni Ejec",IF(AD19=0,CONCATENATE("No Prog, Ejec=  ",AG19),AG19/AD19))</f>
        <v>1</v>
      </c>
      <c r="BS19" s="90">
        <f>IF(AND(AF19=0,AH19=0),"No Prog ni Ejec",IF(AF19=0,CONCATENATE("No Prog, Ejec=  ",AH19),AH19/AF19))</f>
        <v>0.82222222222222219</v>
      </c>
      <c r="BT19" s="90">
        <f>IF(AND(AN19=0,AQ19=0),"No Prog ni Ejec",IF(AN19=0,CONCATENATE("No Prog, Ejec=  ",AQ19),AQ19/AN19))</f>
        <v>0</v>
      </c>
      <c r="BU19" s="90">
        <f>IF(AND(AP19=0,AR19=0),"No Prog ni Ejec",IF(AP19=0,CONCATENATE("No Prog, Ejec=  ",AR19),AR19/AP19))</f>
        <v>0</v>
      </c>
      <c r="BV19" s="90">
        <f>IF(AND(AX19=0,BA19=0),"No Prog ni Ejec",IF(AX19=0,CONCATENATE("No Prog, Ejec=  ",BA19),BA19/AX19))</f>
        <v>0</v>
      </c>
      <c r="BW19" s="90">
        <f>IF(AND(AZ19=0,BB19=0),"No Prog ni Ejec",IF(AZ19=0,CONCATENATE("No Prog, Ejec=  ",BB19),BB19/AZ19))</f>
        <v>0</v>
      </c>
      <c r="BX19" s="90">
        <f>IF(AND(BH19=0,BK19=0),"No Prog ni Ejec",IF(BH19=0,CONCATENATE("No Prog, Ejec=  ",BK19),BK19/BH19))</f>
        <v>0</v>
      </c>
      <c r="BY19" s="90">
        <f>IF(AND(BJ19=0,BL19=0),"No Prog ni Ejec",IF(BJ19=0,CONCATENATE("No Prog, Ejec=  ",BL19),BL19/BJ19))</f>
        <v>0</v>
      </c>
      <c r="BZ19" s="157">
        <f t="shared" si="28"/>
        <v>0</v>
      </c>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row>
    <row r="20" spans="1:229" s="89" customFormat="1" ht="216.75" x14ac:dyDescent="0.2">
      <c r="A20" s="148">
        <v>11300</v>
      </c>
      <c r="B20" s="144" t="s">
        <v>2</v>
      </c>
      <c r="C20" s="144" t="s">
        <v>332</v>
      </c>
      <c r="D20" s="145" t="s">
        <v>1108</v>
      </c>
      <c r="E20" s="145" t="s">
        <v>1108</v>
      </c>
      <c r="F20" s="148" t="s">
        <v>62</v>
      </c>
      <c r="G20" s="144" t="s">
        <v>59</v>
      </c>
      <c r="H20" s="144" t="s">
        <v>206</v>
      </c>
      <c r="I20" s="144" t="s">
        <v>206</v>
      </c>
      <c r="J20" s="148" t="s">
        <v>991</v>
      </c>
      <c r="K20" s="144" t="s">
        <v>93</v>
      </c>
      <c r="L20" s="149" t="s">
        <v>52</v>
      </c>
      <c r="M20" s="148">
        <v>4</v>
      </c>
      <c r="N20" s="148" t="s">
        <v>1431</v>
      </c>
      <c r="O20" s="144" t="s">
        <v>477</v>
      </c>
      <c r="P20" s="111">
        <v>223720404</v>
      </c>
      <c r="Q20" s="112">
        <v>1</v>
      </c>
      <c r="R20" s="144" t="s">
        <v>18</v>
      </c>
      <c r="S20" s="144" t="s">
        <v>24</v>
      </c>
      <c r="T20" s="144" t="s">
        <v>206</v>
      </c>
      <c r="U20" s="144" t="s">
        <v>678</v>
      </c>
      <c r="V20" s="144" t="s">
        <v>1126</v>
      </c>
      <c r="W20" s="530" t="s">
        <v>1394</v>
      </c>
      <c r="X20" s="144" t="s">
        <v>476</v>
      </c>
      <c r="Y20" s="144" t="s">
        <v>40</v>
      </c>
      <c r="Z20" s="148">
        <v>4</v>
      </c>
      <c r="AA20" s="144" t="str">
        <f t="shared" si="29"/>
        <v>Reportar Estados Financieros</v>
      </c>
      <c r="AB20" s="68">
        <f t="shared" si="29"/>
        <v>223720404</v>
      </c>
      <c r="AC20" s="69" t="s">
        <v>46</v>
      </c>
      <c r="AD20" s="67">
        <v>1</v>
      </c>
      <c r="AE20" s="144" t="str">
        <f>+AA20</f>
        <v>Reportar Estados Financieros</v>
      </c>
      <c r="AF20" s="111">
        <f>AB20/4</f>
        <v>55930101</v>
      </c>
      <c r="AG20" s="590">
        <v>1</v>
      </c>
      <c r="AH20" s="581">
        <v>43423744</v>
      </c>
      <c r="AI20" s="71">
        <f>+(AG20/AD20)</f>
        <v>1</v>
      </c>
      <c r="AJ20" s="71">
        <f>+(AH20/AF20)</f>
        <v>0.77639309108345789</v>
      </c>
      <c r="AK20" s="71">
        <f>+(AG20/Z20)</f>
        <v>0.25</v>
      </c>
      <c r="AL20" s="71">
        <f>+(AH20/AB20)</f>
        <v>0.19409827277086447</v>
      </c>
      <c r="AM20" s="591" t="s">
        <v>1459</v>
      </c>
      <c r="AN20" s="67">
        <v>1</v>
      </c>
      <c r="AO20" s="144" t="str">
        <f>+AA20</f>
        <v>Reportar Estados Financieros</v>
      </c>
      <c r="AP20" s="111">
        <f>AB20/4</f>
        <v>55930101</v>
      </c>
      <c r="AQ20" s="155"/>
      <c r="AR20" s="155"/>
      <c r="AS20" s="71">
        <f>+(AQ20/AN20)</f>
        <v>0</v>
      </c>
      <c r="AT20" s="71">
        <f>+(AR20/AP20)</f>
        <v>0</v>
      </c>
      <c r="AU20" s="71">
        <f>+(AQ20+AG20)/Z20</f>
        <v>0.25</v>
      </c>
      <c r="AV20" s="71">
        <f>+(AR20+AH20)/AB20</f>
        <v>0.19409827277086447</v>
      </c>
      <c r="AW20" s="71"/>
      <c r="AX20" s="67">
        <v>1</v>
      </c>
      <c r="AY20" s="144" t="str">
        <f>+AA20</f>
        <v>Reportar Estados Financieros</v>
      </c>
      <c r="AZ20" s="111">
        <f>AB20/4</f>
        <v>55930101</v>
      </c>
      <c r="BA20" s="73"/>
      <c r="BB20" s="73"/>
      <c r="BC20" s="71">
        <f>+(BA20/AX20)</f>
        <v>0</v>
      </c>
      <c r="BD20" s="71">
        <f>+(BB20/AZ20)</f>
        <v>0</v>
      </c>
      <c r="BE20" s="71">
        <f>+(AQ20+AG20+BA20)/Z20</f>
        <v>0.25</v>
      </c>
      <c r="BF20" s="71">
        <f>+(AR20+AH20+BB20)/AB20</f>
        <v>0.19409827277086447</v>
      </c>
      <c r="BG20" s="71"/>
      <c r="BH20" s="67">
        <v>1</v>
      </c>
      <c r="BI20" s="144" t="str">
        <f>+AA20</f>
        <v>Reportar Estados Financieros</v>
      </c>
      <c r="BJ20" s="111">
        <f>AB20/4</f>
        <v>55930101</v>
      </c>
      <c r="BK20" s="155"/>
      <c r="BL20" s="155"/>
      <c r="BM20" s="105">
        <f>+(BK20/BH20)</f>
        <v>0</v>
      </c>
      <c r="BN20" s="105">
        <f>+(BL20/BJ20)</f>
        <v>0</v>
      </c>
      <c r="BO20" s="105">
        <f>+(AQ20+AG20+BA20+BK20)/Z20</f>
        <v>0.25</v>
      </c>
      <c r="BP20" s="105">
        <f>+(AR20+AH20+BB20+BL20)/AB20</f>
        <v>0.19409827277086447</v>
      </c>
      <c r="BQ20" s="105"/>
      <c r="BR20" s="88">
        <f>IF(AND(AD20=0,AG20=0),"No Prog ni Ejec",IF(AD20=0,CONCATENATE("No Prog, Ejec=  ",AG20),AG20/AD20))</f>
        <v>1</v>
      </c>
      <c r="BS20" s="88">
        <f>IF(AND(AF20=0,AH20=0),"No Prog ni Ejec",IF(AF20=0,CONCATENATE("No Prog, Ejec=  ",AH20),AH20/AF20))</f>
        <v>0.77639309108345789</v>
      </c>
      <c r="BT20" s="88">
        <f>IF(AND(AN20=0,AQ20=0),"No Prog ni Ejec",IF(AN20=0,CONCATENATE("No Prog, Ejec=  ",AQ20),AQ20/AN20))</f>
        <v>0</v>
      </c>
      <c r="BU20" s="88">
        <f>IF(AND(AP20=0,AR20=0),"No Prog ni Ejec",IF(AP20=0,CONCATENATE("No Prog, Ejec=  ",AR20),AR20/AP20))</f>
        <v>0</v>
      </c>
      <c r="BV20" s="88">
        <f>IF(AND(AX20=0,BA20=0),"No Prog ni Ejec",IF(AX20=0,CONCATENATE("No Prog, Ejec=  ",BA20),BA20/AX20))</f>
        <v>0</v>
      </c>
      <c r="BW20" s="88">
        <f>IF(AND(AZ20=0,BB20=0),"No Prog ni Ejec",IF(AZ20=0,CONCATENATE("No Prog, Ejec=  ",BB20),BB20/AZ20))</f>
        <v>0</v>
      </c>
      <c r="BX20" s="88">
        <f>IF(AND(BH20=0,BK20=0),"No Prog ni Ejec",IF(BH20=0,CONCATENATE("No Prog, Ejec=  ",BK20),BK20/BH20))</f>
        <v>0</v>
      </c>
      <c r="BY20" s="88">
        <f>IF(AND(BJ20=0,BL20=0),"No Prog ni Ejec",IF(BJ20=0,CONCATENATE("No Prog, Ejec=  ",BL20),BL20/BJ20))</f>
        <v>0</v>
      </c>
      <c r="BZ20" s="157">
        <f t="shared" si="28"/>
        <v>0</v>
      </c>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row>
    <row r="21" spans="1:229" x14ac:dyDescent="0.2">
      <c r="A21" s="86"/>
      <c r="B21" s="86"/>
      <c r="C21" s="86"/>
      <c r="D21" s="86"/>
      <c r="E21" s="86"/>
      <c r="F21" s="86"/>
      <c r="G21" s="86"/>
      <c r="H21" s="86"/>
      <c r="I21" s="86"/>
      <c r="J21" s="86"/>
      <c r="K21" s="86"/>
      <c r="L21" s="175"/>
      <c r="M21" s="86"/>
      <c r="N21" s="86"/>
      <c r="O21" s="86"/>
      <c r="P21" s="176"/>
      <c r="Q21" s="86"/>
      <c r="R21" s="86"/>
      <c r="S21" s="86"/>
      <c r="T21" s="86"/>
      <c r="U21" s="86"/>
      <c r="V21" s="86"/>
      <c r="W21" s="86"/>
      <c r="X21" s="86"/>
      <c r="Y21" s="86"/>
      <c r="Z21" s="86"/>
      <c r="AA21" s="86"/>
      <c r="AB21" s="86"/>
      <c r="AC21" s="86"/>
      <c r="AO21" s="177"/>
    </row>
    <row r="22" spans="1:229" x14ac:dyDescent="0.2">
      <c r="A22" s="22" t="s">
        <v>1386</v>
      </c>
      <c r="B22" s="86"/>
      <c r="C22" s="86"/>
      <c r="D22" s="86"/>
      <c r="E22" s="86"/>
      <c r="F22" s="86"/>
      <c r="G22" s="86"/>
      <c r="H22" s="86"/>
      <c r="I22" s="86"/>
      <c r="J22" s="86"/>
      <c r="K22" s="86"/>
      <c r="L22" s="175"/>
      <c r="N22" s="178"/>
      <c r="P22" s="179"/>
      <c r="BR22" s="808" t="s">
        <v>181</v>
      </c>
      <c r="BS22" s="809"/>
      <c r="BT22" s="809"/>
      <c r="BU22" s="809"/>
      <c r="BV22" s="809"/>
      <c r="BW22" s="810"/>
    </row>
    <row r="23" spans="1:229" x14ac:dyDescent="0.2">
      <c r="A23" s="86"/>
      <c r="B23" s="86"/>
      <c r="C23" s="86"/>
      <c r="D23" s="86"/>
      <c r="E23" s="86"/>
      <c r="F23" s="86"/>
      <c r="G23" s="86"/>
      <c r="H23" s="86"/>
      <c r="I23" s="86"/>
      <c r="J23" s="86"/>
      <c r="K23" s="86"/>
      <c r="L23" s="175"/>
      <c r="P23" s="167"/>
      <c r="BR23" s="821" t="s">
        <v>182</v>
      </c>
      <c r="BS23" s="822"/>
      <c r="BT23" s="814" t="s">
        <v>183</v>
      </c>
      <c r="BU23" s="815"/>
      <c r="BV23" s="815"/>
      <c r="BW23" s="816"/>
    </row>
    <row r="24" spans="1:229" x14ac:dyDescent="0.2">
      <c r="A24" s="86"/>
      <c r="B24" s="86"/>
      <c r="C24" s="86"/>
      <c r="D24" s="86"/>
      <c r="E24" s="86"/>
      <c r="F24" s="86"/>
      <c r="G24" s="86"/>
      <c r="H24" s="86"/>
      <c r="I24" s="86"/>
      <c r="J24" s="86"/>
      <c r="K24" s="86"/>
      <c r="L24" s="175"/>
      <c r="P24" s="180"/>
      <c r="BR24" s="823" t="s">
        <v>198</v>
      </c>
      <c r="BS24" s="824"/>
      <c r="BT24" s="814" t="s">
        <v>200</v>
      </c>
      <c r="BU24" s="815"/>
      <c r="BV24" s="815"/>
      <c r="BW24" s="816"/>
    </row>
    <row r="25" spans="1:229" x14ac:dyDescent="0.2">
      <c r="A25" s="86"/>
      <c r="B25" s="86"/>
      <c r="C25" s="86"/>
      <c r="D25" s="86"/>
      <c r="E25" s="86"/>
      <c r="F25" s="86"/>
      <c r="G25" s="86"/>
      <c r="H25" s="86"/>
      <c r="I25" s="86"/>
      <c r="J25" s="86"/>
      <c r="K25" s="86"/>
      <c r="L25" s="175"/>
      <c r="BR25" s="825" t="s">
        <v>199</v>
      </c>
      <c r="BS25" s="826"/>
      <c r="BT25" s="814" t="s">
        <v>184</v>
      </c>
      <c r="BU25" s="815"/>
      <c r="BV25" s="815"/>
      <c r="BW25" s="816"/>
    </row>
    <row r="26" spans="1:229" x14ac:dyDescent="0.2">
      <c r="A26" s="86"/>
      <c r="B26" s="86"/>
      <c r="C26" s="86"/>
      <c r="D26" s="86"/>
      <c r="E26" s="86"/>
      <c r="F26" s="86"/>
      <c r="G26" s="86"/>
      <c r="H26" s="86"/>
      <c r="I26" s="86"/>
      <c r="J26" s="86"/>
      <c r="K26" s="86"/>
      <c r="L26" s="175"/>
      <c r="P26" s="167"/>
      <c r="BR26" s="812" t="s">
        <v>196</v>
      </c>
      <c r="BS26" s="813"/>
      <c r="BT26" s="814" t="s">
        <v>185</v>
      </c>
      <c r="BU26" s="815"/>
      <c r="BV26" s="815"/>
      <c r="BW26" s="816"/>
    </row>
    <row r="27" spans="1:229" x14ac:dyDescent="0.2">
      <c r="A27" s="86"/>
      <c r="B27" s="86"/>
      <c r="C27" s="86"/>
      <c r="D27" s="86"/>
      <c r="E27" s="86"/>
      <c r="F27" s="86"/>
      <c r="G27" s="86"/>
      <c r="H27" s="86"/>
      <c r="I27" s="86"/>
      <c r="J27" s="86"/>
      <c r="K27" s="86"/>
      <c r="L27" s="175"/>
      <c r="BR27" s="817" t="s">
        <v>243</v>
      </c>
      <c r="BS27" s="818"/>
      <c r="BT27" s="814" t="s">
        <v>186</v>
      </c>
      <c r="BU27" s="815"/>
      <c r="BV27" s="815"/>
      <c r="BW27" s="816"/>
    </row>
    <row r="28" spans="1:229" x14ac:dyDescent="0.2">
      <c r="A28" s="86"/>
      <c r="B28" s="86"/>
      <c r="C28" s="86"/>
      <c r="D28" s="86"/>
      <c r="E28" s="86"/>
      <c r="F28" s="86"/>
      <c r="G28" s="86"/>
      <c r="H28" s="86"/>
      <c r="I28" s="86"/>
      <c r="J28" s="86"/>
      <c r="K28" s="86"/>
      <c r="L28" s="175"/>
      <c r="BR28" s="819" t="s">
        <v>187</v>
      </c>
      <c r="BS28" s="819"/>
      <c r="BT28" s="820" t="s">
        <v>188</v>
      </c>
      <c r="BU28" s="820"/>
      <c r="BV28" s="820"/>
      <c r="BW28" s="820"/>
    </row>
    <row r="29" spans="1:229" x14ac:dyDescent="0.2">
      <c r="A29" s="86"/>
      <c r="B29" s="86"/>
      <c r="C29" s="86"/>
      <c r="D29" s="86"/>
      <c r="E29" s="86"/>
      <c r="F29" s="86"/>
      <c r="G29" s="86"/>
      <c r="H29" s="86"/>
      <c r="I29" s="86"/>
      <c r="J29" s="86"/>
      <c r="K29" s="86"/>
      <c r="L29" s="175"/>
    </row>
    <row r="30" spans="1:229" x14ac:dyDescent="0.2">
      <c r="A30" s="86"/>
      <c r="B30" s="86"/>
      <c r="C30" s="86"/>
      <c r="D30" s="86"/>
      <c r="E30" s="86"/>
      <c r="F30" s="86"/>
      <c r="G30" s="86"/>
      <c r="H30" s="86"/>
      <c r="I30" s="86"/>
      <c r="J30" s="86"/>
      <c r="K30" s="86"/>
      <c r="L30" s="175"/>
    </row>
    <row r="31" spans="1:229" x14ac:dyDescent="0.2">
      <c r="A31" s="86"/>
      <c r="B31" s="86"/>
      <c r="C31" s="86"/>
      <c r="D31" s="86"/>
      <c r="E31" s="86"/>
      <c r="F31" s="86"/>
      <c r="G31" s="86"/>
      <c r="H31" s="86"/>
      <c r="I31" s="86"/>
      <c r="J31" s="86"/>
      <c r="K31" s="86"/>
      <c r="L31" s="175"/>
    </row>
    <row r="32" spans="1:229" x14ac:dyDescent="0.2">
      <c r="A32" s="86"/>
      <c r="B32" s="86"/>
      <c r="C32" s="86"/>
      <c r="D32" s="86"/>
      <c r="E32" s="86"/>
      <c r="F32" s="86"/>
      <c r="G32" s="86"/>
      <c r="H32" s="86"/>
      <c r="I32" s="86"/>
      <c r="J32" s="86"/>
      <c r="K32" s="86"/>
      <c r="L32" s="175"/>
    </row>
    <row r="33" spans="1:12" x14ac:dyDescent="0.2">
      <c r="A33" s="86"/>
      <c r="B33" s="86"/>
      <c r="C33" s="86"/>
      <c r="D33" s="86"/>
      <c r="E33" s="86"/>
      <c r="F33" s="86"/>
      <c r="G33" s="86"/>
      <c r="H33" s="86"/>
      <c r="I33" s="86"/>
      <c r="J33" s="86"/>
      <c r="K33" s="86"/>
      <c r="L33" s="175"/>
    </row>
    <row r="34" spans="1:12" x14ac:dyDescent="0.2">
      <c r="A34" s="86"/>
      <c r="B34" s="86"/>
      <c r="C34" s="86"/>
      <c r="D34" s="86"/>
      <c r="E34" s="86"/>
      <c r="F34" s="86"/>
      <c r="G34" s="86"/>
      <c r="H34" s="86"/>
      <c r="I34" s="86"/>
      <c r="J34" s="86"/>
      <c r="K34" s="86"/>
      <c r="L34" s="175"/>
    </row>
    <row r="35" spans="1:12" x14ac:dyDescent="0.2">
      <c r="A35" s="86"/>
      <c r="B35" s="86"/>
      <c r="C35" s="86"/>
      <c r="D35" s="86"/>
      <c r="E35" s="86"/>
      <c r="F35" s="86"/>
      <c r="G35" s="86"/>
      <c r="H35" s="86"/>
      <c r="I35" s="86"/>
      <c r="J35" s="86"/>
      <c r="K35" s="86"/>
      <c r="L35" s="175"/>
    </row>
    <row r="36" spans="1:12" x14ac:dyDescent="0.2">
      <c r="A36" s="86"/>
      <c r="B36" s="86"/>
      <c r="C36" s="86"/>
      <c r="D36" s="86"/>
      <c r="E36" s="86"/>
      <c r="F36" s="86"/>
      <c r="G36" s="86"/>
      <c r="H36" s="86"/>
      <c r="I36" s="86"/>
      <c r="J36" s="86"/>
      <c r="K36" s="86"/>
      <c r="L36" s="175"/>
    </row>
  </sheetData>
  <autoFilter ref="A8:HU20" xr:uid="{951C54C2-BCAE-4986-9B9E-0A53A8A66372}"/>
  <mergeCells count="109">
    <mergeCell ref="K14:K15"/>
    <mergeCell ref="AA14:AA15"/>
    <mergeCell ref="AB14:AB15"/>
    <mergeCell ref="AE14:AE15"/>
    <mergeCell ref="W10:W12"/>
    <mergeCell ref="BY10:BY12"/>
    <mergeCell ref="BN10:BN12"/>
    <mergeCell ref="BP10:BP12"/>
    <mergeCell ref="BS10:BS12"/>
    <mergeCell ref="BU10:BU12"/>
    <mergeCell ref="BW10:BW12"/>
    <mergeCell ref="AV10:AV12"/>
    <mergeCell ref="BB10:BB12"/>
    <mergeCell ref="BD10:BD12"/>
    <mergeCell ref="BF10:BF12"/>
    <mergeCell ref="BL10:BL12"/>
    <mergeCell ref="AJ10:AJ12"/>
    <mergeCell ref="AL10:AL12"/>
    <mergeCell ref="AH10:AH12"/>
    <mergeCell ref="AR10:AR12"/>
    <mergeCell ref="AT10:AT12"/>
    <mergeCell ref="BR26:BS26"/>
    <mergeCell ref="BT26:BW26"/>
    <mergeCell ref="BR27:BS27"/>
    <mergeCell ref="BT27:BW27"/>
    <mergeCell ref="BR28:BS28"/>
    <mergeCell ref="BT28:BW28"/>
    <mergeCell ref="BR23:BS23"/>
    <mergeCell ref="BT23:BW23"/>
    <mergeCell ref="BR24:BS24"/>
    <mergeCell ref="BT24:BW24"/>
    <mergeCell ref="BR25:BS25"/>
    <mergeCell ref="BT25:BW25"/>
    <mergeCell ref="BR22:BW22"/>
    <mergeCell ref="G5:R5"/>
    <mergeCell ref="AD7:AM7"/>
    <mergeCell ref="AN7:AW7"/>
    <mergeCell ref="P10:P12"/>
    <mergeCell ref="AB10:AB12"/>
    <mergeCell ref="AF10:AF12"/>
    <mergeCell ref="AP10:AP12"/>
    <mergeCell ref="N10:N12"/>
    <mergeCell ref="N14:N15"/>
    <mergeCell ref="V10:V12"/>
    <mergeCell ref="R14:R15"/>
    <mergeCell ref="S14:S15"/>
    <mergeCell ref="T14:T15"/>
    <mergeCell ref="U14:U15"/>
    <mergeCell ref="V14:V15"/>
    <mergeCell ref="K7:K8"/>
    <mergeCell ref="L7:L8"/>
    <mergeCell ref="M7:M8"/>
    <mergeCell ref="N7:N8"/>
    <mergeCell ref="O7:O8"/>
    <mergeCell ref="P7:P8"/>
    <mergeCell ref="Q7:Q8"/>
    <mergeCell ref="R7:R8"/>
    <mergeCell ref="A1:B3"/>
    <mergeCell ref="C1:J1"/>
    <mergeCell ref="K1:BU1"/>
    <mergeCell ref="BV1:BY3"/>
    <mergeCell ref="C2:J2"/>
    <mergeCell ref="K2:K3"/>
    <mergeCell ref="L2:BS3"/>
    <mergeCell ref="BT2:BT3"/>
    <mergeCell ref="BU2:BU3"/>
    <mergeCell ref="C3:J3"/>
    <mergeCell ref="T7:T8"/>
    <mergeCell ref="U7:U8"/>
    <mergeCell ref="S7:S8"/>
    <mergeCell ref="AX7:BG7"/>
    <mergeCell ref="BH7:BQ7"/>
    <mergeCell ref="BR7:BY7"/>
    <mergeCell ref="AZ10:AZ12"/>
    <mergeCell ref="BJ10:BJ12"/>
    <mergeCell ref="O14:O15"/>
    <mergeCell ref="Q10:Q12"/>
    <mergeCell ref="Q14:Q15"/>
    <mergeCell ref="R10:R12"/>
    <mergeCell ref="S10:S12"/>
    <mergeCell ref="T10:T12"/>
    <mergeCell ref="Y10:Y12"/>
    <mergeCell ref="Y14:Y15"/>
    <mergeCell ref="BI14:BI15"/>
    <mergeCell ref="BJ14:BJ15"/>
    <mergeCell ref="AF14:AF15"/>
    <mergeCell ref="AO14:AO15"/>
    <mergeCell ref="AP14:AP15"/>
    <mergeCell ref="AY14:AY15"/>
    <mergeCell ref="AZ14:AZ15"/>
    <mergeCell ref="P14:P15"/>
    <mergeCell ref="D7:E7"/>
    <mergeCell ref="A7:A8"/>
    <mergeCell ref="B7:B8"/>
    <mergeCell ref="C7:C8"/>
    <mergeCell ref="F7:F8"/>
    <mergeCell ref="G7:G8"/>
    <mergeCell ref="H7:H8"/>
    <mergeCell ref="I7:I8"/>
    <mergeCell ref="J7:J8"/>
    <mergeCell ref="AB7:AB8"/>
    <mergeCell ref="AC7:AC8"/>
    <mergeCell ref="V7:V8"/>
    <mergeCell ref="X7:X8"/>
    <mergeCell ref="Y7:Y8"/>
    <mergeCell ref="Z7:Z8"/>
    <mergeCell ref="AA7:AA8"/>
    <mergeCell ref="W7:W8"/>
    <mergeCell ref="U10:U12"/>
  </mergeCells>
  <conditionalFormatting sqref="BR9:BY10 BR13:BY20 BR11:BR12 BT11:BT12 BV11:BV12 BX11:BX12">
    <cfRule type="cellIs" dxfId="11179" priority="43" operator="equal">
      <formula>#REF!</formula>
    </cfRule>
    <cfRule type="cellIs" dxfId="11178" priority="44" operator="greaterThan">
      <formula>1</formula>
    </cfRule>
    <cfRule type="cellIs" dxfId="11177" priority="45" operator="equal">
      <formula>100%</formula>
    </cfRule>
    <cfRule type="cellIs" dxfId="11176" priority="46" operator="between">
      <formula>80%</formula>
      <formula>99%</formula>
    </cfRule>
    <cfRule type="cellIs" dxfId="11175" priority="47" operator="between">
      <formula>0%</formula>
      <formula>79%</formula>
    </cfRule>
  </conditionalFormatting>
  <pageMargins left="0.23622047244094491" right="0.23622047244094491" top="0.74803149606299213" bottom="0.74803149606299213" header="0.31496062992125984" footer="0.31496062992125984"/>
  <pageSetup scale="40"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8" operator="containsText" id="{2D6CADB3-2232-44C5-898E-B7816289378D}">
            <xm:f>NOT(ISERROR(SEARCH(#REF!,BR9)))</xm:f>
            <xm:f>#REF!</xm:f>
            <x14:dxf>
              <font>
                <color theme="4"/>
              </font>
              <fill>
                <patternFill>
                  <bgColor theme="5" tint="0.59996337778862885"/>
                </patternFill>
              </fill>
            </x14:dxf>
          </x14:cfRule>
          <xm:sqref>BR9:BY10 BR13:BY20 BR11:BR12 BT11:BT12 BV11:BV12 BX11:BX12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300-000000000000}">
          <x14:formula1>
            <xm:f>'TAB. REF. PA'!$X$4:$X$9</xm:f>
          </x14:formula1>
          <xm:sqref>H17:H19 H12:H13 I9:I20</xm:sqref>
        </x14:dataValidation>
        <x14:dataValidation type="list" allowBlank="1" showInputMessage="1" showErrorMessage="1" xr:uid="{00000000-0002-0000-0300-000004000000}">
          <x14:formula1>
            <xm:f>'TAB. REF. PA'!$J$4:$J$6</xm:f>
          </x14:formula1>
          <xm:sqref>T9:T10 T13:T14 T16:T20</xm:sqref>
        </x14:dataValidation>
        <x14:dataValidation type="list" allowBlank="1" showInputMessage="1" showErrorMessage="1" xr:uid="{00000000-0002-0000-0300-000005000000}">
          <x14:formula1>
            <xm:f>'TAB. REF. PA'!$H$4:$H$21</xm:f>
          </x14:formula1>
          <xm:sqref>S9:S10 S13:S14 S16:S20</xm:sqref>
        </x14:dataValidation>
        <x14:dataValidation type="list" allowBlank="1" showInputMessage="1" showErrorMessage="1" xr:uid="{00000000-0002-0000-0300-000006000000}">
          <x14:formula1>
            <xm:f>'TAB. REF. PA'!$F$4:$F$10</xm:f>
          </x14:formula1>
          <xm:sqref>R9:R10 R13:R14 R16:R20</xm:sqref>
        </x14:dataValidation>
        <x14:dataValidation type="list" allowBlank="1" showInputMessage="1" showErrorMessage="1" xr:uid="{00000000-0002-0000-0300-000007000000}">
          <x14:formula1>
            <xm:f>'TAB. REF. PA'!$D$4:$D$9</xm:f>
          </x14:formula1>
          <xm:sqref>G9:G20</xm:sqref>
        </x14:dataValidation>
        <x14:dataValidation type="list" allowBlank="1" showInputMessage="1" showErrorMessage="1" xr:uid="{00000000-0002-0000-0300-000008000000}">
          <x14:formula1>
            <xm:f>'TAB. REF. PA'!$W$3:$W$7</xm:f>
          </x14:formula1>
          <xm:sqref>AC9:AC20</xm:sqref>
        </x14:dataValidation>
        <x14:dataValidation type="list" allowBlank="1" showInputMessage="1" showErrorMessage="1" xr:uid="{00000000-0002-0000-0300-000009000000}">
          <x14:formula1>
            <xm:f>'TAB. REF. PA'!$Y$4:$Y$14</xm:f>
          </x14:formula1>
          <xm:sqref>A9:A20</xm:sqref>
        </x14:dataValidation>
        <x14:dataValidation type="list" allowBlank="1" showInputMessage="1" showErrorMessage="1" xr:uid="{00000000-0002-0000-0300-00000A000000}">
          <x14:formula1>
            <xm:f>'TAB. REF. PA'!$R$4:$R$12</xm:f>
          </x14:formula1>
          <xm:sqref>C9:C20</xm:sqref>
        </x14:dataValidation>
        <x14:dataValidation type="list" allowBlank="1" showInputMessage="1" showErrorMessage="1" xr:uid="{00000000-0002-0000-0300-00000B000000}">
          <x14:formula1>
            <xm:f>'TAB. REF. PA'!$B$4:$B$14</xm:f>
          </x14:formula1>
          <xm:sqref>B9:B20</xm:sqref>
        </x14:dataValidation>
        <x14:dataValidation type="list" allowBlank="1" showInputMessage="1" showErrorMessage="1" xr:uid="{00000000-0002-0000-0300-000003000000}">
          <x14:formula1>
            <xm:f>'TAB. REF. PA'!$L$4:$L$11</xm:f>
          </x14:formula1>
          <xm:sqref>U9:U10 U13:U14 U16:U20</xm:sqref>
        </x14:dataValidation>
        <x14:dataValidation type="list" allowBlank="1" showInputMessage="1" showErrorMessage="1" xr:uid="{00000000-0002-0000-0300-000002000000}">
          <x14:formula1>
            <xm:f>'TAB. REF. PA'!$N$4:$N$28</xm:f>
          </x14:formula1>
          <xm:sqref>V16:V20</xm:sqref>
        </x14:dataValidation>
        <x14:dataValidation type="list" allowBlank="1" showInputMessage="1" showErrorMessage="1" xr:uid="{9A0BEEC7-C688-48E2-B48B-849170C59FF2}">
          <x14:formula1>
            <xm:f>'TAB. REF. PA'!$N$4:$N$33</xm:f>
          </x14:formula1>
          <xm:sqref>V13:V14 V9:V10</xm:sqref>
        </x14:dataValidation>
        <x14:dataValidation type="list" allowBlank="1" showInputMessage="1" showErrorMessage="1" xr:uid="{C28D3A0C-7956-4A84-943D-EEECF69FE110}">
          <x14:formula1>
            <xm:f>'TAB. REF. PA'!$U$4:$U$25</xm:f>
          </x14:formula1>
          <xm:sqref>Y9:Y10 Y13:Y14 Y16:Y20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C179"/>
  <sheetViews>
    <sheetView showGridLines="0" zoomScale="60" zoomScaleNormal="60" workbookViewId="0">
      <pane ySplit="8" topLeftCell="A9" activePane="bottomLeft" state="frozen"/>
      <selection activeCell="B1" sqref="B1"/>
      <selection pane="bottomLeft" activeCell="T11" sqref="T11:T13"/>
    </sheetView>
  </sheetViews>
  <sheetFormatPr baseColWidth="10" defaultRowHeight="15" x14ac:dyDescent="0.25"/>
  <cols>
    <col min="1" max="1" width="17.85546875" bestFit="1" customWidth="1"/>
    <col min="2" max="2" width="18.28515625" customWidth="1"/>
    <col min="3" max="3" width="16.42578125" customWidth="1"/>
    <col min="4" max="4" width="4.85546875" customWidth="1"/>
    <col min="5" max="13" width="3.85546875" customWidth="1"/>
    <col min="14" max="14" width="4" customWidth="1"/>
    <col min="15" max="16" width="3.85546875" customWidth="1"/>
    <col min="17" max="17" width="17.85546875" customWidth="1"/>
    <col min="18" max="18" width="21.5703125" customWidth="1"/>
    <col min="19" max="19" width="16.5703125" customWidth="1"/>
    <col min="20" max="20" width="37.5703125" customWidth="1"/>
    <col min="21" max="21" width="18.5703125" customWidth="1"/>
    <col min="22" max="22" width="40.5703125" customWidth="1"/>
    <col min="23" max="23" width="15.7109375" customWidth="1"/>
    <col min="24" max="24" width="33" customWidth="1"/>
    <col min="25" max="25" width="14.140625" style="4" customWidth="1"/>
    <col min="26" max="26" width="13.5703125" customWidth="1"/>
    <col min="27" max="27" width="14.5703125" customWidth="1"/>
    <col min="28" max="28" width="35.42578125" customWidth="1"/>
    <col min="29" max="29" width="26.7109375" customWidth="1"/>
    <col min="30" max="30" width="17.28515625" customWidth="1"/>
    <col min="31" max="31" width="21.42578125" customWidth="1"/>
    <col min="32" max="32" width="23.7109375" customWidth="1"/>
    <col min="33" max="33" width="25.7109375" customWidth="1"/>
    <col min="34" max="34" width="35" customWidth="1"/>
    <col min="35" max="35" width="19.140625" customWidth="1"/>
    <col min="36" max="36" width="33.7109375" customWidth="1"/>
    <col min="37" max="37" width="31" customWidth="1"/>
    <col min="38" max="38" width="28.28515625" customWidth="1"/>
    <col min="39" max="39" width="14.140625" customWidth="1"/>
    <col min="40" max="40" width="35.7109375" customWidth="1"/>
    <col min="41" max="41" width="27.7109375" customWidth="1"/>
    <col min="42" max="42" width="21.140625" customWidth="1"/>
    <col min="43" max="43" width="13.85546875" style="6" customWidth="1"/>
    <col min="44" max="44" width="35.7109375" style="6" customWidth="1"/>
    <col min="45" max="45" width="27.7109375" style="6" customWidth="1"/>
    <col min="46" max="46" width="13.5703125" style="6" customWidth="1"/>
    <col min="47" max="47" width="27.7109375" style="6" customWidth="1"/>
    <col min="48" max="48" width="11.42578125" style="6" customWidth="1"/>
    <col min="49" max="49" width="15.7109375" style="6" customWidth="1"/>
    <col min="50" max="50" width="11.42578125" style="6" customWidth="1"/>
    <col min="51" max="51" width="15.7109375" style="6" customWidth="1"/>
    <col min="52" max="52" width="50.7109375" style="6" customWidth="1"/>
    <col min="53" max="53" width="13.7109375" style="6" hidden="1" customWidth="1"/>
    <col min="54" max="54" width="35.7109375" style="6" hidden="1" customWidth="1"/>
    <col min="55" max="55" width="27.7109375" style="6" hidden="1" customWidth="1"/>
    <col min="56" max="56" width="17.140625" style="6" hidden="1" customWidth="1"/>
    <col min="57" max="57" width="27.7109375" style="6" hidden="1" customWidth="1"/>
    <col min="58" max="58" width="13.7109375" style="6" hidden="1" customWidth="1"/>
    <col min="59" max="59" width="15.7109375" style="6" hidden="1" customWidth="1"/>
    <col min="60" max="60" width="13.7109375" style="6" hidden="1" customWidth="1"/>
    <col min="61" max="61" width="15.7109375" style="6" hidden="1" customWidth="1"/>
    <col min="62" max="62" width="50.7109375" style="6" hidden="1" customWidth="1"/>
    <col min="63" max="63" width="13.7109375" style="6" hidden="1" customWidth="1"/>
    <col min="64" max="64" width="35.7109375" style="6" hidden="1" customWidth="1"/>
    <col min="65" max="65" width="27.7109375" style="6" hidden="1" customWidth="1"/>
    <col min="66" max="66" width="18" style="6" hidden="1" customWidth="1"/>
    <col min="67" max="67" width="27.7109375" style="6" hidden="1" customWidth="1"/>
    <col min="68" max="68" width="13.7109375" style="6" hidden="1" customWidth="1"/>
    <col min="69" max="69" width="15.7109375" style="6" hidden="1" customWidth="1"/>
    <col min="70" max="70" width="13.7109375" style="6" hidden="1" customWidth="1"/>
    <col min="71" max="71" width="15.7109375" style="6" hidden="1" customWidth="1"/>
    <col min="72" max="72" width="50.7109375" style="6" hidden="1" customWidth="1"/>
    <col min="73" max="73" width="13.7109375" style="6" hidden="1" customWidth="1"/>
    <col min="74" max="74" width="35.7109375" style="6" hidden="1" customWidth="1"/>
    <col min="75" max="75" width="27.7109375" style="6" hidden="1" customWidth="1"/>
    <col min="76" max="76" width="13.7109375" style="6" hidden="1" customWidth="1"/>
    <col min="77" max="77" width="27.7109375" style="6" hidden="1" customWidth="1"/>
    <col min="78" max="78" width="13.7109375" style="6" hidden="1" customWidth="1"/>
    <col min="79" max="79" width="15.7109375" style="6" hidden="1" customWidth="1"/>
    <col min="80" max="80" width="13.7109375" style="6" hidden="1" customWidth="1"/>
    <col min="81" max="81" width="15.7109375" style="6" hidden="1" customWidth="1"/>
    <col min="82" max="82" width="50.7109375" style="6" hidden="1" customWidth="1"/>
    <col min="83" max="83" width="13.7109375" style="6" customWidth="1"/>
    <col min="84" max="84" width="15.7109375" style="6" customWidth="1"/>
    <col min="85" max="85" width="15.42578125" style="6" customWidth="1"/>
    <col min="86" max="86" width="15.7109375" style="6" customWidth="1"/>
    <col min="87" max="87" width="13.7109375" style="6" customWidth="1"/>
    <col min="88" max="88" width="15.7109375" style="6" customWidth="1"/>
    <col min="89" max="89" width="13.7109375" style="6" customWidth="1"/>
    <col min="90" max="90" width="15.7109375" style="6" customWidth="1"/>
    <col min="91" max="91" width="22.5703125" style="6" customWidth="1"/>
    <col min="92" max="95" width="11.42578125" style="6" customWidth="1"/>
    <col min="96" max="96" width="43.85546875" style="6" hidden="1" customWidth="1"/>
    <col min="97" max="97" width="90.28515625" style="6" hidden="1" customWidth="1"/>
    <col min="98" max="98" width="113.85546875" style="6" hidden="1" customWidth="1"/>
    <col min="99" max="99" width="76.7109375" style="6" hidden="1" customWidth="1"/>
    <col min="100" max="100" width="21.85546875" style="6" hidden="1" customWidth="1"/>
    <col min="101" max="101" width="14.42578125" style="6" hidden="1" customWidth="1"/>
    <col min="102" max="102" width="41.85546875" style="6" hidden="1" customWidth="1"/>
    <col min="103" max="103" width="51.85546875" style="6" hidden="1" customWidth="1"/>
    <col min="104" max="104" width="69.85546875" style="6" hidden="1" customWidth="1"/>
    <col min="105" max="105" width="47" style="6" hidden="1" customWidth="1"/>
    <col min="106" max="106" width="33.28515625" style="6" hidden="1" customWidth="1"/>
    <col min="107" max="107" width="36.7109375" style="6" hidden="1" customWidth="1"/>
    <col min="108" max="16384" width="11.42578125" style="6"/>
  </cols>
  <sheetData>
    <row r="1" spans="1:107" ht="22.5" customHeight="1" x14ac:dyDescent="0.25">
      <c r="A1" s="734">
        <v>0</v>
      </c>
      <c r="B1" s="735"/>
      <c r="C1" s="740" t="s">
        <v>248</v>
      </c>
      <c r="D1" s="741"/>
      <c r="E1" s="741"/>
      <c r="F1" s="741"/>
      <c r="G1" s="741"/>
      <c r="H1" s="741"/>
      <c r="I1" s="741"/>
      <c r="J1" s="741"/>
      <c r="K1" s="741"/>
      <c r="L1" s="741"/>
      <c r="M1" s="741"/>
      <c r="N1" s="741"/>
      <c r="O1" s="741"/>
      <c r="P1" s="741"/>
      <c r="Q1" s="741"/>
      <c r="R1" s="741"/>
      <c r="S1" s="741"/>
      <c r="T1" s="741"/>
      <c r="U1" s="741"/>
      <c r="V1" s="741"/>
      <c r="W1" s="742"/>
      <c r="X1" s="743" t="s">
        <v>249</v>
      </c>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43"/>
      <c r="CH1" s="744"/>
      <c r="CI1" s="861"/>
      <c r="CJ1" s="862"/>
      <c r="CK1" s="862"/>
      <c r="CL1" s="862"/>
    </row>
    <row r="2" spans="1:107" ht="24" customHeight="1" x14ac:dyDescent="0.25">
      <c r="A2" s="736"/>
      <c r="B2" s="737"/>
      <c r="C2" s="761" t="s">
        <v>250</v>
      </c>
      <c r="D2" s="762"/>
      <c r="E2" s="762"/>
      <c r="F2" s="762"/>
      <c r="G2" s="762"/>
      <c r="H2" s="762"/>
      <c r="I2" s="762"/>
      <c r="J2" s="762"/>
      <c r="K2" s="762"/>
      <c r="L2" s="762"/>
      <c r="M2" s="762"/>
      <c r="N2" s="762"/>
      <c r="O2" s="762"/>
      <c r="P2" s="762"/>
      <c r="Q2" s="762"/>
      <c r="R2" s="762"/>
      <c r="S2" s="762"/>
      <c r="T2" s="762"/>
      <c r="U2" s="762"/>
      <c r="V2" s="762"/>
      <c r="W2" s="763"/>
      <c r="X2" s="764" t="s">
        <v>256</v>
      </c>
      <c r="Y2" s="766" t="s">
        <v>252</v>
      </c>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c r="BU2" s="766"/>
      <c r="BV2" s="766"/>
      <c r="BW2" s="766"/>
      <c r="BX2" s="766"/>
      <c r="BY2" s="766"/>
      <c r="BZ2" s="766"/>
      <c r="CA2" s="766"/>
      <c r="CB2" s="766"/>
      <c r="CC2" s="766"/>
      <c r="CD2" s="766"/>
      <c r="CE2" s="766"/>
      <c r="CF2" s="766"/>
      <c r="CG2" s="766" t="s">
        <v>251</v>
      </c>
      <c r="CH2" s="768">
        <v>2</v>
      </c>
      <c r="CI2" s="863"/>
      <c r="CJ2" s="864"/>
      <c r="CK2" s="864"/>
      <c r="CL2" s="864"/>
    </row>
    <row r="3" spans="1:107" ht="25.5" customHeight="1" thickBot="1" x14ac:dyDescent="0.3">
      <c r="A3" s="738"/>
      <c r="B3" s="739"/>
      <c r="C3" s="770" t="s">
        <v>244</v>
      </c>
      <c r="D3" s="771"/>
      <c r="E3" s="771"/>
      <c r="F3" s="771"/>
      <c r="G3" s="771"/>
      <c r="H3" s="771"/>
      <c r="I3" s="771"/>
      <c r="J3" s="771"/>
      <c r="K3" s="771"/>
      <c r="L3" s="771"/>
      <c r="M3" s="771"/>
      <c r="N3" s="771"/>
      <c r="O3" s="771"/>
      <c r="P3" s="771"/>
      <c r="Q3" s="771"/>
      <c r="R3" s="771"/>
      <c r="S3" s="771"/>
      <c r="T3" s="771"/>
      <c r="U3" s="771"/>
      <c r="V3" s="771"/>
      <c r="W3" s="772"/>
      <c r="X3" s="765"/>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c r="BF3" s="767"/>
      <c r="BG3" s="767"/>
      <c r="BH3" s="767"/>
      <c r="BI3" s="767"/>
      <c r="BJ3" s="767"/>
      <c r="BK3" s="767"/>
      <c r="BL3" s="767"/>
      <c r="BM3" s="767"/>
      <c r="BN3" s="767"/>
      <c r="BO3" s="767"/>
      <c r="BP3" s="767"/>
      <c r="BQ3" s="767"/>
      <c r="BR3" s="767"/>
      <c r="BS3" s="767"/>
      <c r="BT3" s="767"/>
      <c r="BU3" s="767"/>
      <c r="BV3" s="767"/>
      <c r="BW3" s="767"/>
      <c r="BX3" s="767"/>
      <c r="BY3" s="767"/>
      <c r="BZ3" s="767"/>
      <c r="CA3" s="767"/>
      <c r="CB3" s="767"/>
      <c r="CC3" s="767"/>
      <c r="CD3" s="767"/>
      <c r="CE3" s="767"/>
      <c r="CF3" s="767"/>
      <c r="CG3" s="767"/>
      <c r="CH3" s="769"/>
      <c r="CI3" s="865"/>
      <c r="CJ3" s="866"/>
      <c r="CK3" s="866"/>
      <c r="CL3" s="866"/>
      <c r="CR3" s="139" t="s">
        <v>338</v>
      </c>
      <c r="CS3" s="139" t="s">
        <v>1105</v>
      </c>
      <c r="CT3" s="139" t="s">
        <v>1104</v>
      </c>
      <c r="CU3" s="139" t="s">
        <v>1106</v>
      </c>
      <c r="CV3" s="139" t="s">
        <v>922</v>
      </c>
      <c r="CW3" s="139" t="s">
        <v>1087</v>
      </c>
      <c r="CX3" s="139" t="s">
        <v>1107</v>
      </c>
      <c r="CY3" s="139" t="s">
        <v>1084</v>
      </c>
      <c r="CZ3" s="139" t="s">
        <v>333</v>
      </c>
      <c r="DA3" s="139" t="s">
        <v>1079</v>
      </c>
      <c r="DB3" s="137" t="s">
        <v>1082</v>
      </c>
      <c r="DC3" s="137" t="s">
        <v>1081</v>
      </c>
    </row>
    <row r="4" spans="1:107" ht="15.75" x14ac:dyDescent="0.25">
      <c r="Q4" s="850"/>
      <c r="R4" s="850"/>
      <c r="T4" s="18"/>
      <c r="U4" s="27"/>
      <c r="V4" s="27"/>
      <c r="W4" s="18"/>
      <c r="X4" s="18"/>
      <c r="Y4" s="18"/>
      <c r="Z4" s="18"/>
      <c r="AA4" s="18"/>
      <c r="AB4" s="18"/>
      <c r="AC4" s="18"/>
      <c r="AD4" s="18"/>
      <c r="AE4" s="18"/>
    </row>
    <row r="5" spans="1:107" s="86" customFormat="1" ht="15.75" x14ac:dyDescent="0.25">
      <c r="A5" s="166" t="s">
        <v>348</v>
      </c>
      <c r="B5" s="22"/>
      <c r="C5" s="22"/>
      <c r="D5" s="22"/>
      <c r="E5" s="22"/>
      <c r="F5" s="22"/>
      <c r="G5" s="22"/>
      <c r="H5" s="22"/>
      <c r="I5" s="22"/>
      <c r="J5" s="22"/>
      <c r="K5" s="22"/>
      <c r="L5" s="22"/>
      <c r="M5" s="22"/>
      <c r="N5" s="22"/>
      <c r="O5" s="22"/>
      <c r="P5" s="22"/>
      <c r="Q5" s="850"/>
      <c r="R5" s="850"/>
      <c r="S5" s="22"/>
      <c r="T5" s="850"/>
      <c r="U5" s="850"/>
      <c r="V5" s="850"/>
      <c r="W5" s="850"/>
      <c r="X5" s="850"/>
      <c r="Y5" s="850"/>
      <c r="Z5" s="850"/>
      <c r="AA5" s="850"/>
      <c r="AB5" s="850"/>
      <c r="AC5" s="850"/>
      <c r="AD5" s="850"/>
      <c r="AE5" s="850"/>
      <c r="AF5" s="22"/>
      <c r="AG5" s="167"/>
      <c r="AH5" s="22"/>
      <c r="AI5" s="22"/>
      <c r="AJ5" s="22"/>
      <c r="AK5" s="22"/>
      <c r="AL5" s="22"/>
      <c r="AM5" s="538"/>
      <c r="AN5" s="22"/>
      <c r="AO5" s="22"/>
      <c r="AP5" s="22"/>
    </row>
    <row r="6" spans="1:107" s="86" customFormat="1" ht="16.5" thickBot="1" x14ac:dyDescent="0.3">
      <c r="A6" s="166"/>
      <c r="B6" s="22"/>
      <c r="C6" s="22"/>
      <c r="D6" s="22"/>
      <c r="E6" s="22"/>
      <c r="F6" s="22"/>
      <c r="G6" s="22"/>
      <c r="H6" s="22"/>
      <c r="I6" s="22"/>
      <c r="J6" s="22"/>
      <c r="K6" s="22"/>
      <c r="L6" s="22"/>
      <c r="M6" s="22"/>
      <c r="N6" s="22"/>
      <c r="O6" s="22"/>
      <c r="P6" s="22"/>
      <c r="Q6" s="22"/>
      <c r="R6" s="22"/>
      <c r="S6" s="22"/>
      <c r="T6" s="197"/>
      <c r="U6" s="197"/>
      <c r="V6" s="197"/>
      <c r="W6" s="197"/>
      <c r="X6" s="850"/>
      <c r="Y6" s="850"/>
      <c r="Z6" s="850"/>
      <c r="AA6" s="850"/>
      <c r="AB6" s="850"/>
      <c r="AC6" s="850"/>
      <c r="AD6" s="850"/>
      <c r="AE6" s="850"/>
      <c r="AF6" s="850"/>
      <c r="AG6" s="850"/>
      <c r="AH6" s="850"/>
      <c r="AI6" s="850"/>
      <c r="AJ6" s="533"/>
      <c r="AK6" s="22"/>
      <c r="AL6" s="22"/>
      <c r="AM6" s="22"/>
      <c r="AN6" s="22"/>
      <c r="AO6" s="22"/>
      <c r="AP6" s="22"/>
    </row>
    <row r="7" spans="1:107" s="86" customFormat="1" ht="24.75" customHeight="1" thickBot="1" x14ac:dyDescent="0.25">
      <c r="A7" s="848" t="s">
        <v>30</v>
      </c>
      <c r="B7" s="848" t="s">
        <v>31</v>
      </c>
      <c r="C7" s="848" t="s">
        <v>257</v>
      </c>
      <c r="D7" s="852" t="s">
        <v>257</v>
      </c>
      <c r="E7" s="852"/>
      <c r="F7" s="852"/>
      <c r="G7" s="852"/>
      <c r="H7" s="852"/>
      <c r="I7" s="852"/>
      <c r="J7" s="852"/>
      <c r="K7" s="852"/>
      <c r="L7" s="852"/>
      <c r="M7" s="852"/>
      <c r="N7" s="852"/>
      <c r="O7" s="852"/>
      <c r="P7" s="852"/>
      <c r="Q7" s="848" t="s">
        <v>1228</v>
      </c>
      <c r="R7" s="848" t="s">
        <v>1229</v>
      </c>
      <c r="S7" s="848" t="s">
        <v>57</v>
      </c>
      <c r="T7" s="848" t="s">
        <v>259</v>
      </c>
      <c r="U7" s="848" t="s">
        <v>258</v>
      </c>
      <c r="V7" s="848" t="s">
        <v>260</v>
      </c>
      <c r="W7" s="848" t="s">
        <v>32</v>
      </c>
      <c r="X7" s="848" t="s">
        <v>49</v>
      </c>
      <c r="Y7" s="848" t="s">
        <v>35</v>
      </c>
      <c r="Z7" s="848" t="s">
        <v>8</v>
      </c>
      <c r="AA7" s="848" t="s">
        <v>33</v>
      </c>
      <c r="AB7" s="848" t="s">
        <v>50</v>
      </c>
      <c r="AC7" s="848" t="s">
        <v>152</v>
      </c>
      <c r="AD7" s="848" t="s">
        <v>5</v>
      </c>
      <c r="AE7" s="848" t="s">
        <v>37</v>
      </c>
      <c r="AF7" s="848" t="s">
        <v>36</v>
      </c>
      <c r="AG7" s="848" t="s">
        <v>38</v>
      </c>
      <c r="AH7" s="848" t="s">
        <v>1149</v>
      </c>
      <c r="AI7" s="848" t="s">
        <v>6</v>
      </c>
      <c r="AJ7" s="531" t="s">
        <v>1375</v>
      </c>
      <c r="AK7" s="848" t="s">
        <v>0</v>
      </c>
      <c r="AL7" s="848" t="s">
        <v>34</v>
      </c>
      <c r="AM7" s="848" t="s">
        <v>8</v>
      </c>
      <c r="AN7" s="848" t="s">
        <v>190</v>
      </c>
      <c r="AO7" s="848" t="s">
        <v>152</v>
      </c>
      <c r="AP7" s="848" t="s">
        <v>9</v>
      </c>
      <c r="AQ7" s="745" t="s">
        <v>192</v>
      </c>
      <c r="AR7" s="746"/>
      <c r="AS7" s="746"/>
      <c r="AT7" s="746"/>
      <c r="AU7" s="746"/>
      <c r="AV7" s="746"/>
      <c r="AW7" s="746"/>
      <c r="AX7" s="746"/>
      <c r="AY7" s="746"/>
      <c r="AZ7" s="747"/>
      <c r="BA7" s="748" t="s">
        <v>194</v>
      </c>
      <c r="BB7" s="749"/>
      <c r="BC7" s="749"/>
      <c r="BD7" s="749"/>
      <c r="BE7" s="749"/>
      <c r="BF7" s="749"/>
      <c r="BG7" s="749"/>
      <c r="BH7" s="749"/>
      <c r="BI7" s="749"/>
      <c r="BJ7" s="750"/>
      <c r="BK7" s="745" t="s">
        <v>193</v>
      </c>
      <c r="BL7" s="746"/>
      <c r="BM7" s="746"/>
      <c r="BN7" s="746"/>
      <c r="BO7" s="746"/>
      <c r="BP7" s="746"/>
      <c r="BQ7" s="746"/>
      <c r="BR7" s="746"/>
      <c r="BS7" s="746"/>
      <c r="BT7" s="747"/>
      <c r="BU7" s="748" t="s">
        <v>195</v>
      </c>
      <c r="BV7" s="749"/>
      <c r="BW7" s="749"/>
      <c r="BX7" s="749"/>
      <c r="BY7" s="749"/>
      <c r="BZ7" s="749"/>
      <c r="CA7" s="749"/>
      <c r="CB7" s="749"/>
      <c r="CC7" s="749"/>
      <c r="CD7" s="750"/>
      <c r="CE7" s="752" t="s">
        <v>1262</v>
      </c>
      <c r="CF7" s="753"/>
      <c r="CG7" s="753"/>
      <c r="CH7" s="753"/>
      <c r="CI7" s="753"/>
      <c r="CJ7" s="753"/>
      <c r="CK7" s="753"/>
      <c r="CL7" s="754"/>
    </row>
    <row r="8" spans="1:107" s="199" customFormat="1" ht="39.75" customHeight="1" thickBot="1" x14ac:dyDescent="0.25">
      <c r="A8" s="849"/>
      <c r="B8" s="849"/>
      <c r="C8" s="849"/>
      <c r="D8" s="217">
        <v>1</v>
      </c>
      <c r="E8" s="218">
        <v>2</v>
      </c>
      <c r="F8" s="218">
        <v>3</v>
      </c>
      <c r="G8" s="218">
        <v>4</v>
      </c>
      <c r="H8" s="218">
        <v>5</v>
      </c>
      <c r="I8" s="218">
        <v>6</v>
      </c>
      <c r="J8" s="218">
        <v>7</v>
      </c>
      <c r="K8" s="218">
        <v>8</v>
      </c>
      <c r="L8" s="218">
        <v>9</v>
      </c>
      <c r="M8" s="218">
        <v>10</v>
      </c>
      <c r="N8" s="218">
        <v>11</v>
      </c>
      <c r="O8" s="218">
        <v>12</v>
      </c>
      <c r="P8" s="219">
        <v>13</v>
      </c>
      <c r="Q8" s="849"/>
      <c r="R8" s="849"/>
      <c r="S8" s="849"/>
      <c r="T8" s="849"/>
      <c r="U8" s="849"/>
      <c r="V8" s="849"/>
      <c r="W8" s="849"/>
      <c r="X8" s="849"/>
      <c r="Y8" s="849"/>
      <c r="Z8" s="849"/>
      <c r="AA8" s="849"/>
      <c r="AB8" s="849"/>
      <c r="AC8" s="849"/>
      <c r="AD8" s="849"/>
      <c r="AE8" s="849"/>
      <c r="AF8" s="849"/>
      <c r="AG8" s="849"/>
      <c r="AH8" s="849"/>
      <c r="AI8" s="849"/>
      <c r="AJ8" s="532"/>
      <c r="AK8" s="849"/>
      <c r="AL8" s="849"/>
      <c r="AM8" s="849"/>
      <c r="AN8" s="849"/>
      <c r="AO8" s="849"/>
      <c r="AP8" s="849"/>
      <c r="AQ8" s="173" t="s">
        <v>8</v>
      </c>
      <c r="AR8" s="173" t="s">
        <v>50</v>
      </c>
      <c r="AS8" s="173" t="s">
        <v>152</v>
      </c>
      <c r="AT8" s="173" t="s">
        <v>8</v>
      </c>
      <c r="AU8" s="173" t="s">
        <v>152</v>
      </c>
      <c r="AV8" s="173" t="s">
        <v>7</v>
      </c>
      <c r="AW8" s="173" t="s">
        <v>10</v>
      </c>
      <c r="AX8" s="173" t="s">
        <v>7</v>
      </c>
      <c r="AY8" s="173" t="s">
        <v>10</v>
      </c>
      <c r="AZ8" s="173" t="s">
        <v>191</v>
      </c>
      <c r="BA8" s="170" t="s">
        <v>8</v>
      </c>
      <c r="BB8" s="170" t="s">
        <v>50</v>
      </c>
      <c r="BC8" s="170" t="s">
        <v>152</v>
      </c>
      <c r="BD8" s="170" t="s">
        <v>8</v>
      </c>
      <c r="BE8" s="170" t="s">
        <v>152</v>
      </c>
      <c r="BF8" s="170" t="s">
        <v>7</v>
      </c>
      <c r="BG8" s="170" t="s">
        <v>10</v>
      </c>
      <c r="BH8" s="170" t="s">
        <v>7</v>
      </c>
      <c r="BI8" s="170" t="s">
        <v>10</v>
      </c>
      <c r="BJ8" s="170" t="s">
        <v>191</v>
      </c>
      <c r="BK8" s="173" t="s">
        <v>8</v>
      </c>
      <c r="BL8" s="173" t="s">
        <v>50</v>
      </c>
      <c r="BM8" s="173" t="s">
        <v>152</v>
      </c>
      <c r="BN8" s="173" t="s">
        <v>8</v>
      </c>
      <c r="BO8" s="173" t="s">
        <v>152</v>
      </c>
      <c r="BP8" s="173" t="s">
        <v>7</v>
      </c>
      <c r="BQ8" s="173" t="s">
        <v>10</v>
      </c>
      <c r="BR8" s="173" t="s">
        <v>7</v>
      </c>
      <c r="BS8" s="173" t="s">
        <v>10</v>
      </c>
      <c r="BT8" s="173" t="s">
        <v>191</v>
      </c>
      <c r="BU8" s="170" t="s">
        <v>8</v>
      </c>
      <c r="BV8" s="170" t="s">
        <v>50</v>
      </c>
      <c r="BW8" s="170" t="s">
        <v>152</v>
      </c>
      <c r="BX8" s="170" t="s">
        <v>8</v>
      </c>
      <c r="BY8" s="170" t="s">
        <v>152</v>
      </c>
      <c r="BZ8" s="170" t="s">
        <v>7</v>
      </c>
      <c r="CA8" s="170" t="s">
        <v>10</v>
      </c>
      <c r="CB8" s="170" t="s">
        <v>7</v>
      </c>
      <c r="CC8" s="170" t="s">
        <v>10</v>
      </c>
      <c r="CD8" s="170" t="s">
        <v>191</v>
      </c>
      <c r="CE8" s="174" t="s">
        <v>7</v>
      </c>
      <c r="CF8" s="174" t="s">
        <v>10</v>
      </c>
      <c r="CG8" s="174" t="s">
        <v>7</v>
      </c>
      <c r="CH8" s="174" t="s">
        <v>10</v>
      </c>
      <c r="CI8" s="174" t="s">
        <v>7</v>
      </c>
      <c r="CJ8" s="174" t="s">
        <v>10</v>
      </c>
      <c r="CK8" s="174" t="s">
        <v>7</v>
      </c>
      <c r="CL8" s="174" t="s">
        <v>10</v>
      </c>
      <c r="CR8" s="185">
        <v>1</v>
      </c>
      <c r="CS8" s="185">
        <v>2</v>
      </c>
      <c r="CT8" s="185">
        <v>3</v>
      </c>
      <c r="CU8" s="185">
        <v>4</v>
      </c>
      <c r="CV8" s="185">
        <v>5</v>
      </c>
      <c r="CW8" s="185">
        <v>6</v>
      </c>
      <c r="CX8" s="185">
        <v>7</v>
      </c>
      <c r="CY8" s="185">
        <v>8</v>
      </c>
      <c r="CZ8" s="185">
        <v>9</v>
      </c>
      <c r="DA8" s="185">
        <v>10</v>
      </c>
      <c r="DB8" s="186">
        <v>11</v>
      </c>
      <c r="DC8" s="186">
        <v>12</v>
      </c>
    </row>
    <row r="9" spans="1:107" s="75" customFormat="1" ht="105.75" customHeight="1" x14ac:dyDescent="0.2">
      <c r="A9" s="201">
        <v>11200</v>
      </c>
      <c r="B9" s="200" t="s">
        <v>1</v>
      </c>
      <c r="C9" s="200" t="s">
        <v>332</v>
      </c>
      <c r="D9" s="200"/>
      <c r="E9" s="200" t="s">
        <v>1108</v>
      </c>
      <c r="F9" s="200" t="s">
        <v>1108</v>
      </c>
      <c r="G9" s="200"/>
      <c r="H9" s="200"/>
      <c r="I9" s="200"/>
      <c r="J9" s="200"/>
      <c r="K9" s="200"/>
      <c r="L9" s="200"/>
      <c r="M9" s="200"/>
      <c r="N9" s="200"/>
      <c r="O9" s="200"/>
      <c r="P9" s="200"/>
      <c r="Q9" s="200" t="s">
        <v>206</v>
      </c>
      <c r="R9" s="208" t="s">
        <v>206</v>
      </c>
      <c r="S9" s="201" t="s">
        <v>111</v>
      </c>
      <c r="T9" s="200" t="s">
        <v>94</v>
      </c>
      <c r="U9" s="200" t="s">
        <v>206</v>
      </c>
      <c r="V9" s="200" t="s">
        <v>206</v>
      </c>
      <c r="W9" s="201" t="s">
        <v>112</v>
      </c>
      <c r="X9" s="200" t="s">
        <v>447</v>
      </c>
      <c r="Y9" s="203" t="s">
        <v>448</v>
      </c>
      <c r="Z9" s="201">
        <v>1</v>
      </c>
      <c r="AA9" s="201" t="s">
        <v>222</v>
      </c>
      <c r="AB9" s="200" t="s">
        <v>704</v>
      </c>
      <c r="AC9" s="202">
        <f>800000000+41094712</f>
        <v>841094712</v>
      </c>
      <c r="AD9" s="206">
        <v>1</v>
      </c>
      <c r="AE9" s="200" t="s">
        <v>18</v>
      </c>
      <c r="AF9" s="200" t="s">
        <v>24</v>
      </c>
      <c r="AG9" s="200" t="s">
        <v>206</v>
      </c>
      <c r="AH9" s="200" t="s">
        <v>206</v>
      </c>
      <c r="AI9" s="200" t="s">
        <v>81</v>
      </c>
      <c r="AJ9" s="529" t="s">
        <v>1400</v>
      </c>
      <c r="AK9" s="200" t="s">
        <v>449</v>
      </c>
      <c r="AL9" s="200" t="s">
        <v>292</v>
      </c>
      <c r="AM9" s="201">
        <v>1</v>
      </c>
      <c r="AN9" s="200" t="str">
        <f>+AB9</f>
        <v>Diseñar, desarrollar, implementar  y  dar soporte técnico al nuevo portal web e intranet de la ADRES bajo la plataforma Microsoft SharePoint</v>
      </c>
      <c r="AO9" s="205">
        <f>+AC9</f>
        <v>841094712</v>
      </c>
      <c r="AP9" s="214" t="s">
        <v>46</v>
      </c>
      <c r="AQ9" s="148">
        <v>0</v>
      </c>
      <c r="AR9" s="144" t="str">
        <f>+AN9</f>
        <v>Diseñar, desarrollar, implementar  y  dar soporte técnico al nuevo portal web e intranet de la ADRES bajo la plataforma Microsoft SharePoint</v>
      </c>
      <c r="AS9" s="111">
        <v>0</v>
      </c>
      <c r="AT9" s="587">
        <v>0</v>
      </c>
      <c r="AU9" s="614">
        <v>0</v>
      </c>
      <c r="AV9" s="71" t="e">
        <f t="shared" ref="AV9:AV41" si="0">+(AT9/AQ9)</f>
        <v>#DIV/0!</v>
      </c>
      <c r="AW9" s="71" t="e">
        <f>+(AU9/AS9)</f>
        <v>#DIV/0!</v>
      </c>
      <c r="AX9" s="71">
        <f t="shared" ref="AX9:AX41" si="1">+(AT9/AM9)</f>
        <v>0</v>
      </c>
      <c r="AY9" s="71">
        <f>+(AU9/AO9)</f>
        <v>0</v>
      </c>
      <c r="AZ9" s="637" t="s">
        <v>1488</v>
      </c>
      <c r="BA9" s="148">
        <v>0</v>
      </c>
      <c r="BB9" s="144" t="str">
        <f>+AN9</f>
        <v>Diseñar, desarrollar, implementar  y  dar soporte técnico al nuevo portal web e intranet de la ADRES bajo la plataforma Microsoft SharePoint</v>
      </c>
      <c r="BC9" s="111">
        <f>+AC9/3</f>
        <v>280364904</v>
      </c>
      <c r="BD9" s="73"/>
      <c r="BE9" s="73"/>
      <c r="BF9" s="71" t="e">
        <f>+(BD9/BA9)</f>
        <v>#DIV/0!</v>
      </c>
      <c r="BG9" s="71">
        <f>+(BE9/BC9)</f>
        <v>0</v>
      </c>
      <c r="BH9" s="71">
        <f>+(BD9+AT9)/AM9</f>
        <v>0</v>
      </c>
      <c r="BI9" s="71">
        <f>+(BE9+AU9)/AO9</f>
        <v>0</v>
      </c>
      <c r="BJ9" s="71"/>
      <c r="BK9" s="148">
        <v>0</v>
      </c>
      <c r="BL9" s="144" t="str">
        <f>+AN9</f>
        <v>Diseñar, desarrollar, implementar  y  dar soporte técnico al nuevo portal web e intranet de la ADRES bajo la plataforma Microsoft SharePoint</v>
      </c>
      <c r="BM9" s="111">
        <f>+AO9/3</f>
        <v>280364904</v>
      </c>
      <c r="BN9" s="148"/>
      <c r="BO9" s="148"/>
      <c r="BP9" s="71" t="e">
        <f>+(BN9/BK9)</f>
        <v>#DIV/0!</v>
      </c>
      <c r="BQ9" s="71">
        <f>+(BO9/BM9)</f>
        <v>0</v>
      </c>
      <c r="BR9" s="71">
        <f>+(BD9+AT9+BN9)/AM9</f>
        <v>0</v>
      </c>
      <c r="BS9" s="71">
        <f>+(BE9+AU9+BO9)/AO9</f>
        <v>0</v>
      </c>
      <c r="BT9" s="71"/>
      <c r="BU9" s="148">
        <v>1</v>
      </c>
      <c r="BV9" s="144" t="str">
        <f>+AN9</f>
        <v>Diseñar, desarrollar, implementar  y  dar soporte técnico al nuevo portal web e intranet de la ADRES bajo la plataforma Microsoft SharePoint</v>
      </c>
      <c r="BW9" s="111">
        <f>+AO9/3</f>
        <v>280364904</v>
      </c>
      <c r="BX9" s="148"/>
      <c r="BY9" s="148"/>
      <c r="BZ9" s="71">
        <f>+(BX9/BU9)</f>
        <v>0</v>
      </c>
      <c r="CA9" s="71">
        <f>+(BY9/BW9)</f>
        <v>0</v>
      </c>
      <c r="CB9" s="71">
        <f>+(BD9+AT9+BN9+BX9)/AM9</f>
        <v>0</v>
      </c>
      <c r="CC9" s="71">
        <f>+(BE9+AU9+BO9+BY9)/AO9</f>
        <v>0</v>
      </c>
      <c r="CD9" s="71"/>
      <c r="CE9" s="74" t="str">
        <f t="shared" ref="CE9:CE41" si="2">IF(AND(AQ9=0,AT9=0),"No Prog ni Ejec",IF(AQ9=0,CONCATENATE("No Prog, Ejec=  ",AT9),AT9/AQ9))</f>
        <v>No Prog ni Ejec</v>
      </c>
      <c r="CF9" s="74" t="str">
        <f>IF(AND(AS9=0,AU9=0),"No Prog ni Ejec",IF(AS9=0,CONCATENATE("No Prog, Ejec=  ",AU9),AU9/AS9))</f>
        <v>No Prog ni Ejec</v>
      </c>
      <c r="CG9" s="74" t="str">
        <f t="shared" ref="CG9:CG41" si="3">IF(AND(BA9=0,BD9=0),"No Prog ni Ejec",IF(BA9=0,CONCATENATE("No Prog, Ejec=  ",BD9),BD9/BA9))</f>
        <v>No Prog ni Ejec</v>
      </c>
      <c r="CH9" s="74">
        <f>IF(AND(BC9=0,BE9=0),"No Prog ni Ejec",IF(BC9=0,CONCATENATE("No Prog, Ejec=  ",BE9),BE9/BC9))</f>
        <v>0</v>
      </c>
      <c r="CI9" s="74" t="str">
        <f t="shared" ref="CI9:CI41" si="4">IF(AND(BK9=0,BN9=0),"No Prog ni Ejec",IF(BK9=0,CONCATENATE("No Prog, Ejec=  ",BN9),BN9/BK9))</f>
        <v>No Prog ni Ejec</v>
      </c>
      <c r="CJ9" s="74">
        <f>IF(AND(BM9=0,BO9=0),"No Prog ni Ejec",IF(BM9=0,CONCATENATE("No Prog, Ejec=  ",BO9),BO9/BM9))</f>
        <v>0</v>
      </c>
      <c r="CK9" s="74">
        <f t="shared" ref="CK9:CK41" si="5">IF(AND(BU9=0,BX9=0),"No Prog ni Ejec",IF(BU9=0,CONCATENATE("No Prog, Ejec=  ",BX9),BX9/BU9))</f>
        <v>0</v>
      </c>
      <c r="CL9" s="74">
        <f>IF(AND(BW9=0,BY9=0),"No Prog ni Ejec",IF(BW9=0,CONCATENATE("No Prog, Ejec=  ",BY9),BY9/BW9))</f>
        <v>0</v>
      </c>
      <c r="CM9" s="157">
        <f>+AC9-AS9-BC9-BM9-BW9</f>
        <v>0</v>
      </c>
      <c r="CW9" s="138">
        <v>6</v>
      </c>
    </row>
    <row r="10" spans="1:107" s="75" customFormat="1" ht="103.5" customHeight="1" x14ac:dyDescent="0.2">
      <c r="A10" s="148">
        <v>11200</v>
      </c>
      <c r="B10" s="144" t="s">
        <v>1</v>
      </c>
      <c r="C10" s="144" t="s">
        <v>332</v>
      </c>
      <c r="D10" s="198"/>
      <c r="E10" s="198" t="s">
        <v>1108</v>
      </c>
      <c r="F10" s="198" t="s">
        <v>1108</v>
      </c>
      <c r="G10" s="198"/>
      <c r="H10" s="198"/>
      <c r="I10" s="198"/>
      <c r="J10" s="198"/>
      <c r="K10" s="198"/>
      <c r="L10" s="198"/>
      <c r="M10" s="198"/>
      <c r="N10" s="198"/>
      <c r="O10" s="198"/>
      <c r="P10" s="198"/>
      <c r="Q10" s="208" t="s">
        <v>206</v>
      </c>
      <c r="R10" s="208" t="s">
        <v>206</v>
      </c>
      <c r="S10" s="851" t="s">
        <v>111</v>
      </c>
      <c r="T10" s="144" t="s">
        <v>94</v>
      </c>
      <c r="U10" s="144" t="s">
        <v>206</v>
      </c>
      <c r="V10" s="144" t="s">
        <v>206</v>
      </c>
      <c r="W10" s="148" t="s">
        <v>707</v>
      </c>
      <c r="X10" s="144" t="s">
        <v>450</v>
      </c>
      <c r="Y10" s="149" t="s">
        <v>448</v>
      </c>
      <c r="Z10" s="148">
        <v>12</v>
      </c>
      <c r="AA10" s="851" t="s">
        <v>705</v>
      </c>
      <c r="AB10" s="846" t="s">
        <v>349</v>
      </c>
      <c r="AC10" s="856">
        <v>53164884</v>
      </c>
      <c r="AD10" s="858">
        <v>1</v>
      </c>
      <c r="AE10" s="846" t="s">
        <v>18</v>
      </c>
      <c r="AF10" s="846" t="s">
        <v>24</v>
      </c>
      <c r="AG10" s="846" t="s">
        <v>206</v>
      </c>
      <c r="AH10" s="846" t="s">
        <v>206</v>
      </c>
      <c r="AI10" s="846" t="s">
        <v>1140</v>
      </c>
      <c r="AJ10" s="827" t="s">
        <v>1388</v>
      </c>
      <c r="AK10" s="144" t="s">
        <v>451</v>
      </c>
      <c r="AL10" s="846" t="s">
        <v>206</v>
      </c>
      <c r="AM10" s="67">
        <v>12</v>
      </c>
      <c r="AN10" s="846" t="str">
        <f>+AB10</f>
        <v>Administrar los contenidos de medios digitales de la ADRES</v>
      </c>
      <c r="AO10" s="857">
        <f>+AC10</f>
        <v>53164884</v>
      </c>
      <c r="AP10" s="69" t="s">
        <v>46</v>
      </c>
      <c r="AQ10" s="67">
        <v>3</v>
      </c>
      <c r="AR10" s="846" t="str">
        <f>+AN10</f>
        <v>Administrar los contenidos de medios digitales de la ADRES</v>
      </c>
      <c r="AS10" s="842">
        <f>+AO10/4</f>
        <v>13291221</v>
      </c>
      <c r="AT10" s="579">
        <v>3</v>
      </c>
      <c r="AU10" s="842">
        <v>9303854</v>
      </c>
      <c r="AV10" s="71">
        <f t="shared" si="0"/>
        <v>1</v>
      </c>
      <c r="AW10" s="847">
        <f>+(AU10/AS10)</f>
        <v>0.69999994733365734</v>
      </c>
      <c r="AX10" s="71">
        <f t="shared" si="1"/>
        <v>0.25</v>
      </c>
      <c r="AY10" s="847">
        <f>+(AU10/AO10)</f>
        <v>0.17499998683341433</v>
      </c>
      <c r="AZ10" s="586" t="s">
        <v>1489</v>
      </c>
      <c r="BA10" s="67">
        <v>3</v>
      </c>
      <c r="BB10" s="846" t="str">
        <f>+AN10</f>
        <v>Administrar los contenidos de medios digitales de la ADRES</v>
      </c>
      <c r="BC10" s="842">
        <f>+AO10/4</f>
        <v>13291221</v>
      </c>
      <c r="BD10" s="73"/>
      <c r="BE10" s="70"/>
      <c r="BF10" s="71">
        <f>+(BD10/BA10)</f>
        <v>0</v>
      </c>
      <c r="BG10" s="847">
        <f>+(BE10/BC10)</f>
        <v>0</v>
      </c>
      <c r="BH10" s="71">
        <f>+(BD10+AT10)/AM10</f>
        <v>0.25</v>
      </c>
      <c r="BI10" s="847">
        <f>+(BE10+AU10)/AO10</f>
        <v>0.17499998683341433</v>
      </c>
      <c r="BJ10" s="72"/>
      <c r="BK10" s="67">
        <v>3</v>
      </c>
      <c r="BL10" s="846" t="str">
        <f>+AN10</f>
        <v>Administrar los contenidos de medios digitales de la ADRES</v>
      </c>
      <c r="BM10" s="842">
        <f>+AO10/4</f>
        <v>13291221</v>
      </c>
      <c r="BN10" s="148"/>
      <c r="BO10" s="851"/>
      <c r="BP10" s="71">
        <f>+(BN10/BK10)</f>
        <v>0</v>
      </c>
      <c r="BQ10" s="847">
        <f>+(BO10/BM10)</f>
        <v>0</v>
      </c>
      <c r="BR10" s="71">
        <f>+(BD10+AT10+BN10)/AM10</f>
        <v>0.25</v>
      </c>
      <c r="BS10" s="847">
        <f>+(BE10+AU10+BO10)/AO10</f>
        <v>0.17499998683341433</v>
      </c>
      <c r="BT10" s="72"/>
      <c r="BU10" s="67">
        <v>3</v>
      </c>
      <c r="BV10" s="846" t="str">
        <f>+AN10</f>
        <v>Administrar los contenidos de medios digitales de la ADRES</v>
      </c>
      <c r="BW10" s="842">
        <f>+AO10/4</f>
        <v>13291221</v>
      </c>
      <c r="BX10" s="148"/>
      <c r="BY10" s="851"/>
      <c r="BZ10" s="71">
        <f>+(BX10/BU10)</f>
        <v>0</v>
      </c>
      <c r="CA10" s="847">
        <f>+(BY10/BW10)</f>
        <v>0</v>
      </c>
      <c r="CB10" s="71">
        <f>+(BD10+AT10+BN10+BX10)/AM10</f>
        <v>0.25</v>
      </c>
      <c r="CC10" s="847">
        <f>+(BE10+AU10+BO10+BY10)/AO10</f>
        <v>0.17499998683341433</v>
      </c>
      <c r="CD10" s="72"/>
      <c r="CE10" s="74">
        <f t="shared" si="2"/>
        <v>1</v>
      </c>
      <c r="CF10" s="853">
        <f>IF(AND(AS10=0,AU10=0),"No Prog ni Ejec",IF(AS10=0,CONCATENATE("No Prog, Ejec=  ",AU10),AU10/AS10))</f>
        <v>0.69999994733365734</v>
      </c>
      <c r="CG10" s="74">
        <f t="shared" si="3"/>
        <v>0</v>
      </c>
      <c r="CH10" s="853">
        <f>IF(AND(BC10=0,BE10=0),"No Prog ni Ejec",IF(BC10=0,CONCATENATE("No Prog, Ejec=  ",BE10),BE10/BC10))</f>
        <v>0</v>
      </c>
      <c r="CI10" s="74">
        <f t="shared" si="4"/>
        <v>0</v>
      </c>
      <c r="CJ10" s="853">
        <f>IF(AND(BM10=0,BO10=0),"No Prog ni Ejec",IF(BM10=0,CONCATENATE("No Prog, Ejec=  ",BO10),BO10/BM10))</f>
        <v>0</v>
      </c>
      <c r="CK10" s="74">
        <f t="shared" si="5"/>
        <v>0</v>
      </c>
      <c r="CL10" s="853">
        <f>IF(AND(BW10=0,BY10=0),"No Prog ni Ejec",IF(BW10=0,CONCATENATE("No Prog, Ejec=  ",BY10),BY10/BW10))</f>
        <v>0</v>
      </c>
      <c r="CM10" s="157">
        <f t="shared" ref="CM10:CM70" si="6">+AC10-AS10-BC10-BM10-BW10</f>
        <v>0</v>
      </c>
      <c r="CW10" s="138">
        <v>6</v>
      </c>
    </row>
    <row r="11" spans="1:107" s="75" customFormat="1" ht="89.25" customHeight="1" x14ac:dyDescent="0.2">
      <c r="A11" s="851">
        <v>11200</v>
      </c>
      <c r="B11" s="846" t="s">
        <v>1</v>
      </c>
      <c r="C11" s="846" t="s">
        <v>332</v>
      </c>
      <c r="D11" s="198"/>
      <c r="E11" s="198" t="s">
        <v>1108</v>
      </c>
      <c r="F11" s="198" t="s">
        <v>1108</v>
      </c>
      <c r="G11" s="198"/>
      <c r="H11" s="198"/>
      <c r="I11" s="198"/>
      <c r="J11" s="198"/>
      <c r="K11" s="198"/>
      <c r="L11" s="198"/>
      <c r="M11" s="198"/>
      <c r="N11" s="198"/>
      <c r="O11" s="198"/>
      <c r="P11" s="198"/>
      <c r="Q11" s="208" t="s">
        <v>206</v>
      </c>
      <c r="R11" s="208" t="s">
        <v>206</v>
      </c>
      <c r="S11" s="851"/>
      <c r="T11" s="846" t="s">
        <v>94</v>
      </c>
      <c r="U11" s="846" t="s">
        <v>206</v>
      </c>
      <c r="V11" s="846" t="s">
        <v>206</v>
      </c>
      <c r="W11" s="148" t="s">
        <v>1008</v>
      </c>
      <c r="X11" s="846" t="s">
        <v>452</v>
      </c>
      <c r="Y11" s="149" t="s">
        <v>51</v>
      </c>
      <c r="Z11" s="112">
        <v>1</v>
      </c>
      <c r="AA11" s="851"/>
      <c r="AB11" s="846"/>
      <c r="AC11" s="856"/>
      <c r="AD11" s="858"/>
      <c r="AE11" s="846"/>
      <c r="AF11" s="846"/>
      <c r="AG11" s="846"/>
      <c r="AH11" s="846"/>
      <c r="AI11" s="846"/>
      <c r="AJ11" s="828"/>
      <c r="AK11" s="144" t="s">
        <v>239</v>
      </c>
      <c r="AL11" s="846"/>
      <c r="AM11" s="112">
        <v>1</v>
      </c>
      <c r="AN11" s="846"/>
      <c r="AO11" s="857"/>
      <c r="AP11" s="69" t="s">
        <v>46</v>
      </c>
      <c r="AQ11" s="112">
        <v>0.25</v>
      </c>
      <c r="AR11" s="846"/>
      <c r="AS11" s="842"/>
      <c r="AT11" s="597">
        <v>0.16063675832127353</v>
      </c>
      <c r="AU11" s="842"/>
      <c r="AV11" s="71">
        <f t="shared" si="0"/>
        <v>0.6425470332850941</v>
      </c>
      <c r="AW11" s="847"/>
      <c r="AX11" s="71">
        <f t="shared" si="1"/>
        <v>0.16063675832127353</v>
      </c>
      <c r="AY11" s="847"/>
      <c r="AZ11" s="586" t="s">
        <v>1490</v>
      </c>
      <c r="BA11" s="112">
        <v>0.25</v>
      </c>
      <c r="BB11" s="846"/>
      <c r="BC11" s="842"/>
      <c r="BD11" s="73"/>
      <c r="BE11" s="70"/>
      <c r="BF11" s="71">
        <f>+(BD11/BA11)</f>
        <v>0</v>
      </c>
      <c r="BG11" s="847"/>
      <c r="BH11" s="71">
        <f>+(BD11+AT11)/AM11</f>
        <v>0.16063675832127353</v>
      </c>
      <c r="BI11" s="847"/>
      <c r="BJ11" s="71"/>
      <c r="BK11" s="112">
        <v>0.25</v>
      </c>
      <c r="BL11" s="846"/>
      <c r="BM11" s="842"/>
      <c r="BN11" s="148"/>
      <c r="BO11" s="851"/>
      <c r="BP11" s="71">
        <f>+(BN11/BK11)</f>
        <v>0</v>
      </c>
      <c r="BQ11" s="847"/>
      <c r="BR11" s="71">
        <f>+(BD11+AT11+BN11)/AM11</f>
        <v>0.16063675832127353</v>
      </c>
      <c r="BS11" s="847"/>
      <c r="BT11" s="71"/>
      <c r="BU11" s="112">
        <v>0.25</v>
      </c>
      <c r="BV11" s="846"/>
      <c r="BW11" s="842"/>
      <c r="BX11" s="148"/>
      <c r="BY11" s="851"/>
      <c r="BZ11" s="105">
        <f>+(BX11/BU11)</f>
        <v>0</v>
      </c>
      <c r="CA11" s="847"/>
      <c r="CB11" s="105">
        <f>+(BD11+AT11+BN11+BX11)/AM11</f>
        <v>0.16063675832127353</v>
      </c>
      <c r="CC11" s="847"/>
      <c r="CD11" s="105"/>
      <c r="CE11" s="74">
        <f t="shared" si="2"/>
        <v>0.6425470332850941</v>
      </c>
      <c r="CF11" s="853"/>
      <c r="CG11" s="74">
        <f t="shared" si="3"/>
        <v>0</v>
      </c>
      <c r="CH11" s="853"/>
      <c r="CI11" s="74">
        <f t="shared" si="4"/>
        <v>0</v>
      </c>
      <c r="CJ11" s="853"/>
      <c r="CK11" s="74">
        <f t="shared" si="5"/>
        <v>0</v>
      </c>
      <c r="CL11" s="853"/>
      <c r="CM11" s="157">
        <f t="shared" si="6"/>
        <v>0</v>
      </c>
      <c r="CW11" s="138">
        <v>6</v>
      </c>
    </row>
    <row r="12" spans="1:107" s="75" customFormat="1" ht="89.25" customHeight="1" x14ac:dyDescent="0.2">
      <c r="A12" s="851"/>
      <c r="B12" s="846"/>
      <c r="C12" s="846"/>
      <c r="D12" s="198"/>
      <c r="E12" s="198" t="s">
        <v>1108</v>
      </c>
      <c r="F12" s="198" t="s">
        <v>1108</v>
      </c>
      <c r="G12" s="198"/>
      <c r="H12" s="198"/>
      <c r="I12" s="198"/>
      <c r="J12" s="198"/>
      <c r="K12" s="198"/>
      <c r="L12" s="198"/>
      <c r="M12" s="198"/>
      <c r="N12" s="198"/>
      <c r="O12" s="198"/>
      <c r="P12" s="198"/>
      <c r="Q12" s="208" t="s">
        <v>206</v>
      </c>
      <c r="R12" s="208" t="s">
        <v>206</v>
      </c>
      <c r="S12" s="851"/>
      <c r="T12" s="846"/>
      <c r="U12" s="846"/>
      <c r="V12" s="846"/>
      <c r="W12" s="148" t="s">
        <v>1009</v>
      </c>
      <c r="X12" s="846"/>
      <c r="Y12" s="149" t="s">
        <v>51</v>
      </c>
      <c r="Z12" s="112">
        <v>0.12</v>
      </c>
      <c r="AA12" s="851"/>
      <c r="AB12" s="846"/>
      <c r="AC12" s="856"/>
      <c r="AD12" s="858"/>
      <c r="AE12" s="846"/>
      <c r="AF12" s="846"/>
      <c r="AG12" s="846"/>
      <c r="AH12" s="846"/>
      <c r="AI12" s="846"/>
      <c r="AJ12" s="828"/>
      <c r="AK12" s="144" t="s">
        <v>329</v>
      </c>
      <c r="AL12" s="846"/>
      <c r="AM12" s="112">
        <v>0.12</v>
      </c>
      <c r="AN12" s="846"/>
      <c r="AO12" s="857"/>
      <c r="AP12" s="69" t="s">
        <v>46</v>
      </c>
      <c r="AQ12" s="112">
        <v>0.03</v>
      </c>
      <c r="AR12" s="846"/>
      <c r="AS12" s="842"/>
      <c r="AT12" s="587">
        <v>0</v>
      </c>
      <c r="AU12" s="842"/>
      <c r="AV12" s="606">
        <f t="shared" si="0"/>
        <v>0</v>
      </c>
      <c r="AW12" s="847"/>
      <c r="AX12" s="606">
        <f t="shared" si="1"/>
        <v>0</v>
      </c>
      <c r="AY12" s="847"/>
      <c r="AZ12" s="586" t="s">
        <v>1488</v>
      </c>
      <c r="BA12" s="112">
        <v>0.03</v>
      </c>
      <c r="BB12" s="846"/>
      <c r="BC12" s="842"/>
      <c r="BD12" s="73"/>
      <c r="BE12" s="70"/>
      <c r="BF12" s="71"/>
      <c r="BG12" s="847"/>
      <c r="BH12" s="71"/>
      <c r="BI12" s="847"/>
      <c r="BJ12" s="71"/>
      <c r="BK12" s="112">
        <v>0.03</v>
      </c>
      <c r="BL12" s="846"/>
      <c r="BM12" s="842"/>
      <c r="BN12" s="148"/>
      <c r="BO12" s="851"/>
      <c r="BP12" s="71"/>
      <c r="BQ12" s="847"/>
      <c r="BR12" s="71"/>
      <c r="BS12" s="847"/>
      <c r="BT12" s="71"/>
      <c r="BU12" s="112">
        <v>0.03</v>
      </c>
      <c r="BV12" s="846"/>
      <c r="BW12" s="842"/>
      <c r="BX12" s="148"/>
      <c r="BY12" s="851"/>
      <c r="BZ12" s="105"/>
      <c r="CA12" s="847"/>
      <c r="CB12" s="105"/>
      <c r="CC12" s="847"/>
      <c r="CD12" s="105"/>
      <c r="CE12" s="566">
        <f t="shared" si="2"/>
        <v>0</v>
      </c>
      <c r="CF12" s="853"/>
      <c r="CG12" s="566">
        <f t="shared" si="3"/>
        <v>0</v>
      </c>
      <c r="CH12" s="853"/>
      <c r="CI12" s="566">
        <f t="shared" si="4"/>
        <v>0</v>
      </c>
      <c r="CJ12" s="853"/>
      <c r="CK12" s="566">
        <f t="shared" si="5"/>
        <v>0</v>
      </c>
      <c r="CL12" s="853"/>
      <c r="CM12" s="157">
        <f t="shared" si="6"/>
        <v>0</v>
      </c>
    </row>
    <row r="13" spans="1:107" s="75" customFormat="1" ht="45" customHeight="1" x14ac:dyDescent="0.2">
      <c r="A13" s="851"/>
      <c r="B13" s="846"/>
      <c r="C13" s="846"/>
      <c r="D13" s="198"/>
      <c r="E13" s="198" t="s">
        <v>1108</v>
      </c>
      <c r="F13" s="198" t="s">
        <v>1108</v>
      </c>
      <c r="G13" s="198"/>
      <c r="H13" s="198"/>
      <c r="I13" s="198"/>
      <c r="J13" s="198"/>
      <c r="K13" s="198"/>
      <c r="L13" s="198"/>
      <c r="M13" s="198"/>
      <c r="N13" s="198"/>
      <c r="O13" s="198"/>
      <c r="P13" s="198"/>
      <c r="Q13" s="208" t="s">
        <v>206</v>
      </c>
      <c r="R13" s="208" t="s">
        <v>206</v>
      </c>
      <c r="S13" s="851"/>
      <c r="T13" s="846"/>
      <c r="U13" s="846"/>
      <c r="V13" s="846"/>
      <c r="W13" s="148" t="s">
        <v>1010</v>
      </c>
      <c r="X13" s="846"/>
      <c r="Y13" s="149" t="s">
        <v>394</v>
      </c>
      <c r="Z13" s="66">
        <v>12</v>
      </c>
      <c r="AA13" s="851"/>
      <c r="AB13" s="846"/>
      <c r="AC13" s="856"/>
      <c r="AD13" s="858"/>
      <c r="AE13" s="846"/>
      <c r="AF13" s="846"/>
      <c r="AG13" s="846"/>
      <c r="AH13" s="846"/>
      <c r="AI13" s="846"/>
      <c r="AJ13" s="829"/>
      <c r="AK13" s="144" t="s">
        <v>328</v>
      </c>
      <c r="AL13" s="846"/>
      <c r="AM13" s="66">
        <v>12</v>
      </c>
      <c r="AN13" s="846"/>
      <c r="AO13" s="857"/>
      <c r="AP13" s="69" t="s">
        <v>46</v>
      </c>
      <c r="AQ13" s="66">
        <v>3</v>
      </c>
      <c r="AR13" s="846"/>
      <c r="AS13" s="842"/>
      <c r="AT13" s="587">
        <v>0</v>
      </c>
      <c r="AU13" s="842"/>
      <c r="AV13" s="606">
        <f t="shared" si="0"/>
        <v>0</v>
      </c>
      <c r="AW13" s="847"/>
      <c r="AX13" s="606">
        <f t="shared" si="1"/>
        <v>0</v>
      </c>
      <c r="AY13" s="847"/>
      <c r="AZ13" s="586" t="s">
        <v>1488</v>
      </c>
      <c r="BA13" s="66">
        <v>3</v>
      </c>
      <c r="BB13" s="846"/>
      <c r="BC13" s="842"/>
      <c r="BD13" s="73"/>
      <c r="BE13" s="70"/>
      <c r="BF13" s="71"/>
      <c r="BG13" s="847"/>
      <c r="BH13" s="71"/>
      <c r="BI13" s="847"/>
      <c r="BJ13" s="71"/>
      <c r="BK13" s="66">
        <v>3</v>
      </c>
      <c r="BL13" s="846"/>
      <c r="BM13" s="842"/>
      <c r="BN13" s="148"/>
      <c r="BO13" s="851"/>
      <c r="BP13" s="71"/>
      <c r="BQ13" s="847"/>
      <c r="BR13" s="71"/>
      <c r="BS13" s="847"/>
      <c r="BT13" s="71"/>
      <c r="BU13" s="66">
        <v>3</v>
      </c>
      <c r="BV13" s="846"/>
      <c r="BW13" s="842"/>
      <c r="BX13" s="148"/>
      <c r="BY13" s="851"/>
      <c r="BZ13" s="105"/>
      <c r="CA13" s="847"/>
      <c r="CB13" s="105"/>
      <c r="CC13" s="847"/>
      <c r="CD13" s="105"/>
      <c r="CE13" s="566">
        <f t="shared" si="2"/>
        <v>0</v>
      </c>
      <c r="CF13" s="853"/>
      <c r="CG13" s="566">
        <f t="shared" si="3"/>
        <v>0</v>
      </c>
      <c r="CH13" s="853"/>
      <c r="CI13" s="566">
        <f t="shared" si="4"/>
        <v>0</v>
      </c>
      <c r="CJ13" s="853"/>
      <c r="CK13" s="566">
        <f t="shared" si="5"/>
        <v>0</v>
      </c>
      <c r="CL13" s="853"/>
      <c r="CM13" s="157">
        <f t="shared" si="6"/>
        <v>0</v>
      </c>
    </row>
    <row r="14" spans="1:107" s="75" customFormat="1" ht="107.25" customHeight="1" x14ac:dyDescent="0.2">
      <c r="A14" s="148">
        <v>11200</v>
      </c>
      <c r="B14" s="144" t="s">
        <v>1</v>
      </c>
      <c r="C14" s="144" t="s">
        <v>338</v>
      </c>
      <c r="D14" s="198" t="s">
        <v>1108</v>
      </c>
      <c r="E14" s="198"/>
      <c r="F14" s="198" t="s">
        <v>1108</v>
      </c>
      <c r="G14" s="198"/>
      <c r="H14" s="198"/>
      <c r="I14" s="198"/>
      <c r="J14" s="198"/>
      <c r="K14" s="198"/>
      <c r="L14" s="198"/>
      <c r="M14" s="198"/>
      <c r="N14" s="198"/>
      <c r="O14" s="198"/>
      <c r="P14" s="198"/>
      <c r="Q14" s="198" t="s">
        <v>1232</v>
      </c>
      <c r="R14" s="198" t="s">
        <v>1235</v>
      </c>
      <c r="S14" s="148" t="s">
        <v>111</v>
      </c>
      <c r="T14" s="144" t="s">
        <v>94</v>
      </c>
      <c r="U14" s="144" t="s">
        <v>206</v>
      </c>
      <c r="V14" s="144" t="s">
        <v>206</v>
      </c>
      <c r="W14" s="148" t="s">
        <v>709</v>
      </c>
      <c r="X14" s="144" t="s">
        <v>712</v>
      </c>
      <c r="Y14" s="149" t="s">
        <v>394</v>
      </c>
      <c r="Z14" s="66">
        <v>1</v>
      </c>
      <c r="AA14" s="148" t="s">
        <v>708</v>
      </c>
      <c r="AB14" s="144" t="s">
        <v>710</v>
      </c>
      <c r="AC14" s="107">
        <v>11000000</v>
      </c>
      <c r="AD14" s="112">
        <v>1</v>
      </c>
      <c r="AE14" s="144" t="s">
        <v>18</v>
      </c>
      <c r="AF14" s="144" t="s">
        <v>24</v>
      </c>
      <c r="AG14" s="144" t="s">
        <v>673</v>
      </c>
      <c r="AH14" s="144" t="s">
        <v>675</v>
      </c>
      <c r="AI14" s="144" t="s">
        <v>1140</v>
      </c>
      <c r="AJ14" s="530" t="s">
        <v>1388</v>
      </c>
      <c r="AK14" s="144" t="s">
        <v>453</v>
      </c>
      <c r="AL14" s="144" t="s">
        <v>40</v>
      </c>
      <c r="AM14" s="66">
        <v>1</v>
      </c>
      <c r="AN14" s="144" t="str">
        <f t="shared" ref="AN14:AN24" si="7">+AB14</f>
        <v>Realizar piezas audiovisuales para la audiencia pública de rendición de cuentas de la ADRES, así como su cubrimiento y transmisión de video en línea</v>
      </c>
      <c r="AO14" s="68">
        <f t="shared" ref="AO14:AO26" si="8">+AC14</f>
        <v>11000000</v>
      </c>
      <c r="AP14" s="69" t="s">
        <v>46</v>
      </c>
      <c r="AQ14" s="66">
        <v>0</v>
      </c>
      <c r="AR14" s="144" t="str">
        <f t="shared" ref="AR14:AR26" si="9">+AN14</f>
        <v>Realizar piezas audiovisuales para la audiencia pública de rendición de cuentas de la ADRES, así como su cubrimiento y transmisión de video en línea</v>
      </c>
      <c r="AS14" s="111">
        <v>0</v>
      </c>
      <c r="AT14" s="587">
        <v>0</v>
      </c>
      <c r="AU14" s="614">
        <v>0</v>
      </c>
      <c r="AV14" s="71" t="e">
        <f t="shared" si="0"/>
        <v>#DIV/0!</v>
      </c>
      <c r="AW14" s="71" t="e">
        <f t="shared" ref="AW14:AW26" si="10">+(AU14/AS14)</f>
        <v>#DIV/0!</v>
      </c>
      <c r="AX14" s="71">
        <f t="shared" si="1"/>
        <v>0</v>
      </c>
      <c r="AY14" s="71">
        <f t="shared" ref="AY14:AY26" si="11">+(AU14/AO14)</f>
        <v>0</v>
      </c>
      <c r="AZ14" s="586" t="s">
        <v>1488</v>
      </c>
      <c r="BA14" s="66">
        <v>0</v>
      </c>
      <c r="BB14" s="144" t="str">
        <f t="shared" ref="BB14:BB26" si="12">+AN14</f>
        <v>Realizar piezas audiovisuales para la audiencia pública de rendición de cuentas de la ADRES, así como su cubrimiento y transmisión de video en línea</v>
      </c>
      <c r="BC14" s="111">
        <v>0</v>
      </c>
      <c r="BD14" s="73"/>
      <c r="BE14" s="73"/>
      <c r="BF14" s="71" t="e">
        <f t="shared" ref="BF14:BF27" si="13">+(BD14/BA14)</f>
        <v>#DIV/0!</v>
      </c>
      <c r="BG14" s="71" t="e">
        <f t="shared" ref="BG14:BG26" si="14">+(BE14/BC14)</f>
        <v>#DIV/0!</v>
      </c>
      <c r="BH14" s="71">
        <f t="shared" ref="BH14:BH27" si="15">+(BD14+AT14)/AM14</f>
        <v>0</v>
      </c>
      <c r="BI14" s="71">
        <f t="shared" ref="BI14:BI26" si="16">+(BE14+AU14)/AO14</f>
        <v>0</v>
      </c>
      <c r="BJ14" s="71"/>
      <c r="BK14" s="66">
        <v>1</v>
      </c>
      <c r="BL14" s="144" t="str">
        <f>+AN14</f>
        <v>Realizar piezas audiovisuales para la audiencia pública de rendición de cuentas de la ADRES, así como su cubrimiento y transmisión de video en línea</v>
      </c>
      <c r="BM14" s="111">
        <f>+AO14</f>
        <v>11000000</v>
      </c>
      <c r="BN14" s="148"/>
      <c r="BO14" s="148"/>
      <c r="BP14" s="71">
        <f t="shared" ref="BP14:BP29" si="17">+(BN14/BK14)</f>
        <v>0</v>
      </c>
      <c r="BQ14" s="71">
        <f t="shared" ref="BQ14:BQ26" si="18">+(BO14/BM14)</f>
        <v>0</v>
      </c>
      <c r="BR14" s="71">
        <f t="shared" ref="BR14:BR29" si="19">+(BD14+AT14+BN14)/AM14</f>
        <v>0</v>
      </c>
      <c r="BS14" s="71">
        <f t="shared" ref="BS14:BS26" si="20">+(BE14+AU14+BO14)/AO14</f>
        <v>0</v>
      </c>
      <c r="BT14" s="71"/>
      <c r="BU14" s="66">
        <v>0</v>
      </c>
      <c r="BV14" s="144" t="str">
        <f t="shared" ref="BV14:BV26" si="21">+AN14</f>
        <v>Realizar piezas audiovisuales para la audiencia pública de rendición de cuentas de la ADRES, así como su cubrimiento y transmisión de video en línea</v>
      </c>
      <c r="BW14" s="111">
        <v>0</v>
      </c>
      <c r="BX14" s="148"/>
      <c r="BY14" s="148"/>
      <c r="BZ14" s="105" t="e">
        <f t="shared" ref="BZ14:BZ29" si="22">+(BX14/BU14)</f>
        <v>#DIV/0!</v>
      </c>
      <c r="CA14" s="105" t="e">
        <f t="shared" ref="CA14:CA26" si="23">+(BY14/BW14)</f>
        <v>#DIV/0!</v>
      </c>
      <c r="CB14" s="105">
        <f t="shared" ref="CB14:CB29" si="24">+(BD14+AT14+BN14+BX14)/AM14</f>
        <v>0</v>
      </c>
      <c r="CC14" s="105">
        <f t="shared" ref="CC14:CC26" si="25">+(BE14+AU14+BO14+BY14)/AO14</f>
        <v>0</v>
      </c>
      <c r="CD14" s="105"/>
      <c r="CE14" s="74" t="str">
        <f t="shared" si="2"/>
        <v>No Prog ni Ejec</v>
      </c>
      <c r="CF14" s="74" t="str">
        <f t="shared" ref="CF14:CF26" si="26">IF(AND(AS14=0,AU14=0),"No Prog ni Ejec",IF(AS14=0,CONCATENATE("No Prog, Ejec=  ",AU14),AU14/AS14))</f>
        <v>No Prog ni Ejec</v>
      </c>
      <c r="CG14" s="74" t="str">
        <f t="shared" si="3"/>
        <v>No Prog ni Ejec</v>
      </c>
      <c r="CH14" s="74" t="str">
        <f t="shared" ref="CH14:CH26" si="27">IF(AND(BC14=0,BE14=0),"No Prog ni Ejec",IF(BC14=0,CONCATENATE("No Prog, Ejec=  ",BE14),BE14/BC14))</f>
        <v>No Prog ni Ejec</v>
      </c>
      <c r="CI14" s="74">
        <f t="shared" si="4"/>
        <v>0</v>
      </c>
      <c r="CJ14" s="74">
        <f t="shared" ref="CJ14:CJ26" si="28">IF(AND(BM14=0,BO14=0),"No Prog ni Ejec",IF(BM14=0,CONCATENATE("No Prog, Ejec=  ",BO14),BO14/BM14))</f>
        <v>0</v>
      </c>
      <c r="CK14" s="74" t="str">
        <f t="shared" si="5"/>
        <v>No Prog ni Ejec</v>
      </c>
      <c r="CL14" s="74" t="str">
        <f t="shared" ref="CL14:CL26" si="29">IF(AND(BW14=0,BY14=0),"No Prog ni Ejec",IF(BW14=0,CONCATENATE("No Prog, Ejec=  ",BY14),BY14/BW14))</f>
        <v>No Prog ni Ejec</v>
      </c>
      <c r="CM14" s="157">
        <f t="shared" si="6"/>
        <v>0</v>
      </c>
      <c r="CR14" s="138">
        <v>1</v>
      </c>
      <c r="CS14" s="138"/>
      <c r="CT14" s="138"/>
      <c r="CU14" s="138"/>
      <c r="CV14" s="138"/>
      <c r="CW14" s="138"/>
      <c r="CX14" s="138"/>
      <c r="CY14" s="138"/>
      <c r="CZ14" s="138"/>
      <c r="DA14" s="138"/>
      <c r="DB14" s="138"/>
      <c r="DC14" s="138"/>
    </row>
    <row r="15" spans="1:107" s="75" customFormat="1" ht="102" customHeight="1" x14ac:dyDescent="0.2">
      <c r="A15" s="148">
        <v>11200</v>
      </c>
      <c r="B15" s="144" t="s">
        <v>1</v>
      </c>
      <c r="C15" s="144" t="s">
        <v>338</v>
      </c>
      <c r="D15" s="198" t="s">
        <v>1108</v>
      </c>
      <c r="E15" s="198"/>
      <c r="F15" s="198"/>
      <c r="G15" s="198"/>
      <c r="H15" s="198"/>
      <c r="I15" s="198"/>
      <c r="J15" s="198"/>
      <c r="K15" s="198"/>
      <c r="L15" s="198"/>
      <c r="M15" s="198"/>
      <c r="N15" s="198"/>
      <c r="O15" s="198"/>
      <c r="P15" s="198"/>
      <c r="Q15" s="207" t="s">
        <v>1232</v>
      </c>
      <c r="R15" s="198" t="s">
        <v>1236</v>
      </c>
      <c r="S15" s="148" t="s">
        <v>111</v>
      </c>
      <c r="T15" s="144" t="s">
        <v>94</v>
      </c>
      <c r="U15" s="144" t="s">
        <v>206</v>
      </c>
      <c r="V15" s="144" t="s">
        <v>206</v>
      </c>
      <c r="W15" s="148" t="s">
        <v>714</v>
      </c>
      <c r="X15" s="104" t="s">
        <v>995</v>
      </c>
      <c r="Y15" s="60" t="s">
        <v>52</v>
      </c>
      <c r="Z15" s="66">
        <v>1</v>
      </c>
      <c r="AA15" s="148" t="s">
        <v>713</v>
      </c>
      <c r="AB15" s="104" t="s">
        <v>994</v>
      </c>
      <c r="AC15" s="111">
        <v>0</v>
      </c>
      <c r="AD15" s="112">
        <v>1</v>
      </c>
      <c r="AE15" s="144" t="s">
        <v>18</v>
      </c>
      <c r="AF15" s="144" t="s">
        <v>24</v>
      </c>
      <c r="AG15" s="144" t="s">
        <v>206</v>
      </c>
      <c r="AH15" s="144" t="s">
        <v>678</v>
      </c>
      <c r="AI15" s="144" t="s">
        <v>1140</v>
      </c>
      <c r="AJ15" s="530" t="s">
        <v>206</v>
      </c>
      <c r="AK15" s="104" t="s">
        <v>997</v>
      </c>
      <c r="AL15" s="144" t="s">
        <v>206</v>
      </c>
      <c r="AM15" s="112">
        <v>1</v>
      </c>
      <c r="AN15" s="144" t="str">
        <f t="shared" si="7"/>
        <v>Sensibilizar e incentivar a servidores y contratistas sobre la rendición de cuentas, la normativa aplicable, las responsabilidades frente a misma, su importancia y la forma en que la entidad rinde cuentas.</v>
      </c>
      <c r="AO15" s="68">
        <f t="shared" si="8"/>
        <v>0</v>
      </c>
      <c r="AP15" s="69" t="s">
        <v>48</v>
      </c>
      <c r="AQ15" s="66">
        <v>0</v>
      </c>
      <c r="AR15" s="144" t="str">
        <f t="shared" si="9"/>
        <v>Sensibilizar e incentivar a servidores y contratistas sobre la rendición de cuentas, la normativa aplicable, las responsabilidades frente a misma, su importancia y la forma en que la entidad rinde cuentas.</v>
      </c>
      <c r="AS15" s="111">
        <v>0</v>
      </c>
      <c r="AT15" s="587">
        <v>0</v>
      </c>
      <c r="AU15" s="614">
        <v>0</v>
      </c>
      <c r="AV15" s="71" t="e">
        <f t="shared" si="0"/>
        <v>#DIV/0!</v>
      </c>
      <c r="AW15" s="71" t="e">
        <f t="shared" si="10"/>
        <v>#DIV/0!</v>
      </c>
      <c r="AX15" s="71">
        <f t="shared" si="1"/>
        <v>0</v>
      </c>
      <c r="AY15" s="71" t="e">
        <f t="shared" si="11"/>
        <v>#DIV/0!</v>
      </c>
      <c r="AZ15" s="586" t="s">
        <v>1488</v>
      </c>
      <c r="BA15" s="66">
        <v>0</v>
      </c>
      <c r="BB15" s="144" t="str">
        <f t="shared" si="12"/>
        <v>Sensibilizar e incentivar a servidores y contratistas sobre la rendición de cuentas, la normativa aplicable, las responsabilidades frente a misma, su importancia y la forma en que la entidad rinde cuentas.</v>
      </c>
      <c r="BC15" s="111">
        <f>+AC15*BA15</f>
        <v>0</v>
      </c>
      <c r="BD15" s="73"/>
      <c r="BE15" s="73"/>
      <c r="BF15" s="71" t="e">
        <f t="shared" si="13"/>
        <v>#DIV/0!</v>
      </c>
      <c r="BG15" s="71" t="e">
        <f t="shared" si="14"/>
        <v>#DIV/0!</v>
      </c>
      <c r="BH15" s="71">
        <f t="shared" si="15"/>
        <v>0</v>
      </c>
      <c r="BI15" s="71" t="e">
        <f t="shared" si="16"/>
        <v>#DIV/0!</v>
      </c>
      <c r="BJ15" s="71"/>
      <c r="BK15" s="66">
        <v>1</v>
      </c>
      <c r="BL15" s="144" t="str">
        <f t="shared" ref="BL15:BL26" si="30">+AN15</f>
        <v>Sensibilizar e incentivar a servidores y contratistas sobre la rendición de cuentas, la normativa aplicable, las responsabilidades frente a misma, su importancia y la forma en que la entidad rinde cuentas.</v>
      </c>
      <c r="BM15" s="111">
        <f>+AO15*BK15</f>
        <v>0</v>
      </c>
      <c r="BN15" s="148"/>
      <c r="BO15" s="148"/>
      <c r="BP15" s="71">
        <f t="shared" si="17"/>
        <v>0</v>
      </c>
      <c r="BQ15" s="71" t="e">
        <f t="shared" si="18"/>
        <v>#DIV/0!</v>
      </c>
      <c r="BR15" s="71">
        <f t="shared" si="19"/>
        <v>0</v>
      </c>
      <c r="BS15" s="71" t="e">
        <f t="shared" si="20"/>
        <v>#DIV/0!</v>
      </c>
      <c r="BT15" s="71"/>
      <c r="BU15" s="66">
        <v>0</v>
      </c>
      <c r="BV15" s="144" t="str">
        <f t="shared" si="21"/>
        <v>Sensibilizar e incentivar a servidores y contratistas sobre la rendición de cuentas, la normativa aplicable, las responsabilidades frente a misma, su importancia y la forma en que la entidad rinde cuentas.</v>
      </c>
      <c r="BW15" s="111">
        <f>+AO15*BU15</f>
        <v>0</v>
      </c>
      <c r="BX15" s="148"/>
      <c r="BY15" s="148"/>
      <c r="BZ15" s="105" t="e">
        <f t="shared" si="22"/>
        <v>#DIV/0!</v>
      </c>
      <c r="CA15" s="105" t="e">
        <f t="shared" si="23"/>
        <v>#DIV/0!</v>
      </c>
      <c r="CB15" s="105">
        <f t="shared" si="24"/>
        <v>0</v>
      </c>
      <c r="CC15" s="105" t="e">
        <f t="shared" si="25"/>
        <v>#DIV/0!</v>
      </c>
      <c r="CD15" s="105"/>
      <c r="CE15" s="74" t="str">
        <f t="shared" si="2"/>
        <v>No Prog ni Ejec</v>
      </c>
      <c r="CF15" s="74" t="str">
        <f t="shared" si="26"/>
        <v>No Prog ni Ejec</v>
      </c>
      <c r="CG15" s="74" t="str">
        <f t="shared" si="3"/>
        <v>No Prog ni Ejec</v>
      </c>
      <c r="CH15" s="74" t="str">
        <f t="shared" si="27"/>
        <v>No Prog ni Ejec</v>
      </c>
      <c r="CI15" s="74">
        <f t="shared" si="4"/>
        <v>0</v>
      </c>
      <c r="CJ15" s="74" t="str">
        <f t="shared" si="28"/>
        <v>No Prog ni Ejec</v>
      </c>
      <c r="CK15" s="74" t="str">
        <f t="shared" si="5"/>
        <v>No Prog ni Ejec</v>
      </c>
      <c r="CL15" s="74" t="str">
        <f t="shared" si="29"/>
        <v>No Prog ni Ejec</v>
      </c>
      <c r="CM15" s="157">
        <f t="shared" si="6"/>
        <v>0</v>
      </c>
      <c r="CR15" s="138">
        <v>1</v>
      </c>
      <c r="CS15" s="138"/>
      <c r="CT15" s="138"/>
      <c r="CU15" s="138"/>
      <c r="CV15" s="138"/>
      <c r="CW15" s="138"/>
      <c r="CX15" s="138"/>
      <c r="CY15" s="138"/>
      <c r="CZ15" s="138"/>
      <c r="DA15" s="138"/>
      <c r="DB15" s="138"/>
      <c r="DC15" s="138"/>
    </row>
    <row r="16" spans="1:107" s="75" customFormat="1" ht="101.25" customHeight="1" x14ac:dyDescent="0.2">
      <c r="A16" s="148">
        <v>11200</v>
      </c>
      <c r="B16" s="144" t="s">
        <v>1</v>
      </c>
      <c r="C16" s="144" t="s">
        <v>338</v>
      </c>
      <c r="D16" s="198" t="s">
        <v>1108</v>
      </c>
      <c r="E16" s="198"/>
      <c r="F16" s="198"/>
      <c r="G16" s="198"/>
      <c r="H16" s="198"/>
      <c r="I16" s="198"/>
      <c r="J16" s="198"/>
      <c r="K16" s="198"/>
      <c r="L16" s="198"/>
      <c r="M16" s="198"/>
      <c r="N16" s="198"/>
      <c r="O16" s="198"/>
      <c r="P16" s="198"/>
      <c r="Q16" s="207" t="s">
        <v>1232</v>
      </c>
      <c r="R16" s="207" t="s">
        <v>1236</v>
      </c>
      <c r="S16" s="148" t="s">
        <v>111</v>
      </c>
      <c r="T16" s="144" t="s">
        <v>94</v>
      </c>
      <c r="U16" s="144" t="s">
        <v>206</v>
      </c>
      <c r="V16" s="144" t="s">
        <v>206</v>
      </c>
      <c r="W16" s="148" t="s">
        <v>715</v>
      </c>
      <c r="X16" s="104" t="s">
        <v>998</v>
      </c>
      <c r="Y16" s="60" t="s">
        <v>52</v>
      </c>
      <c r="Z16" s="66">
        <v>1</v>
      </c>
      <c r="AA16" s="148" t="s">
        <v>706</v>
      </c>
      <c r="AB16" s="104" t="s">
        <v>996</v>
      </c>
      <c r="AC16" s="111">
        <v>0</v>
      </c>
      <c r="AD16" s="112">
        <v>1</v>
      </c>
      <c r="AE16" s="144" t="s">
        <v>18</v>
      </c>
      <c r="AF16" s="144" t="s">
        <v>303</v>
      </c>
      <c r="AG16" s="144" t="s">
        <v>673</v>
      </c>
      <c r="AH16" s="144" t="s">
        <v>675</v>
      </c>
      <c r="AI16" s="144" t="s">
        <v>1140</v>
      </c>
      <c r="AJ16" s="530" t="s">
        <v>1388</v>
      </c>
      <c r="AK16" s="104" t="s">
        <v>999</v>
      </c>
      <c r="AL16" s="144" t="s">
        <v>206</v>
      </c>
      <c r="AM16" s="66">
        <v>1</v>
      </c>
      <c r="AN16" s="144" t="str">
        <f t="shared" si="7"/>
        <v>Sensibilizar a la ciudadanía y partes interesadas sobre la rendición de cuentas y la importancia de su participación en los procesos, a través de medios electrónicos, con el fin de incentivarlos a participar en este proceso.</v>
      </c>
      <c r="AO16" s="68">
        <f t="shared" si="8"/>
        <v>0</v>
      </c>
      <c r="AP16" s="69" t="s">
        <v>48</v>
      </c>
      <c r="AQ16" s="66">
        <v>0</v>
      </c>
      <c r="AR16" s="144" t="str">
        <f t="shared" si="9"/>
        <v>Sensibilizar a la ciudadanía y partes interesadas sobre la rendición de cuentas y la importancia de su participación en los procesos, a través de medios electrónicos, con el fin de incentivarlos a participar en este proceso.</v>
      </c>
      <c r="AS16" s="111">
        <f t="shared" ref="AS16:AS21" si="31">+AO16/4</f>
        <v>0</v>
      </c>
      <c r="AT16" s="587">
        <v>0</v>
      </c>
      <c r="AU16" s="614">
        <v>0</v>
      </c>
      <c r="AV16" s="71" t="e">
        <f t="shared" si="0"/>
        <v>#DIV/0!</v>
      </c>
      <c r="AW16" s="71" t="e">
        <f t="shared" si="10"/>
        <v>#DIV/0!</v>
      </c>
      <c r="AX16" s="71">
        <f t="shared" si="1"/>
        <v>0</v>
      </c>
      <c r="AY16" s="71" t="e">
        <f t="shared" si="11"/>
        <v>#DIV/0!</v>
      </c>
      <c r="AZ16" s="586" t="s">
        <v>1488</v>
      </c>
      <c r="BA16" s="66">
        <v>0</v>
      </c>
      <c r="BB16" s="144" t="str">
        <f t="shared" si="12"/>
        <v>Sensibilizar a la ciudadanía y partes interesadas sobre la rendición de cuentas y la importancia de su participación en los procesos, a través de medios electrónicos, con el fin de incentivarlos a participar en este proceso.</v>
      </c>
      <c r="BC16" s="111">
        <f t="shared" ref="BC16:BC21" si="32">+AO16/4</f>
        <v>0</v>
      </c>
      <c r="BD16" s="73"/>
      <c r="BE16" s="73"/>
      <c r="BF16" s="71" t="e">
        <f t="shared" si="13"/>
        <v>#DIV/0!</v>
      </c>
      <c r="BG16" s="71" t="e">
        <f t="shared" si="14"/>
        <v>#DIV/0!</v>
      </c>
      <c r="BH16" s="71">
        <f t="shared" si="15"/>
        <v>0</v>
      </c>
      <c r="BI16" s="71" t="e">
        <f t="shared" si="16"/>
        <v>#DIV/0!</v>
      </c>
      <c r="BJ16" s="71"/>
      <c r="BK16" s="66">
        <v>1</v>
      </c>
      <c r="BL16" s="144" t="str">
        <f t="shared" si="30"/>
        <v>Sensibilizar a la ciudadanía y partes interesadas sobre la rendición de cuentas y la importancia de su participación en los procesos, a través de medios electrónicos, con el fin de incentivarlos a participar en este proceso.</v>
      </c>
      <c r="BM16" s="111">
        <f t="shared" ref="BM16:BM21" si="33">+AO16/4</f>
        <v>0</v>
      </c>
      <c r="BN16" s="148"/>
      <c r="BO16" s="148"/>
      <c r="BP16" s="71">
        <f t="shared" si="17"/>
        <v>0</v>
      </c>
      <c r="BQ16" s="71" t="e">
        <f t="shared" si="18"/>
        <v>#DIV/0!</v>
      </c>
      <c r="BR16" s="71">
        <f t="shared" si="19"/>
        <v>0</v>
      </c>
      <c r="BS16" s="71" t="e">
        <f t="shared" si="20"/>
        <v>#DIV/0!</v>
      </c>
      <c r="BT16" s="71"/>
      <c r="BU16" s="66">
        <v>0</v>
      </c>
      <c r="BV16" s="144" t="str">
        <f t="shared" si="21"/>
        <v>Sensibilizar a la ciudadanía y partes interesadas sobre la rendición de cuentas y la importancia de su participación en los procesos, a través de medios electrónicos, con el fin de incentivarlos a participar en este proceso.</v>
      </c>
      <c r="BW16" s="111">
        <f t="shared" ref="BW16:BW21" si="34">+AO16/4</f>
        <v>0</v>
      </c>
      <c r="BX16" s="148"/>
      <c r="BY16" s="148"/>
      <c r="BZ16" s="105" t="e">
        <f t="shared" si="22"/>
        <v>#DIV/0!</v>
      </c>
      <c r="CA16" s="105" t="e">
        <f t="shared" si="23"/>
        <v>#DIV/0!</v>
      </c>
      <c r="CB16" s="105">
        <f t="shared" si="24"/>
        <v>0</v>
      </c>
      <c r="CC16" s="105" t="e">
        <f t="shared" si="25"/>
        <v>#DIV/0!</v>
      </c>
      <c r="CD16" s="105"/>
      <c r="CE16" s="74" t="str">
        <f t="shared" si="2"/>
        <v>No Prog ni Ejec</v>
      </c>
      <c r="CF16" s="74" t="str">
        <f t="shared" si="26"/>
        <v>No Prog ni Ejec</v>
      </c>
      <c r="CG16" s="74" t="str">
        <f t="shared" si="3"/>
        <v>No Prog ni Ejec</v>
      </c>
      <c r="CH16" s="74" t="str">
        <f t="shared" si="27"/>
        <v>No Prog ni Ejec</v>
      </c>
      <c r="CI16" s="74">
        <f t="shared" si="4"/>
        <v>0</v>
      </c>
      <c r="CJ16" s="74" t="str">
        <f t="shared" si="28"/>
        <v>No Prog ni Ejec</v>
      </c>
      <c r="CK16" s="74" t="str">
        <f t="shared" si="5"/>
        <v>No Prog ni Ejec</v>
      </c>
      <c r="CL16" s="74" t="str">
        <f t="shared" si="29"/>
        <v>No Prog ni Ejec</v>
      </c>
      <c r="CM16" s="157">
        <f t="shared" si="6"/>
        <v>0</v>
      </c>
      <c r="CR16" s="138">
        <v>1</v>
      </c>
      <c r="CS16" s="138"/>
      <c r="CT16" s="138"/>
      <c r="CU16" s="138"/>
      <c r="CV16" s="138"/>
      <c r="CW16" s="138"/>
      <c r="CX16" s="138"/>
      <c r="CY16" s="138"/>
      <c r="CZ16" s="138"/>
      <c r="DA16" s="138"/>
      <c r="DB16" s="138"/>
      <c r="DC16" s="138"/>
    </row>
    <row r="17" spans="1:101" s="75" customFormat="1" ht="132" customHeight="1" x14ac:dyDescent="0.2">
      <c r="A17" s="148">
        <v>11300</v>
      </c>
      <c r="B17" s="144" t="s">
        <v>1141</v>
      </c>
      <c r="C17" s="144" t="s">
        <v>332</v>
      </c>
      <c r="D17" s="198"/>
      <c r="E17" s="198" t="s">
        <v>1108</v>
      </c>
      <c r="F17" s="198"/>
      <c r="G17" s="198"/>
      <c r="H17" s="198"/>
      <c r="I17" s="198"/>
      <c r="J17" s="198"/>
      <c r="K17" s="198"/>
      <c r="L17" s="198"/>
      <c r="M17" s="198"/>
      <c r="N17" s="198"/>
      <c r="O17" s="198"/>
      <c r="P17" s="198"/>
      <c r="Q17" s="208" t="s">
        <v>206</v>
      </c>
      <c r="R17" s="208" t="s">
        <v>206</v>
      </c>
      <c r="S17" s="148" t="s">
        <v>1142</v>
      </c>
      <c r="T17" s="144" t="s">
        <v>94</v>
      </c>
      <c r="U17" s="144" t="s">
        <v>206</v>
      </c>
      <c r="V17" s="144" t="s">
        <v>206</v>
      </c>
      <c r="W17" s="150" t="s">
        <v>1143</v>
      </c>
      <c r="X17" s="144" t="s">
        <v>597</v>
      </c>
      <c r="Y17" s="149" t="s">
        <v>51</v>
      </c>
      <c r="Z17" s="105">
        <v>1</v>
      </c>
      <c r="AA17" s="150" t="s">
        <v>1144</v>
      </c>
      <c r="AB17" s="144" t="s">
        <v>1123</v>
      </c>
      <c r="AC17" s="111">
        <v>0</v>
      </c>
      <c r="AD17" s="112">
        <v>1</v>
      </c>
      <c r="AE17" s="144" t="s">
        <v>17</v>
      </c>
      <c r="AF17" s="144" t="s">
        <v>297</v>
      </c>
      <c r="AG17" s="144" t="s">
        <v>674</v>
      </c>
      <c r="AH17" s="144" t="s">
        <v>677</v>
      </c>
      <c r="AI17" s="144" t="s">
        <v>1130</v>
      </c>
      <c r="AJ17" s="534" t="s">
        <v>1401</v>
      </c>
      <c r="AK17" s="144" t="s">
        <v>596</v>
      </c>
      <c r="AL17" s="144" t="s">
        <v>206</v>
      </c>
      <c r="AM17" s="112">
        <v>1</v>
      </c>
      <c r="AN17" s="144" t="str">
        <f t="shared" si="7"/>
        <v>Implementar el SARL, SARC y SARM con los lineamientos establecidos en la Circular 006 de 2018</v>
      </c>
      <c r="AO17" s="68">
        <f t="shared" si="8"/>
        <v>0</v>
      </c>
      <c r="AP17" s="69" t="s">
        <v>48</v>
      </c>
      <c r="AQ17" s="112">
        <v>0</v>
      </c>
      <c r="AR17" s="144" t="str">
        <f t="shared" si="9"/>
        <v>Implementar el SARL, SARC y SARM con los lineamientos establecidos en la Circular 006 de 2018</v>
      </c>
      <c r="AS17" s="111">
        <f t="shared" si="31"/>
        <v>0</v>
      </c>
      <c r="AT17" s="587">
        <f>1*AQ17</f>
        <v>0</v>
      </c>
      <c r="AU17" s="614">
        <v>0</v>
      </c>
      <c r="AV17" s="71" t="e">
        <f t="shared" si="0"/>
        <v>#DIV/0!</v>
      </c>
      <c r="AW17" s="71" t="e">
        <f t="shared" si="10"/>
        <v>#DIV/0!</v>
      </c>
      <c r="AX17" s="71">
        <f t="shared" si="1"/>
        <v>0</v>
      </c>
      <c r="AY17" s="71" t="e">
        <f t="shared" si="11"/>
        <v>#DIV/0!</v>
      </c>
      <c r="AZ17" s="586" t="s">
        <v>1491</v>
      </c>
      <c r="BA17" s="112">
        <v>0</v>
      </c>
      <c r="BB17" s="144" t="str">
        <f t="shared" si="12"/>
        <v>Implementar el SARL, SARC y SARM con los lineamientos establecidos en la Circular 006 de 2018</v>
      </c>
      <c r="BC17" s="111">
        <f t="shared" si="32"/>
        <v>0</v>
      </c>
      <c r="BD17" s="73"/>
      <c r="BE17" s="73"/>
      <c r="BF17" s="71" t="e">
        <f t="shared" si="13"/>
        <v>#DIV/0!</v>
      </c>
      <c r="BG17" s="71" t="e">
        <f t="shared" si="14"/>
        <v>#DIV/0!</v>
      </c>
      <c r="BH17" s="71">
        <f t="shared" si="15"/>
        <v>0</v>
      </c>
      <c r="BI17" s="71" t="e">
        <f t="shared" si="16"/>
        <v>#DIV/0!</v>
      </c>
      <c r="BJ17" s="71"/>
      <c r="BK17" s="105">
        <v>0.5</v>
      </c>
      <c r="BL17" s="144" t="str">
        <f t="shared" si="30"/>
        <v>Implementar el SARL, SARC y SARM con los lineamientos establecidos en la Circular 006 de 2018</v>
      </c>
      <c r="BM17" s="111">
        <f t="shared" si="33"/>
        <v>0</v>
      </c>
      <c r="BN17" s="148"/>
      <c r="BO17" s="148"/>
      <c r="BP17" s="71">
        <f t="shared" si="17"/>
        <v>0</v>
      </c>
      <c r="BQ17" s="71" t="e">
        <f t="shared" si="18"/>
        <v>#DIV/0!</v>
      </c>
      <c r="BR17" s="71">
        <f t="shared" si="19"/>
        <v>0</v>
      </c>
      <c r="BS17" s="71" t="e">
        <f t="shared" si="20"/>
        <v>#DIV/0!</v>
      </c>
      <c r="BT17" s="71"/>
      <c r="BU17" s="105">
        <v>0.5</v>
      </c>
      <c r="BV17" s="144" t="str">
        <f t="shared" si="21"/>
        <v>Implementar el SARL, SARC y SARM con los lineamientos establecidos en la Circular 006 de 2018</v>
      </c>
      <c r="BW17" s="111">
        <f t="shared" si="34"/>
        <v>0</v>
      </c>
      <c r="BX17" s="148"/>
      <c r="BY17" s="148"/>
      <c r="BZ17" s="105">
        <f t="shared" si="22"/>
        <v>0</v>
      </c>
      <c r="CA17" s="105" t="e">
        <f t="shared" si="23"/>
        <v>#DIV/0!</v>
      </c>
      <c r="CB17" s="105">
        <f t="shared" si="24"/>
        <v>0</v>
      </c>
      <c r="CC17" s="105" t="e">
        <f t="shared" si="25"/>
        <v>#DIV/0!</v>
      </c>
      <c r="CD17" s="105"/>
      <c r="CE17" s="74" t="str">
        <f t="shared" si="2"/>
        <v>No Prog ni Ejec</v>
      </c>
      <c r="CF17" s="74" t="str">
        <f t="shared" si="26"/>
        <v>No Prog ni Ejec</v>
      </c>
      <c r="CG17" s="74" t="str">
        <f t="shared" si="3"/>
        <v>No Prog ni Ejec</v>
      </c>
      <c r="CH17" s="74" t="str">
        <f t="shared" si="27"/>
        <v>No Prog ni Ejec</v>
      </c>
      <c r="CI17" s="74">
        <f t="shared" si="4"/>
        <v>0</v>
      </c>
      <c r="CJ17" s="74" t="str">
        <f t="shared" si="28"/>
        <v>No Prog ni Ejec</v>
      </c>
      <c r="CK17" s="74">
        <f t="shared" si="5"/>
        <v>0</v>
      </c>
      <c r="CL17" s="74" t="str">
        <f t="shared" si="29"/>
        <v>No Prog ni Ejec</v>
      </c>
      <c r="CM17" s="157">
        <f t="shared" si="6"/>
        <v>0</v>
      </c>
      <c r="CW17" s="138">
        <v>6</v>
      </c>
    </row>
    <row r="18" spans="1:101" s="75" customFormat="1" ht="99.75" customHeight="1" x14ac:dyDescent="0.2">
      <c r="A18" s="148">
        <v>11300</v>
      </c>
      <c r="B18" s="144" t="s">
        <v>2</v>
      </c>
      <c r="C18" s="144" t="s">
        <v>338</v>
      </c>
      <c r="D18" s="198" t="s">
        <v>1108</v>
      </c>
      <c r="E18" s="198"/>
      <c r="F18" s="198"/>
      <c r="G18" s="198"/>
      <c r="H18" s="198"/>
      <c r="I18" s="198"/>
      <c r="J18" s="198"/>
      <c r="K18" s="198"/>
      <c r="L18" s="198"/>
      <c r="M18" s="198"/>
      <c r="N18" s="198"/>
      <c r="O18" s="198"/>
      <c r="P18" s="198"/>
      <c r="Q18" s="198" t="s">
        <v>1230</v>
      </c>
      <c r="R18" s="198" t="s">
        <v>1237</v>
      </c>
      <c r="S18" s="148" t="s">
        <v>63</v>
      </c>
      <c r="T18" s="144" t="s">
        <v>94</v>
      </c>
      <c r="U18" s="144" t="s">
        <v>206</v>
      </c>
      <c r="V18" s="144" t="s">
        <v>206</v>
      </c>
      <c r="W18" s="148" t="s">
        <v>156</v>
      </c>
      <c r="X18" s="144" t="s">
        <v>1146</v>
      </c>
      <c r="Y18" s="149" t="s">
        <v>394</v>
      </c>
      <c r="Z18" s="66">
        <v>3</v>
      </c>
      <c r="AA18" s="148" t="s">
        <v>155</v>
      </c>
      <c r="AB18" s="144" t="s">
        <v>1145</v>
      </c>
      <c r="AC18" s="111">
        <v>0</v>
      </c>
      <c r="AD18" s="112">
        <v>1</v>
      </c>
      <c r="AE18" s="144" t="s">
        <v>17</v>
      </c>
      <c r="AF18" s="144" t="s">
        <v>297</v>
      </c>
      <c r="AG18" s="144" t="s">
        <v>206</v>
      </c>
      <c r="AH18" s="144" t="s">
        <v>678</v>
      </c>
      <c r="AI18" s="144" t="s">
        <v>1136</v>
      </c>
      <c r="AJ18" s="530" t="s">
        <v>1396</v>
      </c>
      <c r="AK18" s="144" t="s">
        <v>1147</v>
      </c>
      <c r="AL18" s="144" t="s">
        <v>206</v>
      </c>
      <c r="AM18" s="67">
        <v>3</v>
      </c>
      <c r="AN18" s="144" t="str">
        <f t="shared" si="7"/>
        <v>Realizar reuniones de autocontrol y seguimiento a los procesos que evidencien el monitoreo a los riesgos, indicadores, planes de mejoramiento, manuales y documentos asociados</v>
      </c>
      <c r="AO18" s="68">
        <f t="shared" si="8"/>
        <v>0</v>
      </c>
      <c r="AP18" s="69" t="s">
        <v>48</v>
      </c>
      <c r="AQ18" s="67">
        <v>0</v>
      </c>
      <c r="AR18" s="144" t="str">
        <f t="shared" si="9"/>
        <v>Realizar reuniones de autocontrol y seguimiento a los procesos que evidencien el monitoreo a los riesgos, indicadores, planes de mejoramiento, manuales y documentos asociados</v>
      </c>
      <c r="AS18" s="111">
        <f t="shared" si="31"/>
        <v>0</v>
      </c>
      <c r="AT18" s="590">
        <v>0</v>
      </c>
      <c r="AU18" s="614">
        <v>0</v>
      </c>
      <c r="AV18" s="71" t="e">
        <f t="shared" si="0"/>
        <v>#DIV/0!</v>
      </c>
      <c r="AW18" s="71" t="e">
        <f t="shared" si="10"/>
        <v>#DIV/0!</v>
      </c>
      <c r="AX18" s="71">
        <f t="shared" si="1"/>
        <v>0</v>
      </c>
      <c r="AY18" s="71" t="e">
        <f t="shared" si="11"/>
        <v>#DIV/0!</v>
      </c>
      <c r="AZ18" s="586" t="s">
        <v>1460</v>
      </c>
      <c r="BA18" s="67">
        <v>1</v>
      </c>
      <c r="BB18" s="144" t="str">
        <f t="shared" si="12"/>
        <v>Realizar reuniones de autocontrol y seguimiento a los procesos que evidencien el monitoreo a los riesgos, indicadores, planes de mejoramiento, manuales y documentos asociados</v>
      </c>
      <c r="BC18" s="111">
        <f t="shared" si="32"/>
        <v>0</v>
      </c>
      <c r="BD18" s="73"/>
      <c r="BE18" s="73"/>
      <c r="BF18" s="71">
        <f t="shared" si="13"/>
        <v>0</v>
      </c>
      <c r="BG18" s="71" t="e">
        <f t="shared" si="14"/>
        <v>#DIV/0!</v>
      </c>
      <c r="BH18" s="71">
        <f t="shared" si="15"/>
        <v>0</v>
      </c>
      <c r="BI18" s="71" t="e">
        <f t="shared" si="16"/>
        <v>#DIV/0!</v>
      </c>
      <c r="BJ18" s="71"/>
      <c r="BK18" s="67">
        <v>1</v>
      </c>
      <c r="BL18" s="144" t="str">
        <f t="shared" si="30"/>
        <v>Realizar reuniones de autocontrol y seguimiento a los procesos que evidencien el monitoreo a los riesgos, indicadores, planes de mejoramiento, manuales y documentos asociados</v>
      </c>
      <c r="BM18" s="111">
        <f t="shared" si="33"/>
        <v>0</v>
      </c>
      <c r="BN18" s="148"/>
      <c r="BO18" s="148"/>
      <c r="BP18" s="71">
        <f t="shared" si="17"/>
        <v>0</v>
      </c>
      <c r="BQ18" s="71" t="e">
        <f t="shared" si="18"/>
        <v>#DIV/0!</v>
      </c>
      <c r="BR18" s="71">
        <f t="shared" si="19"/>
        <v>0</v>
      </c>
      <c r="BS18" s="71" t="e">
        <f t="shared" si="20"/>
        <v>#DIV/0!</v>
      </c>
      <c r="BT18" s="71"/>
      <c r="BU18" s="67">
        <v>1</v>
      </c>
      <c r="BV18" s="144" t="str">
        <f t="shared" si="21"/>
        <v>Realizar reuniones de autocontrol y seguimiento a los procesos que evidencien el monitoreo a los riesgos, indicadores, planes de mejoramiento, manuales y documentos asociados</v>
      </c>
      <c r="BW18" s="111">
        <f t="shared" si="34"/>
        <v>0</v>
      </c>
      <c r="BX18" s="148"/>
      <c r="BY18" s="148"/>
      <c r="BZ18" s="105">
        <f t="shared" si="22"/>
        <v>0</v>
      </c>
      <c r="CA18" s="105" t="e">
        <f t="shared" si="23"/>
        <v>#DIV/0!</v>
      </c>
      <c r="CB18" s="105">
        <f t="shared" si="24"/>
        <v>0</v>
      </c>
      <c r="CC18" s="105" t="e">
        <f t="shared" si="25"/>
        <v>#DIV/0!</v>
      </c>
      <c r="CD18" s="105"/>
      <c r="CE18" s="74" t="str">
        <f t="shared" si="2"/>
        <v>No Prog ni Ejec</v>
      </c>
      <c r="CF18" s="74" t="str">
        <f t="shared" si="26"/>
        <v>No Prog ni Ejec</v>
      </c>
      <c r="CG18" s="74">
        <f t="shared" si="3"/>
        <v>0</v>
      </c>
      <c r="CH18" s="74" t="str">
        <f t="shared" si="27"/>
        <v>No Prog ni Ejec</v>
      </c>
      <c r="CI18" s="74">
        <f t="shared" si="4"/>
        <v>0</v>
      </c>
      <c r="CJ18" s="74" t="str">
        <f t="shared" si="28"/>
        <v>No Prog ni Ejec</v>
      </c>
      <c r="CK18" s="74">
        <f t="shared" si="5"/>
        <v>0</v>
      </c>
      <c r="CL18" s="74" t="str">
        <f t="shared" si="29"/>
        <v>No Prog ni Ejec</v>
      </c>
      <c r="CM18" s="157">
        <f t="shared" si="6"/>
        <v>0</v>
      </c>
      <c r="CW18" s="138"/>
    </row>
    <row r="19" spans="1:101" s="75" customFormat="1" ht="99" customHeight="1" x14ac:dyDescent="0.2">
      <c r="A19" s="541">
        <v>12000</v>
      </c>
      <c r="B19" s="544" t="s">
        <v>15</v>
      </c>
      <c r="C19" s="544" t="s">
        <v>332</v>
      </c>
      <c r="D19" s="544"/>
      <c r="E19" s="544" t="s">
        <v>1108</v>
      </c>
      <c r="F19" s="544"/>
      <c r="G19" s="544"/>
      <c r="H19" s="544"/>
      <c r="I19" s="544"/>
      <c r="J19" s="544"/>
      <c r="K19" s="544"/>
      <c r="L19" s="544"/>
      <c r="M19" s="544"/>
      <c r="N19" s="544"/>
      <c r="O19" s="544"/>
      <c r="P19" s="544"/>
      <c r="Q19" s="540" t="s">
        <v>206</v>
      </c>
      <c r="R19" s="540" t="s">
        <v>206</v>
      </c>
      <c r="S19" s="541" t="s">
        <v>53</v>
      </c>
      <c r="T19" s="544" t="s">
        <v>94</v>
      </c>
      <c r="U19" s="544" t="s">
        <v>206</v>
      </c>
      <c r="V19" s="544" t="s">
        <v>206</v>
      </c>
      <c r="W19" s="541" t="s">
        <v>58</v>
      </c>
      <c r="X19" s="544" t="s">
        <v>595</v>
      </c>
      <c r="Y19" s="554" t="s">
        <v>51</v>
      </c>
      <c r="Z19" s="547">
        <v>1</v>
      </c>
      <c r="AA19" s="541" t="s">
        <v>54</v>
      </c>
      <c r="AB19" s="544" t="s">
        <v>594</v>
      </c>
      <c r="AC19" s="549">
        <v>0</v>
      </c>
      <c r="AD19" s="545">
        <v>1</v>
      </c>
      <c r="AE19" s="544" t="s">
        <v>17</v>
      </c>
      <c r="AF19" s="544" t="s">
        <v>297</v>
      </c>
      <c r="AG19" s="544" t="s">
        <v>206</v>
      </c>
      <c r="AH19" s="544" t="s">
        <v>678</v>
      </c>
      <c r="AI19" s="544" t="s">
        <v>1130</v>
      </c>
      <c r="AJ19" s="544" t="s">
        <v>1401</v>
      </c>
      <c r="AK19" s="544" t="s">
        <v>596</v>
      </c>
      <c r="AL19" s="544" t="s">
        <v>206</v>
      </c>
      <c r="AM19" s="545">
        <v>1</v>
      </c>
      <c r="AN19" s="544" t="str">
        <f t="shared" si="7"/>
        <v>Implementar el SARLAFT</v>
      </c>
      <c r="AO19" s="550">
        <f t="shared" si="8"/>
        <v>0</v>
      </c>
      <c r="AP19" s="548" t="s">
        <v>48</v>
      </c>
      <c r="AQ19" s="547">
        <v>0.45</v>
      </c>
      <c r="AR19" s="544" t="str">
        <f t="shared" si="9"/>
        <v>Implementar el SARLAFT</v>
      </c>
      <c r="AS19" s="542">
        <f t="shared" si="31"/>
        <v>0</v>
      </c>
      <c r="AT19" s="626">
        <f>(4/20)</f>
        <v>0.2</v>
      </c>
      <c r="AU19" s="627">
        <v>0</v>
      </c>
      <c r="AV19" s="543">
        <f t="shared" si="0"/>
        <v>0.44444444444444448</v>
      </c>
      <c r="AW19" s="543" t="e">
        <f t="shared" si="10"/>
        <v>#DIV/0!</v>
      </c>
      <c r="AX19" s="543">
        <f t="shared" si="1"/>
        <v>0.2</v>
      </c>
      <c r="AY19" s="543" t="e">
        <f t="shared" si="11"/>
        <v>#DIV/0!</v>
      </c>
      <c r="AZ19" s="605" t="s">
        <v>1519</v>
      </c>
      <c r="BA19" s="547">
        <v>0.45</v>
      </c>
      <c r="BB19" s="544" t="str">
        <f t="shared" si="12"/>
        <v>Implementar el SARLAFT</v>
      </c>
      <c r="BC19" s="542">
        <f t="shared" si="32"/>
        <v>0</v>
      </c>
      <c r="BD19" s="73"/>
      <c r="BE19" s="73"/>
      <c r="BF19" s="543">
        <f t="shared" si="13"/>
        <v>0</v>
      </c>
      <c r="BG19" s="543" t="e">
        <f t="shared" si="14"/>
        <v>#DIV/0!</v>
      </c>
      <c r="BH19" s="543">
        <f t="shared" si="15"/>
        <v>0.2</v>
      </c>
      <c r="BI19" s="543" t="e">
        <f t="shared" si="16"/>
        <v>#DIV/0!</v>
      </c>
      <c r="BJ19" s="543"/>
      <c r="BK19" s="547">
        <v>0.1</v>
      </c>
      <c r="BL19" s="544" t="str">
        <f t="shared" si="30"/>
        <v>Implementar el SARLAFT</v>
      </c>
      <c r="BM19" s="542">
        <f t="shared" si="33"/>
        <v>0</v>
      </c>
      <c r="BN19" s="541"/>
      <c r="BO19" s="541"/>
      <c r="BP19" s="543">
        <f t="shared" si="17"/>
        <v>0</v>
      </c>
      <c r="BQ19" s="543" t="e">
        <f t="shared" si="18"/>
        <v>#DIV/0!</v>
      </c>
      <c r="BR19" s="543">
        <f t="shared" si="19"/>
        <v>0.2</v>
      </c>
      <c r="BS19" s="543" t="e">
        <f t="shared" si="20"/>
        <v>#DIV/0!</v>
      </c>
      <c r="BT19" s="543"/>
      <c r="BU19" s="547">
        <v>0</v>
      </c>
      <c r="BV19" s="544" t="str">
        <f t="shared" si="21"/>
        <v>Implementar el SARLAFT</v>
      </c>
      <c r="BW19" s="542">
        <f t="shared" si="34"/>
        <v>0</v>
      </c>
      <c r="BX19" s="541"/>
      <c r="BY19" s="541"/>
      <c r="BZ19" s="547" t="e">
        <f t="shared" si="22"/>
        <v>#DIV/0!</v>
      </c>
      <c r="CA19" s="547" t="e">
        <f t="shared" si="23"/>
        <v>#DIV/0!</v>
      </c>
      <c r="CB19" s="547">
        <f t="shared" si="24"/>
        <v>0.2</v>
      </c>
      <c r="CC19" s="547" t="e">
        <f t="shared" si="25"/>
        <v>#DIV/0!</v>
      </c>
      <c r="CD19" s="547"/>
      <c r="CE19" s="546">
        <f t="shared" si="2"/>
        <v>0.44444444444444448</v>
      </c>
      <c r="CF19" s="546" t="str">
        <f t="shared" si="26"/>
        <v>No Prog ni Ejec</v>
      </c>
      <c r="CG19" s="546">
        <f t="shared" si="3"/>
        <v>0</v>
      </c>
      <c r="CH19" s="546" t="str">
        <f t="shared" si="27"/>
        <v>No Prog ni Ejec</v>
      </c>
      <c r="CI19" s="546">
        <f t="shared" si="4"/>
        <v>0</v>
      </c>
      <c r="CJ19" s="546" t="str">
        <f t="shared" si="28"/>
        <v>No Prog ni Ejec</v>
      </c>
      <c r="CK19" s="546" t="str">
        <f t="shared" si="5"/>
        <v>No Prog ni Ejec</v>
      </c>
      <c r="CL19" s="546" t="str">
        <f t="shared" si="29"/>
        <v>No Prog ni Ejec</v>
      </c>
      <c r="CM19" s="157">
        <f t="shared" si="6"/>
        <v>0</v>
      </c>
      <c r="CW19" s="138">
        <v>6</v>
      </c>
    </row>
    <row r="20" spans="1:101" s="75" customFormat="1" ht="114.75" customHeight="1" x14ac:dyDescent="0.2">
      <c r="A20" s="541">
        <v>12000</v>
      </c>
      <c r="B20" s="544" t="s">
        <v>15</v>
      </c>
      <c r="C20" s="544" t="s">
        <v>332</v>
      </c>
      <c r="D20" s="544"/>
      <c r="E20" s="544" t="s">
        <v>1108</v>
      </c>
      <c r="F20" s="544"/>
      <c r="G20" s="544"/>
      <c r="H20" s="544"/>
      <c r="I20" s="544"/>
      <c r="J20" s="544"/>
      <c r="K20" s="544"/>
      <c r="L20" s="544"/>
      <c r="M20" s="544"/>
      <c r="N20" s="544"/>
      <c r="O20" s="544"/>
      <c r="P20" s="544"/>
      <c r="Q20" s="540" t="s">
        <v>206</v>
      </c>
      <c r="R20" s="540" t="s">
        <v>206</v>
      </c>
      <c r="S20" s="541" t="s">
        <v>53</v>
      </c>
      <c r="T20" s="544" t="s">
        <v>94</v>
      </c>
      <c r="U20" s="544" t="s">
        <v>206</v>
      </c>
      <c r="V20" s="544" t="s">
        <v>206</v>
      </c>
      <c r="W20" s="541" t="s">
        <v>1148</v>
      </c>
      <c r="X20" s="544" t="s">
        <v>599</v>
      </c>
      <c r="Y20" s="554" t="s">
        <v>51</v>
      </c>
      <c r="Z20" s="547">
        <v>1</v>
      </c>
      <c r="AA20" s="541" t="s">
        <v>959</v>
      </c>
      <c r="AB20" s="544" t="s">
        <v>598</v>
      </c>
      <c r="AC20" s="549">
        <v>0</v>
      </c>
      <c r="AD20" s="545">
        <v>1</v>
      </c>
      <c r="AE20" s="544" t="s">
        <v>20</v>
      </c>
      <c r="AF20" s="544" t="s">
        <v>22</v>
      </c>
      <c r="AG20" s="544" t="s">
        <v>206</v>
      </c>
      <c r="AH20" s="544" t="s">
        <v>678</v>
      </c>
      <c r="AI20" s="544" t="s">
        <v>1136</v>
      </c>
      <c r="AJ20" s="544" t="s">
        <v>1401</v>
      </c>
      <c r="AK20" s="544" t="s">
        <v>596</v>
      </c>
      <c r="AL20" s="544" t="s">
        <v>206</v>
      </c>
      <c r="AM20" s="545">
        <v>1</v>
      </c>
      <c r="AN20" s="544" t="str">
        <f t="shared" si="7"/>
        <v>Apoyar la definición e implementación del Plan de Continuidad del Negocio</v>
      </c>
      <c r="AO20" s="550">
        <f t="shared" si="8"/>
        <v>0</v>
      </c>
      <c r="AP20" s="548" t="s">
        <v>48</v>
      </c>
      <c r="AQ20" s="547">
        <v>0.45</v>
      </c>
      <c r="AR20" s="544" t="str">
        <f t="shared" si="9"/>
        <v>Apoyar la definición e implementación del Plan de Continuidad del Negocio</v>
      </c>
      <c r="AS20" s="542">
        <f t="shared" si="31"/>
        <v>0</v>
      </c>
      <c r="AT20" s="628">
        <v>0</v>
      </c>
      <c r="AU20" s="627">
        <v>0</v>
      </c>
      <c r="AV20" s="543">
        <f t="shared" si="0"/>
        <v>0</v>
      </c>
      <c r="AW20" s="543" t="e">
        <f t="shared" si="10"/>
        <v>#DIV/0!</v>
      </c>
      <c r="AX20" s="543">
        <f t="shared" si="1"/>
        <v>0</v>
      </c>
      <c r="AY20" s="543" t="e">
        <f t="shared" si="11"/>
        <v>#DIV/0!</v>
      </c>
      <c r="AZ20" s="624"/>
      <c r="BA20" s="547">
        <v>0.45</v>
      </c>
      <c r="BB20" s="544" t="str">
        <f t="shared" si="12"/>
        <v>Apoyar la definición e implementación del Plan de Continuidad del Negocio</v>
      </c>
      <c r="BC20" s="542">
        <f t="shared" si="32"/>
        <v>0</v>
      </c>
      <c r="BD20" s="73"/>
      <c r="BE20" s="73"/>
      <c r="BF20" s="543">
        <f t="shared" si="13"/>
        <v>0</v>
      </c>
      <c r="BG20" s="543" t="e">
        <f t="shared" si="14"/>
        <v>#DIV/0!</v>
      </c>
      <c r="BH20" s="543">
        <f t="shared" si="15"/>
        <v>0</v>
      </c>
      <c r="BI20" s="543" t="e">
        <f t="shared" si="16"/>
        <v>#DIV/0!</v>
      </c>
      <c r="BJ20" s="543"/>
      <c r="BK20" s="547">
        <v>0.1</v>
      </c>
      <c r="BL20" s="544" t="str">
        <f t="shared" si="30"/>
        <v>Apoyar la definición e implementación del Plan de Continuidad del Negocio</v>
      </c>
      <c r="BM20" s="542">
        <f t="shared" si="33"/>
        <v>0</v>
      </c>
      <c r="BN20" s="541"/>
      <c r="BO20" s="541"/>
      <c r="BP20" s="543">
        <f t="shared" si="17"/>
        <v>0</v>
      </c>
      <c r="BQ20" s="543" t="e">
        <f t="shared" si="18"/>
        <v>#DIV/0!</v>
      </c>
      <c r="BR20" s="543">
        <f t="shared" si="19"/>
        <v>0</v>
      </c>
      <c r="BS20" s="543" t="e">
        <f t="shared" si="20"/>
        <v>#DIV/0!</v>
      </c>
      <c r="BT20" s="543"/>
      <c r="BU20" s="547">
        <v>0</v>
      </c>
      <c r="BV20" s="544" t="str">
        <f t="shared" si="21"/>
        <v>Apoyar la definición e implementación del Plan de Continuidad del Negocio</v>
      </c>
      <c r="BW20" s="542">
        <f t="shared" si="34"/>
        <v>0</v>
      </c>
      <c r="BX20" s="541"/>
      <c r="BY20" s="541"/>
      <c r="BZ20" s="547" t="e">
        <f t="shared" si="22"/>
        <v>#DIV/0!</v>
      </c>
      <c r="CA20" s="547" t="e">
        <f t="shared" si="23"/>
        <v>#DIV/0!</v>
      </c>
      <c r="CB20" s="547">
        <f t="shared" si="24"/>
        <v>0</v>
      </c>
      <c r="CC20" s="547" t="e">
        <f t="shared" si="25"/>
        <v>#DIV/0!</v>
      </c>
      <c r="CD20" s="547"/>
      <c r="CE20" s="546">
        <f t="shared" si="2"/>
        <v>0</v>
      </c>
      <c r="CF20" s="546" t="str">
        <f t="shared" si="26"/>
        <v>No Prog ni Ejec</v>
      </c>
      <c r="CG20" s="546">
        <f t="shared" si="3"/>
        <v>0</v>
      </c>
      <c r="CH20" s="546" t="str">
        <f t="shared" si="27"/>
        <v>No Prog ni Ejec</v>
      </c>
      <c r="CI20" s="546">
        <f t="shared" si="4"/>
        <v>0</v>
      </c>
      <c r="CJ20" s="546" t="str">
        <f t="shared" si="28"/>
        <v>No Prog ni Ejec</v>
      </c>
      <c r="CK20" s="546" t="str">
        <f t="shared" si="5"/>
        <v>No Prog ni Ejec</v>
      </c>
      <c r="CL20" s="546" t="str">
        <f t="shared" si="29"/>
        <v>No Prog ni Ejec</v>
      </c>
      <c r="CM20" s="157">
        <f t="shared" si="6"/>
        <v>0</v>
      </c>
      <c r="CW20" s="138">
        <v>6</v>
      </c>
    </row>
    <row r="21" spans="1:101" s="75" customFormat="1" ht="102.75" customHeight="1" x14ac:dyDescent="0.2">
      <c r="A21" s="541">
        <v>12000</v>
      </c>
      <c r="B21" s="544" t="s">
        <v>15</v>
      </c>
      <c r="C21" s="544" t="s">
        <v>332</v>
      </c>
      <c r="D21" s="544"/>
      <c r="E21" s="544" t="s">
        <v>1108</v>
      </c>
      <c r="F21" s="544"/>
      <c r="G21" s="544"/>
      <c r="H21" s="544"/>
      <c r="I21" s="544"/>
      <c r="J21" s="544"/>
      <c r="K21" s="544"/>
      <c r="L21" s="544"/>
      <c r="M21" s="544"/>
      <c r="N21" s="544"/>
      <c r="O21" s="544"/>
      <c r="P21" s="544"/>
      <c r="Q21" s="540" t="s">
        <v>206</v>
      </c>
      <c r="R21" s="540" t="s">
        <v>206</v>
      </c>
      <c r="S21" s="541" t="s">
        <v>53</v>
      </c>
      <c r="T21" s="544" t="s">
        <v>94</v>
      </c>
      <c r="U21" s="544" t="s">
        <v>206</v>
      </c>
      <c r="V21" s="544" t="s">
        <v>206</v>
      </c>
      <c r="W21" s="541" t="s">
        <v>962</v>
      </c>
      <c r="X21" s="544" t="s">
        <v>591</v>
      </c>
      <c r="Y21" s="554" t="s">
        <v>394</v>
      </c>
      <c r="Z21" s="66">
        <v>1</v>
      </c>
      <c r="AA21" s="541" t="s">
        <v>960</v>
      </c>
      <c r="AB21" s="544" t="s">
        <v>593</v>
      </c>
      <c r="AC21" s="549">
        <v>0</v>
      </c>
      <c r="AD21" s="545">
        <v>1</v>
      </c>
      <c r="AE21" s="544" t="s">
        <v>20</v>
      </c>
      <c r="AF21" s="544" t="s">
        <v>22</v>
      </c>
      <c r="AG21" s="544" t="s">
        <v>206</v>
      </c>
      <c r="AH21" s="544" t="s">
        <v>678</v>
      </c>
      <c r="AI21" s="544" t="s">
        <v>29</v>
      </c>
      <c r="AJ21" s="544" t="s">
        <v>1402</v>
      </c>
      <c r="AK21" s="544" t="s">
        <v>592</v>
      </c>
      <c r="AL21" s="544" t="s">
        <v>206</v>
      </c>
      <c r="AM21" s="545">
        <v>0.01</v>
      </c>
      <c r="AN21" s="544" t="str">
        <f t="shared" si="7"/>
        <v>Formular un plan estratégico cuatrienal de acuerdo con el Plan Nacional de Desarrollo vigente</v>
      </c>
      <c r="AO21" s="550">
        <f t="shared" si="8"/>
        <v>0</v>
      </c>
      <c r="AP21" s="548" t="s">
        <v>48</v>
      </c>
      <c r="AQ21" s="66">
        <v>0</v>
      </c>
      <c r="AR21" s="544" t="str">
        <f t="shared" si="9"/>
        <v>Formular un plan estratégico cuatrienal de acuerdo con el Plan Nacional de Desarrollo vigente</v>
      </c>
      <c r="AS21" s="542">
        <f t="shared" si="31"/>
        <v>0</v>
      </c>
      <c r="AT21" s="603">
        <v>0</v>
      </c>
      <c r="AU21" s="627">
        <v>0</v>
      </c>
      <c r="AV21" s="543" t="e">
        <f t="shared" si="0"/>
        <v>#DIV/0!</v>
      </c>
      <c r="AW21" s="543" t="e">
        <f t="shared" si="10"/>
        <v>#DIV/0!</v>
      </c>
      <c r="AX21" s="543">
        <f t="shared" si="1"/>
        <v>0</v>
      </c>
      <c r="AY21" s="543" t="e">
        <f t="shared" si="11"/>
        <v>#DIV/0!</v>
      </c>
      <c r="AZ21" s="605" t="s">
        <v>1520</v>
      </c>
      <c r="BA21" s="66">
        <v>0</v>
      </c>
      <c r="BB21" s="544" t="str">
        <f t="shared" si="12"/>
        <v>Formular un plan estratégico cuatrienal de acuerdo con el Plan Nacional de Desarrollo vigente</v>
      </c>
      <c r="BC21" s="542">
        <f t="shared" si="32"/>
        <v>0</v>
      </c>
      <c r="BD21" s="73"/>
      <c r="BE21" s="73"/>
      <c r="BF21" s="543" t="e">
        <f t="shared" si="13"/>
        <v>#DIV/0!</v>
      </c>
      <c r="BG21" s="543" t="e">
        <f t="shared" si="14"/>
        <v>#DIV/0!</v>
      </c>
      <c r="BH21" s="543">
        <f t="shared" si="15"/>
        <v>0</v>
      </c>
      <c r="BI21" s="543" t="e">
        <f t="shared" si="16"/>
        <v>#DIV/0!</v>
      </c>
      <c r="BJ21" s="543"/>
      <c r="BK21" s="66">
        <v>0</v>
      </c>
      <c r="BL21" s="544" t="str">
        <f t="shared" si="30"/>
        <v>Formular un plan estratégico cuatrienal de acuerdo con el Plan Nacional de Desarrollo vigente</v>
      </c>
      <c r="BM21" s="542">
        <f t="shared" si="33"/>
        <v>0</v>
      </c>
      <c r="BN21" s="541"/>
      <c r="BO21" s="541"/>
      <c r="BP21" s="543" t="e">
        <f t="shared" si="17"/>
        <v>#DIV/0!</v>
      </c>
      <c r="BQ21" s="543" t="e">
        <f t="shared" si="18"/>
        <v>#DIV/0!</v>
      </c>
      <c r="BR21" s="543">
        <f t="shared" si="19"/>
        <v>0</v>
      </c>
      <c r="BS21" s="543" t="e">
        <f t="shared" si="20"/>
        <v>#DIV/0!</v>
      </c>
      <c r="BT21" s="543"/>
      <c r="BU21" s="66">
        <v>1</v>
      </c>
      <c r="BV21" s="544" t="str">
        <f t="shared" si="21"/>
        <v>Formular un plan estratégico cuatrienal de acuerdo con el Plan Nacional de Desarrollo vigente</v>
      </c>
      <c r="BW21" s="542">
        <f t="shared" si="34"/>
        <v>0</v>
      </c>
      <c r="BX21" s="541"/>
      <c r="BY21" s="541"/>
      <c r="BZ21" s="547">
        <f t="shared" si="22"/>
        <v>0</v>
      </c>
      <c r="CA21" s="547" t="e">
        <f t="shared" si="23"/>
        <v>#DIV/0!</v>
      </c>
      <c r="CB21" s="547">
        <f t="shared" si="24"/>
        <v>0</v>
      </c>
      <c r="CC21" s="547" t="e">
        <f t="shared" si="25"/>
        <v>#DIV/0!</v>
      </c>
      <c r="CD21" s="547"/>
      <c r="CE21" s="546" t="str">
        <f t="shared" si="2"/>
        <v>No Prog ni Ejec</v>
      </c>
      <c r="CF21" s="546" t="str">
        <f t="shared" si="26"/>
        <v>No Prog ni Ejec</v>
      </c>
      <c r="CG21" s="546" t="str">
        <f t="shared" si="3"/>
        <v>No Prog ni Ejec</v>
      </c>
      <c r="CH21" s="546" t="str">
        <f t="shared" si="27"/>
        <v>No Prog ni Ejec</v>
      </c>
      <c r="CI21" s="546" t="str">
        <f t="shared" si="4"/>
        <v>No Prog ni Ejec</v>
      </c>
      <c r="CJ21" s="546" t="str">
        <f t="shared" si="28"/>
        <v>No Prog ni Ejec</v>
      </c>
      <c r="CK21" s="546">
        <f t="shared" si="5"/>
        <v>0</v>
      </c>
      <c r="CL21" s="546" t="str">
        <f t="shared" si="29"/>
        <v>No Prog ni Ejec</v>
      </c>
      <c r="CM21" s="157">
        <f t="shared" si="6"/>
        <v>0</v>
      </c>
      <c r="CW21" s="138">
        <v>6</v>
      </c>
    </row>
    <row r="22" spans="1:101" s="75" customFormat="1" ht="165.75" x14ac:dyDescent="0.2">
      <c r="A22" s="541">
        <v>11900</v>
      </c>
      <c r="B22" s="544" t="s">
        <v>125</v>
      </c>
      <c r="C22" s="544" t="s">
        <v>332</v>
      </c>
      <c r="D22" s="544"/>
      <c r="E22" s="544" t="s">
        <v>1108</v>
      </c>
      <c r="F22" s="544" t="s">
        <v>1108</v>
      </c>
      <c r="G22" s="544"/>
      <c r="H22" s="544"/>
      <c r="I22" s="544"/>
      <c r="J22" s="544"/>
      <c r="K22" s="544"/>
      <c r="L22" s="544"/>
      <c r="M22" s="544"/>
      <c r="N22" s="544"/>
      <c r="O22" s="544"/>
      <c r="P22" s="544"/>
      <c r="Q22" s="540" t="s">
        <v>206</v>
      </c>
      <c r="R22" s="540" t="s">
        <v>206</v>
      </c>
      <c r="S22" s="541" t="s">
        <v>126</v>
      </c>
      <c r="T22" s="544" t="s">
        <v>60</v>
      </c>
      <c r="U22" s="544" t="s">
        <v>206</v>
      </c>
      <c r="V22" s="544" t="s">
        <v>206</v>
      </c>
      <c r="W22" s="541" t="s">
        <v>634</v>
      </c>
      <c r="X22" s="544" t="s">
        <v>505</v>
      </c>
      <c r="Y22" s="554" t="s">
        <v>51</v>
      </c>
      <c r="Z22" s="547">
        <v>1</v>
      </c>
      <c r="AA22" s="541" t="s">
        <v>633</v>
      </c>
      <c r="AB22" s="688" t="s">
        <v>1562</v>
      </c>
      <c r="AC22" s="692">
        <v>265626000</v>
      </c>
      <c r="AD22" s="545">
        <v>1</v>
      </c>
      <c r="AE22" s="544" t="s">
        <v>17</v>
      </c>
      <c r="AF22" s="544" t="s">
        <v>28</v>
      </c>
      <c r="AG22" s="544" t="s">
        <v>206</v>
      </c>
      <c r="AH22" s="544" t="s">
        <v>678</v>
      </c>
      <c r="AI22" s="544" t="s">
        <v>1124</v>
      </c>
      <c r="AJ22" s="544" t="s">
        <v>1403</v>
      </c>
      <c r="AK22" s="544" t="s">
        <v>506</v>
      </c>
      <c r="AL22" s="544" t="s">
        <v>206</v>
      </c>
      <c r="AM22" s="545">
        <v>1</v>
      </c>
      <c r="AN22" s="544" t="str">
        <f t="shared" si="7"/>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O22" s="550">
        <f t="shared" si="8"/>
        <v>265626000</v>
      </c>
      <c r="AP22" s="548" t="s">
        <v>46</v>
      </c>
      <c r="AQ22" s="547">
        <v>0</v>
      </c>
      <c r="AR22" s="544" t="str">
        <f t="shared" si="9"/>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S22" s="542">
        <v>0</v>
      </c>
      <c r="AT22" s="666" t="e">
        <f>+AU22/AS22</f>
        <v>#DIV/0!</v>
      </c>
      <c r="AU22" s="686">
        <v>20626000</v>
      </c>
      <c r="AV22" s="543" t="e">
        <f t="shared" si="0"/>
        <v>#DIV/0!</v>
      </c>
      <c r="AW22" s="543" t="e">
        <f t="shared" si="10"/>
        <v>#DIV/0!</v>
      </c>
      <c r="AX22" s="543" t="e">
        <f t="shared" si="1"/>
        <v>#DIV/0!</v>
      </c>
      <c r="AY22" s="543">
        <f t="shared" si="11"/>
        <v>7.7650531198000194E-2</v>
      </c>
      <c r="AZ22" s="580" t="s">
        <v>1543</v>
      </c>
      <c r="BA22" s="547">
        <v>0</v>
      </c>
      <c r="BB22" s="544" t="str">
        <f t="shared" si="12"/>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C22" s="542">
        <v>0</v>
      </c>
      <c r="BD22" s="73"/>
      <c r="BE22" s="73"/>
      <c r="BF22" s="543" t="e">
        <f t="shared" si="13"/>
        <v>#DIV/0!</v>
      </c>
      <c r="BG22" s="543" t="e">
        <f t="shared" si="14"/>
        <v>#DIV/0!</v>
      </c>
      <c r="BH22" s="543" t="e">
        <f t="shared" si="15"/>
        <v>#DIV/0!</v>
      </c>
      <c r="BI22" s="543">
        <f t="shared" si="16"/>
        <v>7.7650531198000194E-2</v>
      </c>
      <c r="BJ22" s="543"/>
      <c r="BK22" s="547">
        <v>0.5</v>
      </c>
      <c r="BL22" s="544" t="str">
        <f t="shared" si="30"/>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M22" s="542">
        <f>+AO22*BK22</f>
        <v>132813000</v>
      </c>
      <c r="BN22" s="541"/>
      <c r="BO22" s="541"/>
      <c r="BP22" s="543">
        <f t="shared" si="17"/>
        <v>0</v>
      </c>
      <c r="BQ22" s="543">
        <f t="shared" si="18"/>
        <v>0</v>
      </c>
      <c r="BR22" s="543" t="e">
        <f t="shared" si="19"/>
        <v>#DIV/0!</v>
      </c>
      <c r="BS22" s="543">
        <f t="shared" si="20"/>
        <v>7.7650531198000194E-2</v>
      </c>
      <c r="BT22" s="543"/>
      <c r="BU22" s="547">
        <v>0.5</v>
      </c>
      <c r="BV22" s="544" t="str">
        <f t="shared" si="21"/>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W22" s="542">
        <f>+AO22*BU22</f>
        <v>132813000</v>
      </c>
      <c r="BX22" s="541"/>
      <c r="BY22" s="541"/>
      <c r="BZ22" s="547">
        <f t="shared" si="22"/>
        <v>0</v>
      </c>
      <c r="CA22" s="547">
        <f t="shared" si="23"/>
        <v>0</v>
      </c>
      <c r="CB22" s="547" t="e">
        <f t="shared" si="24"/>
        <v>#DIV/0!</v>
      </c>
      <c r="CC22" s="547">
        <f t="shared" si="25"/>
        <v>7.7650531198000194E-2</v>
      </c>
      <c r="CD22" s="547"/>
      <c r="CE22" s="546" t="e">
        <f t="shared" si="2"/>
        <v>#DIV/0!</v>
      </c>
      <c r="CF22" s="546" t="str">
        <f t="shared" si="26"/>
        <v>No Prog, Ejec=  20626000</v>
      </c>
      <c r="CG22" s="546" t="str">
        <f t="shared" si="3"/>
        <v>No Prog ni Ejec</v>
      </c>
      <c r="CH22" s="546" t="str">
        <f t="shared" si="27"/>
        <v>No Prog ni Ejec</v>
      </c>
      <c r="CI22" s="546">
        <f t="shared" si="4"/>
        <v>0</v>
      </c>
      <c r="CJ22" s="546">
        <f t="shared" si="28"/>
        <v>0</v>
      </c>
      <c r="CK22" s="546">
        <f t="shared" si="5"/>
        <v>0</v>
      </c>
      <c r="CL22" s="546">
        <f t="shared" si="29"/>
        <v>0</v>
      </c>
      <c r="CM22" s="157">
        <f t="shared" si="6"/>
        <v>0</v>
      </c>
      <c r="CW22" s="138">
        <v>6</v>
      </c>
    </row>
    <row r="23" spans="1:101" s="75" customFormat="1" ht="127.5" x14ac:dyDescent="0.2">
      <c r="A23" s="541">
        <v>11900</v>
      </c>
      <c r="B23" s="544" t="s">
        <v>125</v>
      </c>
      <c r="C23" s="544" t="s">
        <v>332</v>
      </c>
      <c r="D23" s="544"/>
      <c r="E23" s="544" t="s">
        <v>1108</v>
      </c>
      <c r="F23" s="544" t="s">
        <v>1108</v>
      </c>
      <c r="G23" s="544"/>
      <c r="H23" s="544"/>
      <c r="I23" s="544"/>
      <c r="J23" s="544"/>
      <c r="K23" s="544"/>
      <c r="L23" s="544"/>
      <c r="M23" s="544"/>
      <c r="N23" s="544"/>
      <c r="O23" s="544"/>
      <c r="P23" s="544"/>
      <c r="Q23" s="540" t="s">
        <v>206</v>
      </c>
      <c r="R23" s="540" t="s">
        <v>206</v>
      </c>
      <c r="S23" s="541" t="s">
        <v>126</v>
      </c>
      <c r="T23" s="544" t="s">
        <v>60</v>
      </c>
      <c r="U23" s="544" t="s">
        <v>206</v>
      </c>
      <c r="V23" s="544" t="s">
        <v>206</v>
      </c>
      <c r="W23" s="541" t="s">
        <v>638</v>
      </c>
      <c r="X23" s="544" t="s">
        <v>511</v>
      </c>
      <c r="Y23" s="554" t="s">
        <v>51</v>
      </c>
      <c r="Z23" s="547">
        <v>1</v>
      </c>
      <c r="AA23" s="541" t="s">
        <v>637</v>
      </c>
      <c r="AB23" s="548" t="s">
        <v>969</v>
      </c>
      <c r="AC23" s="549">
        <f>61642068+100000000</f>
        <v>161642068</v>
      </c>
      <c r="AD23" s="545">
        <v>1</v>
      </c>
      <c r="AE23" s="544" t="s">
        <v>17</v>
      </c>
      <c r="AF23" s="544" t="s">
        <v>28</v>
      </c>
      <c r="AG23" s="544" t="s">
        <v>206</v>
      </c>
      <c r="AH23" s="544" t="s">
        <v>678</v>
      </c>
      <c r="AI23" s="544" t="s">
        <v>1124</v>
      </c>
      <c r="AJ23" s="544" t="s">
        <v>1403</v>
      </c>
      <c r="AK23" s="544" t="s">
        <v>967</v>
      </c>
      <c r="AL23" s="544" t="s">
        <v>206</v>
      </c>
      <c r="AM23" s="545">
        <v>1</v>
      </c>
      <c r="AN23" s="544" t="str">
        <f t="shared" si="7"/>
        <v>Tramitar consultas y peticiones de carácter jurídico,  judicial y contractual que adelanta la entidad, y frente al contenido de actos administrativos y mantener actualizada la información de normas constitucionales y legales y demás asuntos de competencia de la ADRES.</v>
      </c>
      <c r="AO23" s="550">
        <f t="shared" si="8"/>
        <v>161642068</v>
      </c>
      <c r="AP23" s="548" t="s">
        <v>46</v>
      </c>
      <c r="AQ23" s="547">
        <v>0.25</v>
      </c>
      <c r="AR23" s="544" t="str">
        <f t="shared" si="9"/>
        <v>Tramitar consultas y peticiones de carácter jurídico,  judicial y contractual que adelanta la entidad, y frente al contenido de actos administrativos y mantener actualizada la información de normas constitucionales y legales y demás asuntos de competencia de la ADRES.</v>
      </c>
      <c r="AS23" s="542">
        <f>+AO23/4</f>
        <v>40410517</v>
      </c>
      <c r="AT23" s="687">
        <f>(10/13)*(25/100)</f>
        <v>0.19230769230769232</v>
      </c>
      <c r="AU23" s="662">
        <v>11472273</v>
      </c>
      <c r="AV23" s="543">
        <f t="shared" si="0"/>
        <v>0.76923076923076927</v>
      </c>
      <c r="AW23" s="543">
        <f t="shared" si="10"/>
        <v>0.28389324986859238</v>
      </c>
      <c r="AX23" s="543">
        <f t="shared" si="1"/>
        <v>0.19230769230769232</v>
      </c>
      <c r="AY23" s="543">
        <f t="shared" si="11"/>
        <v>7.0973312467148095E-2</v>
      </c>
      <c r="AZ23" s="689" t="s">
        <v>1544</v>
      </c>
      <c r="BA23" s="547">
        <v>0.25</v>
      </c>
      <c r="BB23" s="544" t="str">
        <f t="shared" si="12"/>
        <v>Tramitar consultas y peticiones de carácter jurídico,  judicial y contractual que adelanta la entidad, y frente al contenido de actos administrativos y mantener actualizada la información de normas constitucionales y legales y demás asuntos de competencia de la ADRES.</v>
      </c>
      <c r="BC23" s="542">
        <f>+AO23/4</f>
        <v>40410517</v>
      </c>
      <c r="BD23" s="73"/>
      <c r="BE23" s="73"/>
      <c r="BF23" s="543">
        <f t="shared" si="13"/>
        <v>0</v>
      </c>
      <c r="BG23" s="543">
        <f t="shared" si="14"/>
        <v>0</v>
      </c>
      <c r="BH23" s="543">
        <f t="shared" si="15"/>
        <v>0.19230769230769232</v>
      </c>
      <c r="BI23" s="543">
        <f t="shared" si="16"/>
        <v>7.0973312467148095E-2</v>
      </c>
      <c r="BJ23" s="543"/>
      <c r="BK23" s="547">
        <v>0.25</v>
      </c>
      <c r="BL23" s="544" t="str">
        <f t="shared" si="30"/>
        <v>Tramitar consultas y peticiones de carácter jurídico,  judicial y contractual que adelanta la entidad, y frente al contenido de actos administrativos y mantener actualizada la información de normas constitucionales y legales y demás asuntos de competencia de la ADRES.</v>
      </c>
      <c r="BM23" s="542">
        <f>+AO23/4</f>
        <v>40410517</v>
      </c>
      <c r="BN23" s="541"/>
      <c r="BO23" s="541"/>
      <c r="BP23" s="543">
        <f t="shared" si="17"/>
        <v>0</v>
      </c>
      <c r="BQ23" s="543">
        <f t="shared" si="18"/>
        <v>0</v>
      </c>
      <c r="BR23" s="543">
        <f t="shared" si="19"/>
        <v>0.19230769230769232</v>
      </c>
      <c r="BS23" s="543">
        <f t="shared" si="20"/>
        <v>7.0973312467148095E-2</v>
      </c>
      <c r="BT23" s="543"/>
      <c r="BU23" s="547">
        <v>0.25</v>
      </c>
      <c r="BV23" s="544" t="str">
        <f t="shared" si="21"/>
        <v>Tramitar consultas y peticiones de carácter jurídico,  judicial y contractual que adelanta la entidad, y frente al contenido de actos administrativos y mantener actualizada la información de normas constitucionales y legales y demás asuntos de competencia de la ADRES.</v>
      </c>
      <c r="BW23" s="542">
        <f>+AO23/4</f>
        <v>40410517</v>
      </c>
      <c r="BX23" s="541"/>
      <c r="BY23" s="541"/>
      <c r="BZ23" s="547">
        <f t="shared" si="22"/>
        <v>0</v>
      </c>
      <c r="CA23" s="547">
        <f t="shared" si="23"/>
        <v>0</v>
      </c>
      <c r="CB23" s="547">
        <f t="shared" si="24"/>
        <v>0.19230769230769232</v>
      </c>
      <c r="CC23" s="547">
        <f t="shared" si="25"/>
        <v>7.0973312467148095E-2</v>
      </c>
      <c r="CD23" s="547"/>
      <c r="CE23" s="546">
        <f t="shared" si="2"/>
        <v>0.76923076923076927</v>
      </c>
      <c r="CF23" s="546">
        <f t="shared" si="26"/>
        <v>0.28389324986859238</v>
      </c>
      <c r="CG23" s="546">
        <f t="shared" si="3"/>
        <v>0</v>
      </c>
      <c r="CH23" s="546">
        <f t="shared" si="27"/>
        <v>0</v>
      </c>
      <c r="CI23" s="546">
        <f t="shared" si="4"/>
        <v>0</v>
      </c>
      <c r="CJ23" s="546">
        <f t="shared" si="28"/>
        <v>0</v>
      </c>
      <c r="CK23" s="546">
        <f t="shared" si="5"/>
        <v>0</v>
      </c>
      <c r="CL23" s="546">
        <f t="shared" si="29"/>
        <v>0</v>
      </c>
      <c r="CM23" s="157">
        <f t="shared" si="6"/>
        <v>0</v>
      </c>
      <c r="CW23" s="138">
        <v>6</v>
      </c>
    </row>
    <row r="24" spans="1:101" s="75" customFormat="1" ht="127.5" x14ac:dyDescent="0.2">
      <c r="A24" s="541">
        <v>11900</v>
      </c>
      <c r="B24" s="544" t="s">
        <v>125</v>
      </c>
      <c r="C24" s="544" t="s">
        <v>332</v>
      </c>
      <c r="D24" s="544"/>
      <c r="E24" s="544" t="s">
        <v>1108</v>
      </c>
      <c r="F24" s="544" t="s">
        <v>1108</v>
      </c>
      <c r="G24" s="544"/>
      <c r="H24" s="544"/>
      <c r="I24" s="544"/>
      <c r="J24" s="544"/>
      <c r="K24" s="544"/>
      <c r="L24" s="544"/>
      <c r="M24" s="544"/>
      <c r="N24" s="544"/>
      <c r="O24" s="544"/>
      <c r="P24" s="544"/>
      <c r="Q24" s="540" t="s">
        <v>206</v>
      </c>
      <c r="R24" s="540" t="s">
        <v>206</v>
      </c>
      <c r="S24" s="541" t="s">
        <v>126</v>
      </c>
      <c r="T24" s="544" t="s">
        <v>60</v>
      </c>
      <c r="U24" s="544" t="s">
        <v>206</v>
      </c>
      <c r="V24" s="544" t="s">
        <v>206</v>
      </c>
      <c r="W24" s="541" t="s">
        <v>701</v>
      </c>
      <c r="X24" s="544" t="s">
        <v>455</v>
      </c>
      <c r="Y24" s="554" t="s">
        <v>171</v>
      </c>
      <c r="Z24" s="547">
        <v>1</v>
      </c>
      <c r="AA24" s="541" t="s">
        <v>128</v>
      </c>
      <c r="AB24" s="544" t="s">
        <v>454</v>
      </c>
      <c r="AC24" s="549">
        <v>150000000</v>
      </c>
      <c r="AD24" s="545">
        <v>1</v>
      </c>
      <c r="AE24" s="544" t="s">
        <v>17</v>
      </c>
      <c r="AF24" s="544" t="s">
        <v>28</v>
      </c>
      <c r="AG24" s="544" t="s">
        <v>206</v>
      </c>
      <c r="AH24" s="544" t="s">
        <v>678</v>
      </c>
      <c r="AI24" s="544" t="s">
        <v>1124</v>
      </c>
      <c r="AJ24" s="544" t="s">
        <v>1403</v>
      </c>
      <c r="AK24" s="544" t="s">
        <v>456</v>
      </c>
      <c r="AL24" s="544" t="s">
        <v>206</v>
      </c>
      <c r="AM24" s="545">
        <v>1</v>
      </c>
      <c r="AN24" s="544" t="str">
        <f t="shared" si="7"/>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O24" s="550">
        <f t="shared" si="8"/>
        <v>150000000</v>
      </c>
      <c r="AP24" s="548" t="s">
        <v>46</v>
      </c>
      <c r="AQ24" s="547">
        <v>0.25</v>
      </c>
      <c r="AR24" s="544" t="str">
        <f t="shared" si="9"/>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S24" s="542">
        <f>+AO24/4</f>
        <v>37500000</v>
      </c>
      <c r="AT24" s="663">
        <v>0</v>
      </c>
      <c r="AU24" s="662">
        <v>0</v>
      </c>
      <c r="AV24" s="543">
        <f t="shared" si="0"/>
        <v>0</v>
      </c>
      <c r="AW24" s="543">
        <f t="shared" si="10"/>
        <v>0</v>
      </c>
      <c r="AX24" s="543">
        <f t="shared" si="1"/>
        <v>0</v>
      </c>
      <c r="AY24" s="543">
        <f t="shared" si="11"/>
        <v>0</v>
      </c>
      <c r="AZ24" s="690" t="s">
        <v>1545</v>
      </c>
      <c r="BA24" s="547">
        <v>0.25</v>
      </c>
      <c r="BB24" s="544" t="str">
        <f t="shared" si="12"/>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C24" s="542">
        <f>+AO24/4</f>
        <v>37500000</v>
      </c>
      <c r="BD24" s="73"/>
      <c r="BE24" s="73"/>
      <c r="BF24" s="543">
        <f t="shared" si="13"/>
        <v>0</v>
      </c>
      <c r="BG24" s="543">
        <f t="shared" si="14"/>
        <v>0</v>
      </c>
      <c r="BH24" s="543">
        <f t="shared" si="15"/>
        <v>0</v>
      </c>
      <c r="BI24" s="543">
        <f t="shared" si="16"/>
        <v>0</v>
      </c>
      <c r="BJ24" s="543"/>
      <c r="BK24" s="547">
        <v>0.25</v>
      </c>
      <c r="BL24" s="544" t="str">
        <f t="shared" si="30"/>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M24" s="542">
        <f>+AO24/4</f>
        <v>37500000</v>
      </c>
      <c r="BN24" s="541"/>
      <c r="BO24" s="541"/>
      <c r="BP24" s="543">
        <f t="shared" si="17"/>
        <v>0</v>
      </c>
      <c r="BQ24" s="543">
        <f t="shared" si="18"/>
        <v>0</v>
      </c>
      <c r="BR24" s="543">
        <f t="shared" si="19"/>
        <v>0</v>
      </c>
      <c r="BS24" s="543">
        <f t="shared" si="20"/>
        <v>0</v>
      </c>
      <c r="BT24" s="543"/>
      <c r="BU24" s="547">
        <v>0.25</v>
      </c>
      <c r="BV24" s="544" t="str">
        <f t="shared" si="21"/>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W24" s="542">
        <f>+AO24/4</f>
        <v>37500000</v>
      </c>
      <c r="BX24" s="541"/>
      <c r="BY24" s="541"/>
      <c r="BZ24" s="547">
        <f t="shared" si="22"/>
        <v>0</v>
      </c>
      <c r="CA24" s="547">
        <f t="shared" si="23"/>
        <v>0</v>
      </c>
      <c r="CB24" s="547">
        <f t="shared" si="24"/>
        <v>0</v>
      </c>
      <c r="CC24" s="547">
        <f t="shared" si="25"/>
        <v>0</v>
      </c>
      <c r="CD24" s="547"/>
      <c r="CE24" s="546">
        <f t="shared" si="2"/>
        <v>0</v>
      </c>
      <c r="CF24" s="546">
        <f t="shared" si="26"/>
        <v>0</v>
      </c>
      <c r="CG24" s="546">
        <f t="shared" si="3"/>
        <v>0</v>
      </c>
      <c r="CH24" s="546">
        <f t="shared" si="27"/>
        <v>0</v>
      </c>
      <c r="CI24" s="546">
        <f t="shared" si="4"/>
        <v>0</v>
      </c>
      <c r="CJ24" s="546">
        <f t="shared" si="28"/>
        <v>0</v>
      </c>
      <c r="CK24" s="546">
        <f t="shared" si="5"/>
        <v>0</v>
      </c>
      <c r="CL24" s="546">
        <f t="shared" si="29"/>
        <v>0</v>
      </c>
      <c r="CM24" s="157">
        <f t="shared" si="6"/>
        <v>0</v>
      </c>
      <c r="CW24" s="138">
        <v>6</v>
      </c>
    </row>
    <row r="25" spans="1:101" s="75" customFormat="1" ht="127.5" x14ac:dyDescent="0.2">
      <c r="A25" s="541">
        <v>11900</v>
      </c>
      <c r="B25" s="544" t="s">
        <v>125</v>
      </c>
      <c r="C25" s="544" t="s">
        <v>332</v>
      </c>
      <c r="D25" s="544"/>
      <c r="E25" s="544" t="s">
        <v>1108</v>
      </c>
      <c r="F25" s="544" t="s">
        <v>1108</v>
      </c>
      <c r="G25" s="544"/>
      <c r="H25" s="544"/>
      <c r="I25" s="544"/>
      <c r="J25" s="544"/>
      <c r="K25" s="544"/>
      <c r="L25" s="544"/>
      <c r="M25" s="544"/>
      <c r="N25" s="544"/>
      <c r="O25" s="544"/>
      <c r="P25" s="544"/>
      <c r="Q25" s="540" t="s">
        <v>206</v>
      </c>
      <c r="R25" s="540" t="s">
        <v>206</v>
      </c>
      <c r="S25" s="541" t="s">
        <v>126</v>
      </c>
      <c r="T25" s="544" t="s">
        <v>60</v>
      </c>
      <c r="U25" s="544" t="s">
        <v>206</v>
      </c>
      <c r="V25" s="544" t="s">
        <v>206</v>
      </c>
      <c r="W25" s="541" t="s">
        <v>663</v>
      </c>
      <c r="X25" s="544" t="s">
        <v>179</v>
      </c>
      <c r="Y25" s="554" t="s">
        <v>51</v>
      </c>
      <c r="Z25" s="547">
        <v>1</v>
      </c>
      <c r="AA25" s="541" t="s">
        <v>658</v>
      </c>
      <c r="AB25" s="548" t="s">
        <v>966</v>
      </c>
      <c r="AC25" s="549">
        <v>180000000</v>
      </c>
      <c r="AD25" s="545">
        <v>1</v>
      </c>
      <c r="AE25" s="544" t="s">
        <v>17</v>
      </c>
      <c r="AF25" s="544" t="s">
        <v>28</v>
      </c>
      <c r="AG25" s="544" t="s">
        <v>206</v>
      </c>
      <c r="AH25" s="544" t="s">
        <v>678</v>
      </c>
      <c r="AI25" s="544" t="s">
        <v>1124</v>
      </c>
      <c r="AJ25" s="544" t="s">
        <v>1403</v>
      </c>
      <c r="AK25" s="544" t="s">
        <v>457</v>
      </c>
      <c r="AL25" s="544" t="s">
        <v>206</v>
      </c>
      <c r="AM25" s="545">
        <v>1</v>
      </c>
      <c r="AN25" s="544" t="str">
        <f>+AB25</f>
        <v>Realizar vigilancia judicial y radicación de documentos en cada uno de los procesos que cursan en los despachos judiciales en contra de ADRES</v>
      </c>
      <c r="AO25" s="550">
        <f t="shared" si="8"/>
        <v>180000000</v>
      </c>
      <c r="AP25" s="548" t="s">
        <v>46</v>
      </c>
      <c r="AQ25" s="547">
        <v>0.25</v>
      </c>
      <c r="AR25" s="544" t="str">
        <f t="shared" si="9"/>
        <v>Realizar vigilancia judicial y radicación de documentos en cada uno de los procesos que cursan en los despachos judiciales en contra de ADRES</v>
      </c>
      <c r="AS25" s="542">
        <f>+AO25/4</f>
        <v>45000000</v>
      </c>
      <c r="AT25" s="663">
        <v>0</v>
      </c>
      <c r="AU25" s="686">
        <v>0</v>
      </c>
      <c r="AV25" s="543">
        <f t="shared" si="0"/>
        <v>0</v>
      </c>
      <c r="AW25" s="543">
        <f t="shared" si="10"/>
        <v>0</v>
      </c>
      <c r="AX25" s="543">
        <f t="shared" si="1"/>
        <v>0</v>
      </c>
      <c r="AY25" s="543">
        <f t="shared" si="11"/>
        <v>0</v>
      </c>
      <c r="AZ25" s="690" t="s">
        <v>1546</v>
      </c>
      <c r="BA25" s="547">
        <v>0.25</v>
      </c>
      <c r="BB25" s="544" t="str">
        <f t="shared" si="12"/>
        <v>Realizar vigilancia judicial y radicación de documentos en cada uno de los procesos que cursan en los despachos judiciales en contra de ADRES</v>
      </c>
      <c r="BC25" s="542">
        <f>+AO25/4</f>
        <v>45000000</v>
      </c>
      <c r="BD25" s="73"/>
      <c r="BE25" s="73"/>
      <c r="BF25" s="543">
        <f t="shared" si="13"/>
        <v>0</v>
      </c>
      <c r="BG25" s="543">
        <f t="shared" si="14"/>
        <v>0</v>
      </c>
      <c r="BH25" s="543">
        <f t="shared" si="15"/>
        <v>0</v>
      </c>
      <c r="BI25" s="543">
        <f t="shared" si="16"/>
        <v>0</v>
      </c>
      <c r="BJ25" s="543"/>
      <c r="BK25" s="547">
        <v>0.25</v>
      </c>
      <c r="BL25" s="544" t="str">
        <f t="shared" si="30"/>
        <v>Realizar vigilancia judicial y radicación de documentos en cada uno de los procesos que cursan en los despachos judiciales en contra de ADRES</v>
      </c>
      <c r="BM25" s="542">
        <f>+AO25/4</f>
        <v>45000000</v>
      </c>
      <c r="BN25" s="541"/>
      <c r="BO25" s="541"/>
      <c r="BP25" s="543">
        <f t="shared" si="17"/>
        <v>0</v>
      </c>
      <c r="BQ25" s="543">
        <f t="shared" si="18"/>
        <v>0</v>
      </c>
      <c r="BR25" s="543">
        <f t="shared" si="19"/>
        <v>0</v>
      </c>
      <c r="BS25" s="543">
        <f t="shared" si="20"/>
        <v>0</v>
      </c>
      <c r="BT25" s="543"/>
      <c r="BU25" s="547">
        <v>0.25</v>
      </c>
      <c r="BV25" s="544" t="str">
        <f t="shared" si="21"/>
        <v>Realizar vigilancia judicial y radicación de documentos en cada uno de los procesos que cursan en los despachos judiciales en contra de ADRES</v>
      </c>
      <c r="BW25" s="542">
        <f>+AO25/4</f>
        <v>45000000</v>
      </c>
      <c r="BX25" s="541"/>
      <c r="BY25" s="541"/>
      <c r="BZ25" s="547">
        <f t="shared" si="22"/>
        <v>0</v>
      </c>
      <c r="CA25" s="547">
        <f t="shared" si="23"/>
        <v>0</v>
      </c>
      <c r="CB25" s="547">
        <f t="shared" si="24"/>
        <v>0</v>
      </c>
      <c r="CC25" s="547">
        <f t="shared" si="25"/>
        <v>0</v>
      </c>
      <c r="CD25" s="547"/>
      <c r="CE25" s="546">
        <f t="shared" si="2"/>
        <v>0</v>
      </c>
      <c r="CF25" s="546">
        <f t="shared" si="26"/>
        <v>0</v>
      </c>
      <c r="CG25" s="546">
        <f t="shared" si="3"/>
        <v>0</v>
      </c>
      <c r="CH25" s="546">
        <f t="shared" si="27"/>
        <v>0</v>
      </c>
      <c r="CI25" s="546">
        <f t="shared" si="4"/>
        <v>0</v>
      </c>
      <c r="CJ25" s="546">
        <f t="shared" si="28"/>
        <v>0</v>
      </c>
      <c r="CK25" s="546">
        <f t="shared" si="5"/>
        <v>0</v>
      </c>
      <c r="CL25" s="546">
        <f t="shared" si="29"/>
        <v>0</v>
      </c>
      <c r="CM25" s="157">
        <f t="shared" si="6"/>
        <v>0</v>
      </c>
      <c r="CW25" s="138">
        <v>6</v>
      </c>
    </row>
    <row r="26" spans="1:101" s="75" customFormat="1" ht="127.5" x14ac:dyDescent="0.2">
      <c r="A26" s="541">
        <v>11900</v>
      </c>
      <c r="B26" s="544" t="s">
        <v>125</v>
      </c>
      <c r="C26" s="544" t="s">
        <v>332</v>
      </c>
      <c r="D26" s="544"/>
      <c r="E26" s="544" t="s">
        <v>1108</v>
      </c>
      <c r="F26" s="544" t="s">
        <v>1108</v>
      </c>
      <c r="G26" s="544"/>
      <c r="H26" s="544"/>
      <c r="I26" s="544"/>
      <c r="J26" s="544"/>
      <c r="K26" s="544"/>
      <c r="L26" s="544"/>
      <c r="M26" s="544"/>
      <c r="N26" s="544"/>
      <c r="O26" s="544"/>
      <c r="P26" s="544"/>
      <c r="Q26" s="540" t="s">
        <v>206</v>
      </c>
      <c r="R26" s="540" t="s">
        <v>206</v>
      </c>
      <c r="S26" s="541" t="s">
        <v>126</v>
      </c>
      <c r="T26" s="544" t="s">
        <v>60</v>
      </c>
      <c r="U26" s="544" t="s">
        <v>206</v>
      </c>
      <c r="V26" s="544" t="s">
        <v>206</v>
      </c>
      <c r="W26" s="541" t="s">
        <v>660</v>
      </c>
      <c r="X26" s="544" t="s">
        <v>458</v>
      </c>
      <c r="Y26" s="548" t="s">
        <v>51</v>
      </c>
      <c r="Z26" s="547">
        <v>1</v>
      </c>
      <c r="AA26" s="851" t="s">
        <v>659</v>
      </c>
      <c r="AB26" s="855" t="s">
        <v>357</v>
      </c>
      <c r="AC26" s="856">
        <v>53164884</v>
      </c>
      <c r="AD26" s="545">
        <v>1</v>
      </c>
      <c r="AE26" s="544" t="s">
        <v>17</v>
      </c>
      <c r="AF26" s="544" t="s">
        <v>28</v>
      </c>
      <c r="AG26" s="544" t="s">
        <v>206</v>
      </c>
      <c r="AH26" s="544" t="s">
        <v>678</v>
      </c>
      <c r="AI26" s="544" t="s">
        <v>1124</v>
      </c>
      <c r="AJ26" s="713" t="s">
        <v>1403</v>
      </c>
      <c r="AK26" s="544" t="s">
        <v>968</v>
      </c>
      <c r="AL26" s="544" t="s">
        <v>206</v>
      </c>
      <c r="AM26" s="547">
        <v>1</v>
      </c>
      <c r="AN26" s="846" t="str">
        <f>+AB26</f>
        <v>Apoyar a la Oficina Asesora Jurídica en la administración de la plataforma Ekogui, y demás actuaciones necesarias para gestionar y lograr el pago de las sentencias condenatorias y conciliaciones.</v>
      </c>
      <c r="AO26" s="857">
        <f t="shared" si="8"/>
        <v>53164884</v>
      </c>
      <c r="AP26" s="548" t="s">
        <v>46</v>
      </c>
      <c r="AQ26" s="547">
        <v>0</v>
      </c>
      <c r="AR26" s="846" t="str">
        <f t="shared" si="9"/>
        <v>Apoyar a la Oficina Asesora Jurídica en la administración de la plataforma Ekogui, y demás actuaciones necesarias para gestionar y lograr el pago de las sentencias condenatorias y conciliaciones.</v>
      </c>
      <c r="AS26" s="842">
        <f>+AO26/4</f>
        <v>13291221</v>
      </c>
      <c r="AT26" s="663">
        <f>(1/1)*0%</f>
        <v>0</v>
      </c>
      <c r="AU26" s="851" t="s">
        <v>1540</v>
      </c>
      <c r="AV26" s="543" t="e">
        <f t="shared" si="0"/>
        <v>#DIV/0!</v>
      </c>
      <c r="AW26" s="847">
        <f t="shared" si="10"/>
        <v>0.58888886130175699</v>
      </c>
      <c r="AX26" s="543">
        <f t="shared" si="1"/>
        <v>0</v>
      </c>
      <c r="AY26" s="847">
        <f t="shared" si="11"/>
        <v>0.14722221532543925</v>
      </c>
      <c r="AZ26" s="690" t="s">
        <v>1547</v>
      </c>
      <c r="BA26" s="547">
        <v>0.5</v>
      </c>
      <c r="BB26" s="846" t="str">
        <f t="shared" si="12"/>
        <v>Apoyar a la Oficina Asesora Jurídica en la administración de la plataforma Ekogui, y demás actuaciones necesarias para gestionar y lograr el pago de las sentencias condenatorias y conciliaciones.</v>
      </c>
      <c r="BC26" s="842">
        <f>+AO26/4</f>
        <v>13291221</v>
      </c>
      <c r="BD26" s="73"/>
      <c r="BE26" s="860"/>
      <c r="BF26" s="543">
        <f t="shared" si="13"/>
        <v>0</v>
      </c>
      <c r="BG26" s="847">
        <f t="shared" si="14"/>
        <v>0</v>
      </c>
      <c r="BH26" s="543">
        <f t="shared" si="15"/>
        <v>0</v>
      </c>
      <c r="BI26" s="847">
        <f t="shared" si="16"/>
        <v>0.14722221532543925</v>
      </c>
      <c r="BJ26" s="543"/>
      <c r="BK26" s="547">
        <v>0</v>
      </c>
      <c r="BL26" s="846" t="str">
        <f t="shared" si="30"/>
        <v>Apoyar a la Oficina Asesora Jurídica en la administración de la plataforma Ekogui, y demás actuaciones necesarias para gestionar y lograr el pago de las sentencias condenatorias y conciliaciones.</v>
      </c>
      <c r="BM26" s="842">
        <f>+AO26/4</f>
        <v>13291221</v>
      </c>
      <c r="BN26" s="541"/>
      <c r="BO26" s="851"/>
      <c r="BP26" s="543" t="e">
        <f t="shared" si="17"/>
        <v>#DIV/0!</v>
      </c>
      <c r="BQ26" s="847">
        <f t="shared" si="18"/>
        <v>0</v>
      </c>
      <c r="BR26" s="543">
        <f t="shared" si="19"/>
        <v>0</v>
      </c>
      <c r="BS26" s="847">
        <f t="shared" si="20"/>
        <v>0.14722221532543925</v>
      </c>
      <c r="BT26" s="543"/>
      <c r="BU26" s="547">
        <v>0.5</v>
      </c>
      <c r="BV26" s="846" t="str">
        <f t="shared" si="21"/>
        <v>Apoyar a la Oficina Asesora Jurídica en la administración de la plataforma Ekogui, y demás actuaciones necesarias para gestionar y lograr el pago de las sentencias condenatorias y conciliaciones.</v>
      </c>
      <c r="BW26" s="842">
        <f>+AO26/4</f>
        <v>13291221</v>
      </c>
      <c r="BX26" s="541"/>
      <c r="BY26" s="851"/>
      <c r="BZ26" s="547">
        <f t="shared" si="22"/>
        <v>0</v>
      </c>
      <c r="CA26" s="854">
        <f t="shared" si="23"/>
        <v>0</v>
      </c>
      <c r="CB26" s="547">
        <f t="shared" si="24"/>
        <v>0</v>
      </c>
      <c r="CC26" s="854">
        <f t="shared" si="25"/>
        <v>0.14722221532543925</v>
      </c>
      <c r="CD26" s="547"/>
      <c r="CE26" s="546" t="str">
        <f t="shared" si="2"/>
        <v>No Prog ni Ejec</v>
      </c>
      <c r="CF26" s="853">
        <f t="shared" si="26"/>
        <v>0.58888886130175699</v>
      </c>
      <c r="CG26" s="546">
        <f t="shared" si="3"/>
        <v>0</v>
      </c>
      <c r="CH26" s="853">
        <f t="shared" si="27"/>
        <v>0</v>
      </c>
      <c r="CI26" s="546" t="str">
        <f t="shared" si="4"/>
        <v>No Prog ni Ejec</v>
      </c>
      <c r="CJ26" s="853">
        <f t="shared" si="28"/>
        <v>0</v>
      </c>
      <c r="CK26" s="546">
        <f t="shared" si="5"/>
        <v>0</v>
      </c>
      <c r="CL26" s="853">
        <f t="shared" si="29"/>
        <v>0</v>
      </c>
      <c r="CM26" s="157">
        <f t="shared" si="6"/>
        <v>0</v>
      </c>
      <c r="CW26" s="138">
        <v>6</v>
      </c>
    </row>
    <row r="27" spans="1:101" s="75" customFormat="1" ht="102" x14ac:dyDescent="0.2">
      <c r="A27" s="541">
        <v>11900</v>
      </c>
      <c r="B27" s="544" t="s">
        <v>125</v>
      </c>
      <c r="C27" s="544" t="s">
        <v>332</v>
      </c>
      <c r="D27" s="544"/>
      <c r="E27" s="544" t="s">
        <v>1108</v>
      </c>
      <c r="F27" s="544" t="s">
        <v>1108</v>
      </c>
      <c r="G27" s="544"/>
      <c r="H27" s="544"/>
      <c r="I27" s="544"/>
      <c r="J27" s="544"/>
      <c r="K27" s="544"/>
      <c r="L27" s="544"/>
      <c r="M27" s="544"/>
      <c r="N27" s="544"/>
      <c r="O27" s="544"/>
      <c r="P27" s="544"/>
      <c r="Q27" s="540" t="s">
        <v>206</v>
      </c>
      <c r="R27" s="540" t="s">
        <v>206</v>
      </c>
      <c r="S27" s="541" t="s">
        <v>126</v>
      </c>
      <c r="T27" s="544" t="s">
        <v>60</v>
      </c>
      <c r="U27" s="544" t="s">
        <v>206</v>
      </c>
      <c r="V27" s="544" t="s">
        <v>206</v>
      </c>
      <c r="W27" s="541" t="s">
        <v>661</v>
      </c>
      <c r="X27" s="544" t="s">
        <v>462</v>
      </c>
      <c r="Y27" s="548" t="s">
        <v>51</v>
      </c>
      <c r="Z27" s="547">
        <v>1</v>
      </c>
      <c r="AA27" s="851"/>
      <c r="AB27" s="855"/>
      <c r="AC27" s="856"/>
      <c r="AD27" s="545">
        <v>1</v>
      </c>
      <c r="AE27" s="544" t="s">
        <v>17</v>
      </c>
      <c r="AF27" s="544" t="s">
        <v>28</v>
      </c>
      <c r="AG27" s="544" t="s">
        <v>206</v>
      </c>
      <c r="AH27" s="544" t="s">
        <v>678</v>
      </c>
      <c r="AI27" s="544" t="s">
        <v>1124</v>
      </c>
      <c r="AJ27" s="714"/>
      <c r="AK27" s="544" t="s">
        <v>600</v>
      </c>
      <c r="AL27" s="544" t="s">
        <v>206</v>
      </c>
      <c r="AM27" s="547">
        <v>1</v>
      </c>
      <c r="AN27" s="846"/>
      <c r="AO27" s="857"/>
      <c r="AP27" s="548" t="s">
        <v>46</v>
      </c>
      <c r="AQ27" s="547">
        <v>0.25</v>
      </c>
      <c r="AR27" s="846"/>
      <c r="AS27" s="842"/>
      <c r="AT27" s="663">
        <f>(1460/1542)*25%</f>
        <v>0.23670557717250323</v>
      </c>
      <c r="AU27" s="851"/>
      <c r="AV27" s="543">
        <f t="shared" si="0"/>
        <v>0.94682230869001294</v>
      </c>
      <c r="AW27" s="847"/>
      <c r="AX27" s="543">
        <f t="shared" si="1"/>
        <v>0.23670557717250323</v>
      </c>
      <c r="AY27" s="847"/>
      <c r="AZ27" s="690" t="s">
        <v>1548</v>
      </c>
      <c r="BA27" s="547">
        <v>0.25</v>
      </c>
      <c r="BB27" s="846"/>
      <c r="BC27" s="842"/>
      <c r="BD27" s="73"/>
      <c r="BE27" s="860"/>
      <c r="BF27" s="543">
        <f t="shared" si="13"/>
        <v>0</v>
      </c>
      <c r="BG27" s="847"/>
      <c r="BH27" s="543">
        <f t="shared" si="15"/>
        <v>0.23670557717250323</v>
      </c>
      <c r="BI27" s="847"/>
      <c r="BJ27" s="543"/>
      <c r="BK27" s="547">
        <v>0.25</v>
      </c>
      <c r="BL27" s="846"/>
      <c r="BM27" s="842"/>
      <c r="BN27" s="541"/>
      <c r="BO27" s="851"/>
      <c r="BP27" s="543">
        <f t="shared" si="17"/>
        <v>0</v>
      </c>
      <c r="BQ27" s="847"/>
      <c r="BR27" s="543">
        <f t="shared" si="19"/>
        <v>0.23670557717250323</v>
      </c>
      <c r="BS27" s="847"/>
      <c r="BT27" s="543"/>
      <c r="BU27" s="547">
        <v>0.25</v>
      </c>
      <c r="BV27" s="846"/>
      <c r="BW27" s="842"/>
      <c r="BX27" s="541"/>
      <c r="BY27" s="851"/>
      <c r="BZ27" s="547">
        <f t="shared" si="22"/>
        <v>0</v>
      </c>
      <c r="CA27" s="854"/>
      <c r="CB27" s="547">
        <f t="shared" si="24"/>
        <v>0.23670557717250323</v>
      </c>
      <c r="CC27" s="854"/>
      <c r="CD27" s="547"/>
      <c r="CE27" s="546">
        <f t="shared" si="2"/>
        <v>0.94682230869001294</v>
      </c>
      <c r="CF27" s="853"/>
      <c r="CG27" s="546">
        <f t="shared" si="3"/>
        <v>0</v>
      </c>
      <c r="CH27" s="853"/>
      <c r="CI27" s="546">
        <f t="shared" si="4"/>
        <v>0</v>
      </c>
      <c r="CJ27" s="853"/>
      <c r="CK27" s="546">
        <f t="shared" si="5"/>
        <v>0</v>
      </c>
      <c r="CL27" s="853"/>
      <c r="CM27" s="157">
        <f t="shared" si="6"/>
        <v>0</v>
      </c>
      <c r="CW27" s="138">
        <v>6</v>
      </c>
    </row>
    <row r="28" spans="1:101" s="75" customFormat="1" ht="89.25" x14ac:dyDescent="0.2">
      <c r="A28" s="541">
        <v>11900</v>
      </c>
      <c r="B28" s="544" t="s">
        <v>125</v>
      </c>
      <c r="C28" s="544" t="s">
        <v>332</v>
      </c>
      <c r="D28" s="544"/>
      <c r="E28" s="544" t="s">
        <v>1108</v>
      </c>
      <c r="F28" s="544" t="s">
        <v>1108</v>
      </c>
      <c r="G28" s="544"/>
      <c r="H28" s="544"/>
      <c r="I28" s="544"/>
      <c r="J28" s="544"/>
      <c r="K28" s="544"/>
      <c r="L28" s="544"/>
      <c r="M28" s="544"/>
      <c r="N28" s="544"/>
      <c r="O28" s="544"/>
      <c r="P28" s="544"/>
      <c r="Q28" s="540" t="s">
        <v>206</v>
      </c>
      <c r="R28" s="540" t="s">
        <v>206</v>
      </c>
      <c r="S28" s="541" t="s">
        <v>126</v>
      </c>
      <c r="T28" s="544" t="s">
        <v>60</v>
      </c>
      <c r="U28" s="544" t="s">
        <v>206</v>
      </c>
      <c r="V28" s="544" t="s">
        <v>206</v>
      </c>
      <c r="W28" s="541" t="s">
        <v>662</v>
      </c>
      <c r="X28" s="544" t="s">
        <v>459</v>
      </c>
      <c r="Y28" s="548" t="s">
        <v>460</v>
      </c>
      <c r="Z28" s="66">
        <v>0.01</v>
      </c>
      <c r="AA28" s="851"/>
      <c r="AB28" s="855"/>
      <c r="AC28" s="856"/>
      <c r="AD28" s="545">
        <v>1</v>
      </c>
      <c r="AE28" s="544" t="s">
        <v>17</v>
      </c>
      <c r="AF28" s="544" t="s">
        <v>28</v>
      </c>
      <c r="AG28" s="544" t="s">
        <v>206</v>
      </c>
      <c r="AH28" s="544" t="s">
        <v>678</v>
      </c>
      <c r="AI28" s="544" t="s">
        <v>1124</v>
      </c>
      <c r="AJ28" s="715"/>
      <c r="AK28" s="544" t="s">
        <v>461</v>
      </c>
      <c r="AL28" s="544" t="s">
        <v>206</v>
      </c>
      <c r="AM28" s="66">
        <v>0</v>
      </c>
      <c r="AN28" s="846"/>
      <c r="AO28" s="857"/>
      <c r="AP28" s="548" t="s">
        <v>46</v>
      </c>
      <c r="AQ28" s="93">
        <v>0</v>
      </c>
      <c r="AR28" s="846"/>
      <c r="AS28" s="842"/>
      <c r="AT28" s="661">
        <v>1</v>
      </c>
      <c r="AU28" s="851"/>
      <c r="AV28" s="543" t="e">
        <f t="shared" si="0"/>
        <v>#DIV/0!</v>
      </c>
      <c r="AW28" s="847"/>
      <c r="AX28" s="543" t="e">
        <f t="shared" si="1"/>
        <v>#DIV/0!</v>
      </c>
      <c r="AY28" s="847"/>
      <c r="AZ28" s="690" t="s">
        <v>1549</v>
      </c>
      <c r="BA28" s="93">
        <v>0</v>
      </c>
      <c r="BB28" s="846"/>
      <c r="BC28" s="842"/>
      <c r="BD28" s="73"/>
      <c r="BE28" s="860"/>
      <c r="BF28" s="543"/>
      <c r="BG28" s="847"/>
      <c r="BH28" s="543"/>
      <c r="BI28" s="847"/>
      <c r="BJ28" s="543"/>
      <c r="BK28" s="93">
        <v>0</v>
      </c>
      <c r="BL28" s="846"/>
      <c r="BM28" s="842"/>
      <c r="BN28" s="541"/>
      <c r="BO28" s="851"/>
      <c r="BP28" s="543" t="e">
        <f t="shared" si="17"/>
        <v>#DIV/0!</v>
      </c>
      <c r="BQ28" s="847"/>
      <c r="BR28" s="543" t="e">
        <f t="shared" si="19"/>
        <v>#DIV/0!</v>
      </c>
      <c r="BS28" s="847"/>
      <c r="BT28" s="543"/>
      <c r="BU28" s="93">
        <v>0</v>
      </c>
      <c r="BV28" s="846"/>
      <c r="BW28" s="842"/>
      <c r="BX28" s="541"/>
      <c r="BY28" s="851"/>
      <c r="BZ28" s="547" t="e">
        <f t="shared" si="22"/>
        <v>#DIV/0!</v>
      </c>
      <c r="CA28" s="854"/>
      <c r="CB28" s="547" t="e">
        <f t="shared" si="24"/>
        <v>#DIV/0!</v>
      </c>
      <c r="CC28" s="854"/>
      <c r="CD28" s="547"/>
      <c r="CE28" s="546" t="str">
        <f t="shared" si="2"/>
        <v>No Prog, Ejec=  1</v>
      </c>
      <c r="CF28" s="853"/>
      <c r="CG28" s="546" t="str">
        <f t="shared" si="3"/>
        <v>No Prog ni Ejec</v>
      </c>
      <c r="CH28" s="853"/>
      <c r="CI28" s="546" t="str">
        <f t="shared" si="4"/>
        <v>No Prog ni Ejec</v>
      </c>
      <c r="CJ28" s="853"/>
      <c r="CK28" s="546" t="str">
        <f t="shared" si="5"/>
        <v>No Prog ni Ejec</v>
      </c>
      <c r="CL28" s="853"/>
      <c r="CM28" s="157">
        <f t="shared" si="6"/>
        <v>0</v>
      </c>
      <c r="CW28" s="138">
        <v>6</v>
      </c>
    </row>
    <row r="29" spans="1:101" s="75" customFormat="1" ht="127.5" customHeight="1" x14ac:dyDescent="0.2">
      <c r="A29" s="541">
        <v>11900</v>
      </c>
      <c r="B29" s="544" t="s">
        <v>125</v>
      </c>
      <c r="C29" s="544" t="s">
        <v>332</v>
      </c>
      <c r="D29" s="544"/>
      <c r="E29" s="544" t="s">
        <v>1108</v>
      </c>
      <c r="F29" s="544" t="s">
        <v>1108</v>
      </c>
      <c r="G29" s="544"/>
      <c r="H29" s="544"/>
      <c r="I29" s="544"/>
      <c r="J29" s="544"/>
      <c r="K29" s="544"/>
      <c r="L29" s="544"/>
      <c r="M29" s="544"/>
      <c r="N29" s="544"/>
      <c r="O29" s="544"/>
      <c r="P29" s="544"/>
      <c r="Q29" s="540" t="s">
        <v>206</v>
      </c>
      <c r="R29" s="540" t="s">
        <v>206</v>
      </c>
      <c r="S29" s="541" t="s">
        <v>126</v>
      </c>
      <c r="T29" s="544" t="s">
        <v>60</v>
      </c>
      <c r="U29" s="544" t="s">
        <v>206</v>
      </c>
      <c r="V29" s="544" t="s">
        <v>206</v>
      </c>
      <c r="W29" s="851" t="s">
        <v>665</v>
      </c>
      <c r="X29" s="846" t="s">
        <v>463</v>
      </c>
      <c r="Y29" s="871" t="s">
        <v>51</v>
      </c>
      <c r="Z29" s="854">
        <v>1</v>
      </c>
      <c r="AA29" s="851" t="s">
        <v>664</v>
      </c>
      <c r="AB29" s="855" t="s">
        <v>970</v>
      </c>
      <c r="AC29" s="856">
        <v>163716864</v>
      </c>
      <c r="AD29" s="858">
        <v>1</v>
      </c>
      <c r="AE29" s="846" t="s">
        <v>17</v>
      </c>
      <c r="AF29" s="846" t="s">
        <v>28</v>
      </c>
      <c r="AG29" s="846" t="s">
        <v>206</v>
      </c>
      <c r="AH29" s="846" t="s">
        <v>678</v>
      </c>
      <c r="AI29" s="846" t="s">
        <v>1124</v>
      </c>
      <c r="AJ29" s="713" t="s">
        <v>1403</v>
      </c>
      <c r="AK29" s="544" t="s">
        <v>180</v>
      </c>
      <c r="AL29" s="846" t="s">
        <v>206</v>
      </c>
      <c r="AM29" s="545">
        <v>1</v>
      </c>
      <c r="AN29" s="846" t="str">
        <f>+AB29</f>
        <v>Ejercer la representación judicial en los procesos penales y denuncias en que sea parte la ADRES.</v>
      </c>
      <c r="AO29" s="857">
        <f>+AC29</f>
        <v>163716864</v>
      </c>
      <c r="AP29" s="548" t="s">
        <v>46</v>
      </c>
      <c r="AQ29" s="547">
        <v>0.25</v>
      </c>
      <c r="AR29" s="846" t="str">
        <f>+AN29</f>
        <v>Ejercer la representación judicial en los procesos penales y denuncias en que sea parte la ADRES.</v>
      </c>
      <c r="AS29" s="842">
        <f>+AO29/4</f>
        <v>40929216</v>
      </c>
      <c r="AT29" s="663">
        <f>16/56*25%</f>
        <v>7.1428571428571425E-2</v>
      </c>
      <c r="AU29" s="851" t="s">
        <v>1541</v>
      </c>
      <c r="AV29" s="543">
        <f t="shared" si="0"/>
        <v>0.2857142857142857</v>
      </c>
      <c r="AW29" s="847">
        <f>+(AU29/AS29)</f>
        <v>0.58888887585826222</v>
      </c>
      <c r="AX29" s="543">
        <f t="shared" si="1"/>
        <v>7.1428571428571425E-2</v>
      </c>
      <c r="AY29" s="847">
        <f>+(AU29/AO29)</f>
        <v>0.14722221896456555</v>
      </c>
      <c r="AZ29" s="580" t="s">
        <v>1550</v>
      </c>
      <c r="BA29" s="547">
        <v>0.25</v>
      </c>
      <c r="BB29" s="846" t="str">
        <f>+AN29</f>
        <v>Ejercer la representación judicial en los procesos penales y denuncias en que sea parte la ADRES.</v>
      </c>
      <c r="BC29" s="842">
        <f>+AO29/4</f>
        <v>40929216</v>
      </c>
      <c r="BD29" s="73"/>
      <c r="BE29" s="860"/>
      <c r="BF29" s="543">
        <f>+(BD29/BA29)</f>
        <v>0</v>
      </c>
      <c r="BG29" s="847">
        <f>+(BE29/BC29)</f>
        <v>0</v>
      </c>
      <c r="BH29" s="543">
        <f>+(BD29+AT29)/AM29</f>
        <v>7.1428571428571425E-2</v>
      </c>
      <c r="BI29" s="847">
        <f>+(BE29+AU29)/AO29</f>
        <v>0.14722221896456555</v>
      </c>
      <c r="BJ29" s="543"/>
      <c r="BK29" s="547">
        <v>0.25</v>
      </c>
      <c r="BL29" s="846" t="str">
        <f>+AN29</f>
        <v>Ejercer la representación judicial en los procesos penales y denuncias en que sea parte la ADRES.</v>
      </c>
      <c r="BM29" s="842">
        <f>+AO29/4</f>
        <v>40929216</v>
      </c>
      <c r="BN29" s="541"/>
      <c r="BO29" s="851"/>
      <c r="BP29" s="543">
        <f t="shared" si="17"/>
        <v>0</v>
      </c>
      <c r="BQ29" s="847">
        <f>+(BO29/BM29)</f>
        <v>0</v>
      </c>
      <c r="BR29" s="543">
        <f t="shared" si="19"/>
        <v>7.1428571428571425E-2</v>
      </c>
      <c r="BS29" s="847">
        <f>+(BE29+AU29+BO29)/AO29</f>
        <v>0.14722221896456555</v>
      </c>
      <c r="BT29" s="543"/>
      <c r="BU29" s="547">
        <v>0.25</v>
      </c>
      <c r="BV29" s="846" t="str">
        <f>+AN29</f>
        <v>Ejercer la representación judicial en los procesos penales y denuncias en que sea parte la ADRES.</v>
      </c>
      <c r="BW29" s="842">
        <f>+AO29/4</f>
        <v>40929216</v>
      </c>
      <c r="BX29" s="541"/>
      <c r="BY29" s="851"/>
      <c r="BZ29" s="547">
        <f t="shared" si="22"/>
        <v>0</v>
      </c>
      <c r="CA29" s="854">
        <f>+(BY29/BW29)</f>
        <v>0</v>
      </c>
      <c r="CB29" s="547">
        <f t="shared" si="24"/>
        <v>7.1428571428571425E-2</v>
      </c>
      <c r="CC29" s="854">
        <f>+(BE29+AU29+BO29+BY29)/AO29</f>
        <v>0.14722221896456555</v>
      </c>
      <c r="CD29" s="547"/>
      <c r="CE29" s="546">
        <f t="shared" si="2"/>
        <v>0.2857142857142857</v>
      </c>
      <c r="CF29" s="853">
        <f>IF(AND(AS29=0,AU29=0),"No Prog ni Ejec",IF(AS29=0,CONCATENATE("No Prog, Ejec=  ",AU29),AU29/AS29))</f>
        <v>0.58888887585826222</v>
      </c>
      <c r="CG29" s="546">
        <f t="shared" si="3"/>
        <v>0</v>
      </c>
      <c r="CH29" s="853">
        <f>IF(AND(BC29=0,BE29=0),"No Prog ni Ejec",IF(BC29=0,CONCATENATE("No Prog, Ejec=  ",BE29),BE29/BC29))</f>
        <v>0</v>
      </c>
      <c r="CI29" s="546">
        <f t="shared" si="4"/>
        <v>0</v>
      </c>
      <c r="CJ29" s="853">
        <f>IF(AND(BM29=0,BO29=0),"No Prog ni Ejec",IF(BM29=0,CONCATENATE("No Prog, Ejec=  ",BO29),BO29/BM29))</f>
        <v>0</v>
      </c>
      <c r="CK29" s="546">
        <f t="shared" si="5"/>
        <v>0</v>
      </c>
      <c r="CL29" s="853">
        <f>IF(AND(BW29=0,BY29=0),"No Prog ni Ejec",IF(BW29=0,CONCATENATE("No Prog, Ejec=  ",BY29),BY29/BW29))</f>
        <v>0</v>
      </c>
      <c r="CM29" s="157">
        <f t="shared" si="6"/>
        <v>0</v>
      </c>
      <c r="CW29" s="138">
        <v>6</v>
      </c>
    </row>
    <row r="30" spans="1:101" s="75" customFormat="1" ht="63.75" x14ac:dyDescent="0.2">
      <c r="A30" s="541">
        <v>11900</v>
      </c>
      <c r="B30" s="544" t="s">
        <v>125</v>
      </c>
      <c r="C30" s="544" t="s">
        <v>332</v>
      </c>
      <c r="D30" s="544"/>
      <c r="E30" s="544" t="s">
        <v>1108</v>
      </c>
      <c r="F30" s="544" t="s">
        <v>1108</v>
      </c>
      <c r="G30" s="544"/>
      <c r="H30" s="544"/>
      <c r="I30" s="544"/>
      <c r="J30" s="544"/>
      <c r="K30" s="544"/>
      <c r="L30" s="544"/>
      <c r="M30" s="544"/>
      <c r="N30" s="544"/>
      <c r="O30" s="544"/>
      <c r="P30" s="544"/>
      <c r="Q30" s="540" t="s">
        <v>206</v>
      </c>
      <c r="R30" s="540" t="s">
        <v>206</v>
      </c>
      <c r="S30" s="541" t="s">
        <v>126</v>
      </c>
      <c r="T30" s="544" t="s">
        <v>60</v>
      </c>
      <c r="U30" s="544" t="s">
        <v>206</v>
      </c>
      <c r="V30" s="544" t="s">
        <v>206</v>
      </c>
      <c r="W30" s="851"/>
      <c r="X30" s="846"/>
      <c r="Y30" s="871"/>
      <c r="Z30" s="854"/>
      <c r="AA30" s="851"/>
      <c r="AB30" s="855"/>
      <c r="AC30" s="856"/>
      <c r="AD30" s="858"/>
      <c r="AE30" s="846"/>
      <c r="AF30" s="846"/>
      <c r="AG30" s="846"/>
      <c r="AH30" s="846"/>
      <c r="AI30" s="846"/>
      <c r="AJ30" s="715"/>
      <c r="AK30" s="544" t="s">
        <v>971</v>
      </c>
      <c r="AL30" s="846"/>
      <c r="AM30" s="545">
        <v>1</v>
      </c>
      <c r="AN30" s="846"/>
      <c r="AO30" s="857"/>
      <c r="AP30" s="548" t="s">
        <v>46</v>
      </c>
      <c r="AQ30" s="547">
        <v>0.25</v>
      </c>
      <c r="AR30" s="846"/>
      <c r="AS30" s="842"/>
      <c r="AT30" s="661">
        <f>0/333*25%</f>
        <v>0</v>
      </c>
      <c r="AU30" s="851"/>
      <c r="AV30" s="660">
        <f t="shared" si="0"/>
        <v>0</v>
      </c>
      <c r="AW30" s="847"/>
      <c r="AX30" s="660">
        <f t="shared" si="1"/>
        <v>0</v>
      </c>
      <c r="AY30" s="847"/>
      <c r="AZ30" s="580" t="s">
        <v>1551</v>
      </c>
      <c r="BA30" s="547">
        <v>0.25</v>
      </c>
      <c r="BB30" s="846"/>
      <c r="BC30" s="842"/>
      <c r="BD30" s="73"/>
      <c r="BE30" s="860"/>
      <c r="BF30" s="543"/>
      <c r="BG30" s="847"/>
      <c r="BH30" s="543"/>
      <c r="BI30" s="847"/>
      <c r="BJ30" s="543"/>
      <c r="BK30" s="547">
        <v>0.25</v>
      </c>
      <c r="BL30" s="846"/>
      <c r="BM30" s="842"/>
      <c r="BN30" s="541"/>
      <c r="BO30" s="851"/>
      <c r="BP30" s="543"/>
      <c r="BQ30" s="847"/>
      <c r="BR30" s="543"/>
      <c r="BS30" s="847"/>
      <c r="BT30" s="543"/>
      <c r="BU30" s="547">
        <v>0.25</v>
      </c>
      <c r="BV30" s="846"/>
      <c r="BW30" s="842"/>
      <c r="BX30" s="541"/>
      <c r="BY30" s="851"/>
      <c r="BZ30" s="547"/>
      <c r="CA30" s="854"/>
      <c r="CB30" s="547"/>
      <c r="CC30" s="854"/>
      <c r="CD30" s="547"/>
      <c r="CE30" s="664">
        <f t="shared" si="2"/>
        <v>0</v>
      </c>
      <c r="CF30" s="853"/>
      <c r="CG30" s="664">
        <f t="shared" si="3"/>
        <v>0</v>
      </c>
      <c r="CH30" s="853"/>
      <c r="CI30" s="664">
        <f t="shared" si="4"/>
        <v>0</v>
      </c>
      <c r="CJ30" s="853"/>
      <c r="CK30" s="664">
        <f t="shared" si="5"/>
        <v>0</v>
      </c>
      <c r="CL30" s="853"/>
      <c r="CM30" s="157">
        <f t="shared" si="6"/>
        <v>0</v>
      </c>
    </row>
    <row r="31" spans="1:101" s="75" customFormat="1" ht="51" customHeight="1" x14ac:dyDescent="0.2">
      <c r="A31" s="541">
        <v>11900</v>
      </c>
      <c r="B31" s="544" t="s">
        <v>125</v>
      </c>
      <c r="C31" s="544" t="s">
        <v>332</v>
      </c>
      <c r="D31" s="544"/>
      <c r="E31" s="544" t="s">
        <v>1108</v>
      </c>
      <c r="F31" s="544" t="s">
        <v>1108</v>
      </c>
      <c r="G31" s="544"/>
      <c r="H31" s="544"/>
      <c r="I31" s="544"/>
      <c r="J31" s="544"/>
      <c r="K31" s="544"/>
      <c r="L31" s="544"/>
      <c r="M31" s="544"/>
      <c r="N31" s="544"/>
      <c r="O31" s="544"/>
      <c r="P31" s="544"/>
      <c r="Q31" s="540" t="s">
        <v>206</v>
      </c>
      <c r="R31" s="540" t="s">
        <v>206</v>
      </c>
      <c r="S31" s="541" t="s">
        <v>126</v>
      </c>
      <c r="T31" s="544" t="s">
        <v>60</v>
      </c>
      <c r="U31" s="544" t="s">
        <v>206</v>
      </c>
      <c r="V31" s="544" t="s">
        <v>206</v>
      </c>
      <c r="W31" s="541" t="s">
        <v>964</v>
      </c>
      <c r="X31" s="544" t="s">
        <v>972</v>
      </c>
      <c r="Y31" s="554" t="s">
        <v>51</v>
      </c>
      <c r="Z31" s="547">
        <v>1</v>
      </c>
      <c r="AA31" s="851" t="s">
        <v>666</v>
      </c>
      <c r="AB31" s="846" t="s">
        <v>464</v>
      </c>
      <c r="AC31" s="842">
        <f>1033837738-220976134</f>
        <v>812861604</v>
      </c>
      <c r="AD31" s="545">
        <v>1</v>
      </c>
      <c r="AE31" s="544" t="s">
        <v>17</v>
      </c>
      <c r="AF31" s="544" t="s">
        <v>28</v>
      </c>
      <c r="AG31" s="544" t="s">
        <v>206</v>
      </c>
      <c r="AH31" s="544" t="s">
        <v>678</v>
      </c>
      <c r="AI31" s="544" t="s">
        <v>1124</v>
      </c>
      <c r="AJ31" s="713" t="s">
        <v>1403</v>
      </c>
      <c r="AK31" s="544" t="s">
        <v>973</v>
      </c>
      <c r="AL31" s="544" t="s">
        <v>206</v>
      </c>
      <c r="AM31" s="545">
        <v>1</v>
      </c>
      <c r="AN31" s="846" t="str">
        <f>+AB31</f>
        <v xml:space="preserve">Ejercer la representación prejudicial y  judicial en los procesos en que sea parte la  – ADRES </v>
      </c>
      <c r="AO31" s="857">
        <f>+AC31</f>
        <v>812861604</v>
      </c>
      <c r="AP31" s="548" t="s">
        <v>46</v>
      </c>
      <c r="AQ31" s="547">
        <v>0.25</v>
      </c>
      <c r="AR31" s="846" t="str">
        <f>+AN31</f>
        <v xml:space="preserve">Ejercer la representación prejudicial y  judicial en los procesos en que sea parte la  – ADRES </v>
      </c>
      <c r="AS31" s="842">
        <f>+AO31/4</f>
        <v>203215401</v>
      </c>
      <c r="AT31" s="663">
        <f>(52/52)*25%</f>
        <v>0.25</v>
      </c>
      <c r="AU31" s="859">
        <v>97596330.010000005</v>
      </c>
      <c r="AV31" s="543">
        <f t="shared" si="0"/>
        <v>1</v>
      </c>
      <c r="AW31" s="847">
        <f>+(AU31/AS31)</f>
        <v>0.48026049959668166</v>
      </c>
      <c r="AX31" s="543">
        <f t="shared" si="1"/>
        <v>0.25</v>
      </c>
      <c r="AY31" s="847">
        <f>+(AU31/AO31)</f>
        <v>0.12006512489917041</v>
      </c>
      <c r="AZ31" s="690" t="s">
        <v>1552</v>
      </c>
      <c r="BA31" s="547">
        <v>0.25</v>
      </c>
      <c r="BB31" s="846" t="str">
        <f>+AN31</f>
        <v xml:space="preserve">Ejercer la representación prejudicial y  judicial en los procesos en que sea parte la  – ADRES </v>
      </c>
      <c r="BC31" s="842">
        <f>+AO31/4</f>
        <v>203215401</v>
      </c>
      <c r="BD31" s="73"/>
      <c r="BE31" s="860"/>
      <c r="BF31" s="543">
        <f t="shared" ref="BF31:BF41" si="35">+(BD31/BA31)</f>
        <v>0</v>
      </c>
      <c r="BG31" s="847">
        <f>+(BE31/BC31)</f>
        <v>0</v>
      </c>
      <c r="BH31" s="543">
        <f t="shared" ref="BH31:BH41" si="36">+(BD31+AT31)/AM31</f>
        <v>0.25</v>
      </c>
      <c r="BI31" s="847">
        <f>+(BE31+AU31)/AO31</f>
        <v>0.12006512489917041</v>
      </c>
      <c r="BJ31" s="543"/>
      <c r="BK31" s="547">
        <v>0.25</v>
      </c>
      <c r="BL31" s="846" t="str">
        <f>+AN31</f>
        <v xml:space="preserve">Ejercer la representación prejudicial y  judicial en los procesos en que sea parte la  – ADRES </v>
      </c>
      <c r="BM31" s="842">
        <f>+AO31/4</f>
        <v>203215401</v>
      </c>
      <c r="BN31" s="541"/>
      <c r="BO31" s="851"/>
      <c r="BP31" s="543">
        <f t="shared" ref="BP31:BP41" si="37">+(BN31/BK31)</f>
        <v>0</v>
      </c>
      <c r="BQ31" s="847">
        <f>+(BO31/BM31)</f>
        <v>0</v>
      </c>
      <c r="BR31" s="543">
        <f t="shared" ref="BR31:BR41" si="38">+(BD31+AT31+BN31)/AM31</f>
        <v>0.25</v>
      </c>
      <c r="BS31" s="847">
        <f>+(BE31+AU31+BO31)/AO31</f>
        <v>0.12006512489917041</v>
      </c>
      <c r="BT31" s="543"/>
      <c r="BU31" s="547">
        <v>0.25</v>
      </c>
      <c r="BV31" s="846" t="str">
        <f>+AN31</f>
        <v xml:space="preserve">Ejercer la representación prejudicial y  judicial en los procesos en que sea parte la  – ADRES </v>
      </c>
      <c r="BW31" s="842">
        <f>+AO31/4</f>
        <v>203215401</v>
      </c>
      <c r="BX31" s="541"/>
      <c r="BY31" s="851"/>
      <c r="BZ31" s="547">
        <f t="shared" ref="BZ31:BZ41" si="39">+(BX31/BU31)</f>
        <v>0</v>
      </c>
      <c r="CA31" s="854">
        <f>+(BY31/BW31)</f>
        <v>0</v>
      </c>
      <c r="CB31" s="547">
        <f t="shared" ref="CB31:CB41" si="40">+(BD31+AT31+BN31+BX31)/AM31</f>
        <v>0.25</v>
      </c>
      <c r="CC31" s="854">
        <f>+(BE31+AU31+BO31+BY31)/AO31</f>
        <v>0.12006512489917041</v>
      </c>
      <c r="CD31" s="547"/>
      <c r="CE31" s="546">
        <f t="shared" si="2"/>
        <v>1</v>
      </c>
      <c r="CF31" s="853">
        <f>IF(AND(AS31=0,AU31=0),"No Prog ni Ejec",IF(AS31=0,CONCATENATE("No Prog, Ejec=  ",AU31),AU31/AS31))</f>
        <v>0.48026049959668166</v>
      </c>
      <c r="CG31" s="546">
        <f t="shared" si="3"/>
        <v>0</v>
      </c>
      <c r="CH31" s="853">
        <f>IF(AND(BC31=0,BE31=0),"No Prog ni Ejec",IF(BC31=0,CONCATENATE("No Prog, Ejec=  ",BE31),BE31/BC31))</f>
        <v>0</v>
      </c>
      <c r="CI31" s="546">
        <f t="shared" si="4"/>
        <v>0</v>
      </c>
      <c r="CJ31" s="853">
        <f>IF(AND(BM31=0,BO31=0),"No Prog ni Ejec",IF(BM31=0,CONCATENATE("No Prog, Ejec=  ",BO31),BO31/BM31))</f>
        <v>0</v>
      </c>
      <c r="CK31" s="546">
        <f t="shared" si="5"/>
        <v>0</v>
      </c>
      <c r="CL31" s="853">
        <f>IF(AND(BW31=0,BY31=0),"No Prog ni Ejec",IF(BW31=0,CONCATENATE("No Prog, Ejec=  ",BY31),BY31/BW31))</f>
        <v>0</v>
      </c>
      <c r="CM31" s="157">
        <f t="shared" si="6"/>
        <v>0</v>
      </c>
      <c r="CW31" s="138">
        <v>6</v>
      </c>
    </row>
    <row r="32" spans="1:101" s="75" customFormat="1" ht="63.75" x14ac:dyDescent="0.2">
      <c r="A32" s="541">
        <v>11900</v>
      </c>
      <c r="B32" s="544" t="s">
        <v>125</v>
      </c>
      <c r="C32" s="544" t="s">
        <v>332</v>
      </c>
      <c r="D32" s="544"/>
      <c r="E32" s="544" t="s">
        <v>1108</v>
      </c>
      <c r="F32" s="544" t="s">
        <v>1108</v>
      </c>
      <c r="G32" s="544"/>
      <c r="H32" s="544"/>
      <c r="I32" s="544"/>
      <c r="J32" s="544"/>
      <c r="K32" s="544"/>
      <c r="L32" s="544"/>
      <c r="M32" s="544"/>
      <c r="N32" s="544"/>
      <c r="O32" s="544"/>
      <c r="P32" s="544"/>
      <c r="Q32" s="540" t="s">
        <v>206</v>
      </c>
      <c r="R32" s="540" t="s">
        <v>206</v>
      </c>
      <c r="S32" s="541" t="s">
        <v>126</v>
      </c>
      <c r="T32" s="544" t="s">
        <v>60</v>
      </c>
      <c r="U32" s="544" t="s">
        <v>206</v>
      </c>
      <c r="V32" s="544" t="s">
        <v>206</v>
      </c>
      <c r="W32" s="541" t="s">
        <v>1019</v>
      </c>
      <c r="X32" s="544" t="s">
        <v>974</v>
      </c>
      <c r="Y32" s="554" t="s">
        <v>51</v>
      </c>
      <c r="Z32" s="547">
        <v>1</v>
      </c>
      <c r="AA32" s="851"/>
      <c r="AB32" s="846"/>
      <c r="AC32" s="842"/>
      <c r="AD32" s="545">
        <v>1</v>
      </c>
      <c r="AE32" s="544" t="s">
        <v>17</v>
      </c>
      <c r="AF32" s="544" t="s">
        <v>28</v>
      </c>
      <c r="AG32" s="544" t="s">
        <v>206</v>
      </c>
      <c r="AH32" s="544" t="s">
        <v>678</v>
      </c>
      <c r="AI32" s="544" t="s">
        <v>1124</v>
      </c>
      <c r="AJ32" s="714"/>
      <c r="AK32" s="544" t="s">
        <v>975</v>
      </c>
      <c r="AL32" s="544" t="s">
        <v>206</v>
      </c>
      <c r="AM32" s="545">
        <v>1</v>
      </c>
      <c r="AN32" s="846"/>
      <c r="AO32" s="857"/>
      <c r="AP32" s="548" t="s">
        <v>46</v>
      </c>
      <c r="AQ32" s="547">
        <v>0.25</v>
      </c>
      <c r="AR32" s="846"/>
      <c r="AS32" s="842"/>
      <c r="AT32" s="663">
        <f>34/34*25%</f>
        <v>0.25</v>
      </c>
      <c r="AU32" s="851"/>
      <c r="AV32" s="543">
        <f t="shared" si="0"/>
        <v>1</v>
      </c>
      <c r="AW32" s="847"/>
      <c r="AX32" s="543">
        <f t="shared" si="1"/>
        <v>0.25</v>
      </c>
      <c r="AY32" s="847"/>
      <c r="AZ32" s="580" t="s">
        <v>1553</v>
      </c>
      <c r="BA32" s="547">
        <v>0.25</v>
      </c>
      <c r="BB32" s="846"/>
      <c r="BC32" s="842"/>
      <c r="BD32" s="73"/>
      <c r="BE32" s="860"/>
      <c r="BF32" s="543">
        <f t="shared" si="35"/>
        <v>0</v>
      </c>
      <c r="BG32" s="847"/>
      <c r="BH32" s="543">
        <f t="shared" si="36"/>
        <v>0.25</v>
      </c>
      <c r="BI32" s="847"/>
      <c r="BJ32" s="543"/>
      <c r="BK32" s="547">
        <v>0.25</v>
      </c>
      <c r="BL32" s="846"/>
      <c r="BM32" s="842"/>
      <c r="BN32" s="541"/>
      <c r="BO32" s="851"/>
      <c r="BP32" s="543">
        <f t="shared" si="37"/>
        <v>0</v>
      </c>
      <c r="BQ32" s="847"/>
      <c r="BR32" s="543">
        <f t="shared" si="38"/>
        <v>0.25</v>
      </c>
      <c r="BS32" s="847"/>
      <c r="BT32" s="543"/>
      <c r="BU32" s="547">
        <v>0.25</v>
      </c>
      <c r="BV32" s="846"/>
      <c r="BW32" s="842"/>
      <c r="BX32" s="541"/>
      <c r="BY32" s="851"/>
      <c r="BZ32" s="547">
        <f t="shared" si="39"/>
        <v>0</v>
      </c>
      <c r="CA32" s="854"/>
      <c r="CB32" s="547">
        <f t="shared" si="40"/>
        <v>0.25</v>
      </c>
      <c r="CC32" s="854"/>
      <c r="CD32" s="547"/>
      <c r="CE32" s="546">
        <f t="shared" si="2"/>
        <v>1</v>
      </c>
      <c r="CF32" s="853"/>
      <c r="CG32" s="546">
        <f t="shared" si="3"/>
        <v>0</v>
      </c>
      <c r="CH32" s="853"/>
      <c r="CI32" s="546">
        <f t="shared" si="4"/>
        <v>0</v>
      </c>
      <c r="CJ32" s="853"/>
      <c r="CK32" s="546">
        <f t="shared" si="5"/>
        <v>0</v>
      </c>
      <c r="CL32" s="853"/>
      <c r="CM32" s="157">
        <f t="shared" si="6"/>
        <v>0</v>
      </c>
      <c r="CW32" s="138">
        <v>6</v>
      </c>
    </row>
    <row r="33" spans="1:101" s="75" customFormat="1" ht="216.75" x14ac:dyDescent="0.2">
      <c r="A33" s="541">
        <v>11900</v>
      </c>
      <c r="B33" s="544" t="s">
        <v>125</v>
      </c>
      <c r="C33" s="544" t="s">
        <v>332</v>
      </c>
      <c r="D33" s="544"/>
      <c r="E33" s="544" t="s">
        <v>1108</v>
      </c>
      <c r="F33" s="544" t="s">
        <v>1108</v>
      </c>
      <c r="G33" s="544"/>
      <c r="H33" s="544"/>
      <c r="I33" s="544"/>
      <c r="J33" s="544"/>
      <c r="K33" s="544"/>
      <c r="L33" s="544"/>
      <c r="M33" s="544"/>
      <c r="N33" s="544"/>
      <c r="O33" s="544"/>
      <c r="P33" s="544"/>
      <c r="Q33" s="540" t="s">
        <v>206</v>
      </c>
      <c r="R33" s="540" t="s">
        <v>206</v>
      </c>
      <c r="S33" s="541" t="s">
        <v>126</v>
      </c>
      <c r="T33" s="544" t="s">
        <v>60</v>
      </c>
      <c r="U33" s="544" t="s">
        <v>206</v>
      </c>
      <c r="V33" s="544" t="s">
        <v>206</v>
      </c>
      <c r="W33" s="541" t="s">
        <v>1020</v>
      </c>
      <c r="X33" s="544" t="s">
        <v>976</v>
      </c>
      <c r="Y33" s="554" t="s">
        <v>51</v>
      </c>
      <c r="Z33" s="547">
        <v>1</v>
      </c>
      <c r="AA33" s="851"/>
      <c r="AB33" s="846"/>
      <c r="AC33" s="842"/>
      <c r="AD33" s="545">
        <v>1</v>
      </c>
      <c r="AE33" s="544" t="s">
        <v>17</v>
      </c>
      <c r="AF33" s="544" t="s">
        <v>28</v>
      </c>
      <c r="AG33" s="544" t="s">
        <v>206</v>
      </c>
      <c r="AH33" s="544" t="s">
        <v>678</v>
      </c>
      <c r="AI33" s="544" t="s">
        <v>1124</v>
      </c>
      <c r="AJ33" s="714"/>
      <c r="AK33" s="544" t="s">
        <v>977</v>
      </c>
      <c r="AL33" s="544" t="s">
        <v>206</v>
      </c>
      <c r="AM33" s="545">
        <v>1</v>
      </c>
      <c r="AN33" s="846"/>
      <c r="AO33" s="857"/>
      <c r="AP33" s="548" t="s">
        <v>46</v>
      </c>
      <c r="AQ33" s="547">
        <v>0.25</v>
      </c>
      <c r="AR33" s="846"/>
      <c r="AS33" s="842"/>
      <c r="AT33" s="663">
        <f>(39/94)*25%</f>
        <v>0.10372340425531915</v>
      </c>
      <c r="AU33" s="851"/>
      <c r="AV33" s="543">
        <f t="shared" si="0"/>
        <v>0.41489361702127658</v>
      </c>
      <c r="AW33" s="847"/>
      <c r="AX33" s="543">
        <f t="shared" si="1"/>
        <v>0.10372340425531915</v>
      </c>
      <c r="AY33" s="847"/>
      <c r="AZ33" s="690" t="s">
        <v>1554</v>
      </c>
      <c r="BA33" s="547">
        <v>0.25</v>
      </c>
      <c r="BB33" s="846"/>
      <c r="BC33" s="842"/>
      <c r="BD33" s="73"/>
      <c r="BE33" s="860"/>
      <c r="BF33" s="543">
        <f t="shared" si="35"/>
        <v>0</v>
      </c>
      <c r="BG33" s="847"/>
      <c r="BH33" s="543">
        <f t="shared" si="36"/>
        <v>0.10372340425531915</v>
      </c>
      <c r="BI33" s="847"/>
      <c r="BJ33" s="543"/>
      <c r="BK33" s="547">
        <v>0.25</v>
      </c>
      <c r="BL33" s="846"/>
      <c r="BM33" s="842"/>
      <c r="BN33" s="541"/>
      <c r="BO33" s="851"/>
      <c r="BP33" s="543">
        <f t="shared" si="37"/>
        <v>0</v>
      </c>
      <c r="BQ33" s="847"/>
      <c r="BR33" s="543">
        <f t="shared" si="38"/>
        <v>0.10372340425531915</v>
      </c>
      <c r="BS33" s="847"/>
      <c r="BT33" s="543"/>
      <c r="BU33" s="547">
        <v>0.25</v>
      </c>
      <c r="BV33" s="846"/>
      <c r="BW33" s="842"/>
      <c r="BX33" s="541"/>
      <c r="BY33" s="851"/>
      <c r="BZ33" s="547">
        <f t="shared" si="39"/>
        <v>0</v>
      </c>
      <c r="CA33" s="854"/>
      <c r="CB33" s="547">
        <f t="shared" si="40"/>
        <v>0.10372340425531915</v>
      </c>
      <c r="CC33" s="854"/>
      <c r="CD33" s="547"/>
      <c r="CE33" s="546">
        <f t="shared" si="2"/>
        <v>0.41489361702127658</v>
      </c>
      <c r="CF33" s="853"/>
      <c r="CG33" s="546">
        <f t="shared" si="3"/>
        <v>0</v>
      </c>
      <c r="CH33" s="853"/>
      <c r="CI33" s="546">
        <f t="shared" si="4"/>
        <v>0</v>
      </c>
      <c r="CJ33" s="853"/>
      <c r="CK33" s="546">
        <f t="shared" si="5"/>
        <v>0</v>
      </c>
      <c r="CL33" s="853"/>
      <c r="CM33" s="157">
        <f t="shared" si="6"/>
        <v>0</v>
      </c>
      <c r="CW33" s="138">
        <v>6</v>
      </c>
    </row>
    <row r="34" spans="1:101" s="75" customFormat="1" ht="51" x14ac:dyDescent="0.2">
      <c r="A34" s="541">
        <v>11900</v>
      </c>
      <c r="B34" s="544" t="s">
        <v>125</v>
      </c>
      <c r="C34" s="544" t="s">
        <v>332</v>
      </c>
      <c r="D34" s="544"/>
      <c r="E34" s="544" t="s">
        <v>1108</v>
      </c>
      <c r="F34" s="544" t="s">
        <v>1108</v>
      </c>
      <c r="G34" s="544"/>
      <c r="H34" s="544"/>
      <c r="I34" s="544"/>
      <c r="J34" s="544"/>
      <c r="K34" s="544"/>
      <c r="L34" s="544"/>
      <c r="M34" s="544"/>
      <c r="N34" s="544"/>
      <c r="O34" s="544"/>
      <c r="P34" s="544"/>
      <c r="Q34" s="540" t="s">
        <v>206</v>
      </c>
      <c r="R34" s="540" t="s">
        <v>206</v>
      </c>
      <c r="S34" s="541" t="s">
        <v>126</v>
      </c>
      <c r="T34" s="544" t="s">
        <v>60</v>
      </c>
      <c r="U34" s="544" t="s">
        <v>206</v>
      </c>
      <c r="V34" s="544" t="s">
        <v>206</v>
      </c>
      <c r="W34" s="541" t="s">
        <v>1021</v>
      </c>
      <c r="X34" s="544" t="s">
        <v>978</v>
      </c>
      <c r="Y34" s="554" t="s">
        <v>51</v>
      </c>
      <c r="Z34" s="547">
        <v>1</v>
      </c>
      <c r="AA34" s="851"/>
      <c r="AB34" s="846"/>
      <c r="AC34" s="842"/>
      <c r="AD34" s="545">
        <v>1</v>
      </c>
      <c r="AE34" s="544" t="s">
        <v>17</v>
      </c>
      <c r="AF34" s="544" t="s">
        <v>28</v>
      </c>
      <c r="AG34" s="544" t="s">
        <v>206</v>
      </c>
      <c r="AH34" s="544" t="s">
        <v>678</v>
      </c>
      <c r="AI34" s="544" t="s">
        <v>1124</v>
      </c>
      <c r="AJ34" s="715"/>
      <c r="AK34" s="544" t="s">
        <v>465</v>
      </c>
      <c r="AL34" s="544" t="s">
        <v>206</v>
      </c>
      <c r="AM34" s="545">
        <v>1</v>
      </c>
      <c r="AN34" s="846"/>
      <c r="AO34" s="857"/>
      <c r="AP34" s="548" t="s">
        <v>46</v>
      </c>
      <c r="AQ34" s="547">
        <v>0.25</v>
      </c>
      <c r="AR34" s="846"/>
      <c r="AS34" s="842"/>
      <c r="AT34" s="663">
        <f>116/117*25%</f>
        <v>0.24786324786324787</v>
      </c>
      <c r="AU34" s="851"/>
      <c r="AV34" s="543">
        <f t="shared" si="0"/>
        <v>0.99145299145299148</v>
      </c>
      <c r="AW34" s="847"/>
      <c r="AX34" s="543">
        <f t="shared" si="1"/>
        <v>0.24786324786324787</v>
      </c>
      <c r="AY34" s="847"/>
      <c r="AZ34" s="691" t="s">
        <v>1555</v>
      </c>
      <c r="BA34" s="547">
        <v>0.25</v>
      </c>
      <c r="BB34" s="846"/>
      <c r="BC34" s="842"/>
      <c r="BD34" s="73"/>
      <c r="BE34" s="860"/>
      <c r="BF34" s="543">
        <f t="shared" si="35"/>
        <v>0</v>
      </c>
      <c r="BG34" s="847"/>
      <c r="BH34" s="543">
        <f t="shared" si="36"/>
        <v>0.24786324786324787</v>
      </c>
      <c r="BI34" s="847"/>
      <c r="BJ34" s="543"/>
      <c r="BK34" s="547">
        <v>0.25</v>
      </c>
      <c r="BL34" s="846"/>
      <c r="BM34" s="842"/>
      <c r="BN34" s="541"/>
      <c r="BO34" s="851"/>
      <c r="BP34" s="543">
        <f t="shared" si="37"/>
        <v>0</v>
      </c>
      <c r="BQ34" s="847"/>
      <c r="BR34" s="543">
        <f t="shared" si="38"/>
        <v>0.24786324786324787</v>
      </c>
      <c r="BS34" s="847"/>
      <c r="BT34" s="543"/>
      <c r="BU34" s="547">
        <v>0.25</v>
      </c>
      <c r="BV34" s="846"/>
      <c r="BW34" s="842"/>
      <c r="BX34" s="541"/>
      <c r="BY34" s="851"/>
      <c r="BZ34" s="547">
        <f t="shared" si="39"/>
        <v>0</v>
      </c>
      <c r="CA34" s="854"/>
      <c r="CB34" s="547">
        <f t="shared" si="40"/>
        <v>0.24786324786324787</v>
      </c>
      <c r="CC34" s="854"/>
      <c r="CD34" s="547"/>
      <c r="CE34" s="546">
        <f t="shared" si="2"/>
        <v>0.99145299145299148</v>
      </c>
      <c r="CF34" s="853"/>
      <c r="CG34" s="546">
        <f t="shared" si="3"/>
        <v>0</v>
      </c>
      <c r="CH34" s="853"/>
      <c r="CI34" s="546">
        <f t="shared" si="4"/>
        <v>0</v>
      </c>
      <c r="CJ34" s="853"/>
      <c r="CK34" s="546">
        <f t="shared" si="5"/>
        <v>0</v>
      </c>
      <c r="CL34" s="853"/>
      <c r="CM34" s="157">
        <f t="shared" si="6"/>
        <v>0</v>
      </c>
      <c r="CW34" s="138">
        <v>6</v>
      </c>
    </row>
    <row r="35" spans="1:101" s="75" customFormat="1" ht="127.5" customHeight="1" x14ac:dyDescent="0.2">
      <c r="A35" s="541">
        <v>11900</v>
      </c>
      <c r="B35" s="544" t="s">
        <v>125</v>
      </c>
      <c r="C35" s="544" t="s">
        <v>332</v>
      </c>
      <c r="D35" s="544"/>
      <c r="E35" s="544" t="s">
        <v>1108</v>
      </c>
      <c r="F35" s="544" t="s">
        <v>1108</v>
      </c>
      <c r="G35" s="544"/>
      <c r="H35" s="544"/>
      <c r="I35" s="544"/>
      <c r="J35" s="544"/>
      <c r="K35" s="544"/>
      <c r="L35" s="544"/>
      <c r="M35" s="544"/>
      <c r="N35" s="544"/>
      <c r="O35" s="544"/>
      <c r="P35" s="544"/>
      <c r="Q35" s="540" t="s">
        <v>206</v>
      </c>
      <c r="R35" s="540" t="s">
        <v>206</v>
      </c>
      <c r="S35" s="541" t="s">
        <v>126</v>
      </c>
      <c r="T35" s="544" t="s">
        <v>60</v>
      </c>
      <c r="U35" s="544" t="s">
        <v>206</v>
      </c>
      <c r="V35" s="544" t="s">
        <v>206</v>
      </c>
      <c r="W35" s="541" t="s">
        <v>668</v>
      </c>
      <c r="X35" s="544" t="s">
        <v>131</v>
      </c>
      <c r="Y35" s="554" t="s">
        <v>51</v>
      </c>
      <c r="Z35" s="547">
        <v>1</v>
      </c>
      <c r="AA35" s="851" t="s">
        <v>667</v>
      </c>
      <c r="AB35" s="855" t="s">
        <v>466</v>
      </c>
      <c r="AC35" s="876">
        <v>45152000</v>
      </c>
      <c r="AD35" s="545">
        <v>1</v>
      </c>
      <c r="AE35" s="544" t="s">
        <v>17</v>
      </c>
      <c r="AF35" s="544" t="s">
        <v>28</v>
      </c>
      <c r="AG35" s="544" t="s">
        <v>206</v>
      </c>
      <c r="AH35" s="544" t="s">
        <v>678</v>
      </c>
      <c r="AI35" s="544" t="s">
        <v>1124</v>
      </c>
      <c r="AJ35" s="713" t="s">
        <v>1403</v>
      </c>
      <c r="AK35" s="544" t="s">
        <v>178</v>
      </c>
      <c r="AL35" s="544" t="s">
        <v>206</v>
      </c>
      <c r="AM35" s="547">
        <v>1</v>
      </c>
      <c r="AN35" s="846" t="str">
        <f>+AB35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O35" s="857">
        <f>+AC35</f>
        <v>45152000</v>
      </c>
      <c r="AP35" s="548" t="s">
        <v>46</v>
      </c>
      <c r="AQ35" s="545">
        <v>0.25</v>
      </c>
      <c r="AR35" s="846"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S35" s="842">
        <f>+AO35/4</f>
        <v>11288000</v>
      </c>
      <c r="AT35" s="663">
        <f>(12/12)*25%</f>
        <v>0.25</v>
      </c>
      <c r="AU35" s="877">
        <v>8296000</v>
      </c>
      <c r="AV35" s="543">
        <f t="shared" si="0"/>
        <v>1</v>
      </c>
      <c r="AW35" s="847">
        <f>+(AU35/AS35)</f>
        <v>0.73493975903614461</v>
      </c>
      <c r="AX35" s="543">
        <f t="shared" si="1"/>
        <v>0.25</v>
      </c>
      <c r="AY35" s="847">
        <f>+(AU35/AO35)</f>
        <v>0.18373493975903615</v>
      </c>
      <c r="AZ35" s="580" t="s">
        <v>1556</v>
      </c>
      <c r="BA35" s="545">
        <v>0.25</v>
      </c>
      <c r="BB35" s="846"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C35" s="842">
        <f>+AO35/4</f>
        <v>11288000</v>
      </c>
      <c r="BD35" s="73"/>
      <c r="BE35" s="860"/>
      <c r="BF35" s="543">
        <f t="shared" si="35"/>
        <v>0</v>
      </c>
      <c r="BG35" s="847">
        <f>+(BE35/BC35)</f>
        <v>0</v>
      </c>
      <c r="BH35" s="543">
        <f t="shared" si="36"/>
        <v>0.25</v>
      </c>
      <c r="BI35" s="847">
        <f>+(BE35+AU35)/AO35</f>
        <v>0.18373493975903615</v>
      </c>
      <c r="BJ35" s="543"/>
      <c r="BK35" s="545">
        <v>0.25</v>
      </c>
      <c r="BL35" s="846"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M35" s="842">
        <f>+AO35/4</f>
        <v>11288000</v>
      </c>
      <c r="BN35" s="541"/>
      <c r="BO35" s="851"/>
      <c r="BP35" s="543">
        <f t="shared" si="37"/>
        <v>0</v>
      </c>
      <c r="BQ35" s="847">
        <f>+(BO35/BM35)</f>
        <v>0</v>
      </c>
      <c r="BR35" s="543">
        <f t="shared" si="38"/>
        <v>0.25</v>
      </c>
      <c r="BS35" s="847">
        <f>+(BE35+AU35+BO35)/AO35</f>
        <v>0.18373493975903615</v>
      </c>
      <c r="BT35" s="543"/>
      <c r="BU35" s="545">
        <v>0.25</v>
      </c>
      <c r="BV35" s="846"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W35" s="842">
        <f>+AO35/4</f>
        <v>11288000</v>
      </c>
      <c r="BX35" s="541"/>
      <c r="BY35" s="851"/>
      <c r="BZ35" s="547">
        <f t="shared" si="39"/>
        <v>0</v>
      </c>
      <c r="CA35" s="854">
        <f>+(BY35/BW35)</f>
        <v>0</v>
      </c>
      <c r="CB35" s="547">
        <f t="shared" si="40"/>
        <v>0.25</v>
      </c>
      <c r="CC35" s="854">
        <f>+(BE35+AU35+BO35+BY35)/AO35</f>
        <v>0.18373493975903615</v>
      </c>
      <c r="CD35" s="547"/>
      <c r="CE35" s="546">
        <f t="shared" si="2"/>
        <v>1</v>
      </c>
      <c r="CF35" s="853">
        <f>IF(AND(AS35=0,AU35=0),"No Prog ni Ejec",IF(AS35=0,CONCATENATE("No Prog, Ejec=  ",AU35),AU35/AS35))</f>
        <v>0.73493975903614461</v>
      </c>
      <c r="CG35" s="546">
        <f t="shared" si="3"/>
        <v>0</v>
      </c>
      <c r="CH35" s="853">
        <f>IF(AND(BC35=0,BE35=0),"No Prog ni Ejec",IF(BC35=0,CONCATENATE("No Prog, Ejec=  ",BE35),BE35/BC35))</f>
        <v>0</v>
      </c>
      <c r="CI35" s="546">
        <f t="shared" si="4"/>
        <v>0</v>
      </c>
      <c r="CJ35" s="853">
        <f>IF(AND(BM35=0,BO35=0),"No Prog ni Ejec",IF(BM35=0,CONCATENATE("No Prog, Ejec=  ",BO35),BO35/BM35))</f>
        <v>0</v>
      </c>
      <c r="CK35" s="546">
        <f t="shared" si="5"/>
        <v>0</v>
      </c>
      <c r="CL35" s="853">
        <f>IF(AND(BW35=0,BY35=0),"No Prog ni Ejec",IF(BW35=0,CONCATENATE("No Prog, Ejec=  ",BY35),BY35/BW35))</f>
        <v>0</v>
      </c>
      <c r="CM35" s="157">
        <f t="shared" si="6"/>
        <v>0</v>
      </c>
      <c r="CW35" s="138">
        <v>6</v>
      </c>
    </row>
    <row r="36" spans="1:101" s="75" customFormat="1" ht="51" x14ac:dyDescent="0.2">
      <c r="A36" s="541">
        <v>11900</v>
      </c>
      <c r="B36" s="544" t="s">
        <v>125</v>
      </c>
      <c r="C36" s="544" t="s">
        <v>332</v>
      </c>
      <c r="D36" s="544"/>
      <c r="E36" s="544" t="s">
        <v>1108</v>
      </c>
      <c r="F36" s="544" t="s">
        <v>1108</v>
      </c>
      <c r="G36" s="544"/>
      <c r="H36" s="544"/>
      <c r="I36" s="544"/>
      <c r="J36" s="544"/>
      <c r="K36" s="544"/>
      <c r="L36" s="544"/>
      <c r="M36" s="544"/>
      <c r="N36" s="544"/>
      <c r="O36" s="544"/>
      <c r="P36" s="544"/>
      <c r="Q36" s="540" t="s">
        <v>206</v>
      </c>
      <c r="R36" s="540" t="s">
        <v>206</v>
      </c>
      <c r="S36" s="541" t="s">
        <v>126</v>
      </c>
      <c r="T36" s="544" t="s">
        <v>60</v>
      </c>
      <c r="U36" s="544" t="s">
        <v>206</v>
      </c>
      <c r="V36" s="544" t="s">
        <v>206</v>
      </c>
      <c r="W36" s="541" t="s">
        <v>669</v>
      </c>
      <c r="X36" s="544" t="s">
        <v>467</v>
      </c>
      <c r="Y36" s="554" t="s">
        <v>51</v>
      </c>
      <c r="Z36" s="547">
        <v>1</v>
      </c>
      <c r="AA36" s="851"/>
      <c r="AB36" s="855"/>
      <c r="AC36" s="876"/>
      <c r="AD36" s="545">
        <v>1</v>
      </c>
      <c r="AE36" s="544" t="s">
        <v>17</v>
      </c>
      <c r="AF36" s="544" t="s">
        <v>28</v>
      </c>
      <c r="AG36" s="544" t="s">
        <v>206</v>
      </c>
      <c r="AH36" s="544" t="s">
        <v>678</v>
      </c>
      <c r="AI36" s="544" t="s">
        <v>1124</v>
      </c>
      <c r="AJ36" s="715"/>
      <c r="AK36" s="544" t="s">
        <v>979</v>
      </c>
      <c r="AL36" s="544" t="s">
        <v>206</v>
      </c>
      <c r="AM36" s="547">
        <v>1</v>
      </c>
      <c r="AN36" s="846"/>
      <c r="AO36" s="857"/>
      <c r="AP36" s="548" t="s">
        <v>46</v>
      </c>
      <c r="AQ36" s="545">
        <v>0.25</v>
      </c>
      <c r="AR36" s="846"/>
      <c r="AS36" s="842"/>
      <c r="AT36" s="661"/>
      <c r="AU36" s="878"/>
      <c r="AV36" s="543">
        <f t="shared" si="0"/>
        <v>0</v>
      </c>
      <c r="AW36" s="847"/>
      <c r="AX36" s="543">
        <f t="shared" si="1"/>
        <v>0</v>
      </c>
      <c r="AY36" s="847"/>
      <c r="AZ36" s="601"/>
      <c r="BA36" s="545">
        <v>0.25</v>
      </c>
      <c r="BB36" s="846"/>
      <c r="BC36" s="842"/>
      <c r="BD36" s="73"/>
      <c r="BE36" s="860"/>
      <c r="BF36" s="543">
        <f t="shared" si="35"/>
        <v>0</v>
      </c>
      <c r="BG36" s="847"/>
      <c r="BH36" s="543">
        <f t="shared" si="36"/>
        <v>0</v>
      </c>
      <c r="BI36" s="847"/>
      <c r="BJ36" s="543"/>
      <c r="BK36" s="545">
        <v>0.25</v>
      </c>
      <c r="BL36" s="846"/>
      <c r="BM36" s="842"/>
      <c r="BN36" s="541"/>
      <c r="BO36" s="851"/>
      <c r="BP36" s="543">
        <f t="shared" si="37"/>
        <v>0</v>
      </c>
      <c r="BQ36" s="847"/>
      <c r="BR36" s="543">
        <f t="shared" si="38"/>
        <v>0</v>
      </c>
      <c r="BS36" s="847"/>
      <c r="BT36" s="543"/>
      <c r="BU36" s="545">
        <v>0.25</v>
      </c>
      <c r="BV36" s="846"/>
      <c r="BW36" s="842"/>
      <c r="BX36" s="541"/>
      <c r="BY36" s="851"/>
      <c r="BZ36" s="547">
        <f t="shared" si="39"/>
        <v>0</v>
      </c>
      <c r="CA36" s="854"/>
      <c r="CB36" s="547">
        <f t="shared" si="40"/>
        <v>0</v>
      </c>
      <c r="CC36" s="854"/>
      <c r="CD36" s="547"/>
      <c r="CE36" s="546">
        <f t="shared" si="2"/>
        <v>0</v>
      </c>
      <c r="CF36" s="853"/>
      <c r="CG36" s="546">
        <f t="shared" si="3"/>
        <v>0</v>
      </c>
      <c r="CH36" s="853"/>
      <c r="CI36" s="546">
        <f t="shared" si="4"/>
        <v>0</v>
      </c>
      <c r="CJ36" s="853"/>
      <c r="CK36" s="546">
        <f t="shared" si="5"/>
        <v>0</v>
      </c>
      <c r="CL36" s="853"/>
      <c r="CM36" s="157">
        <f t="shared" si="6"/>
        <v>0</v>
      </c>
      <c r="CW36" s="138">
        <v>6</v>
      </c>
    </row>
    <row r="37" spans="1:101" s="75" customFormat="1" ht="89.25" x14ac:dyDescent="0.2">
      <c r="A37" s="541">
        <v>11900</v>
      </c>
      <c r="B37" s="544" t="s">
        <v>125</v>
      </c>
      <c r="C37" s="544" t="s">
        <v>332</v>
      </c>
      <c r="D37" s="544"/>
      <c r="E37" s="544" t="s">
        <v>1108</v>
      </c>
      <c r="F37" s="544" t="s">
        <v>1108</v>
      </c>
      <c r="G37" s="544"/>
      <c r="H37" s="544"/>
      <c r="I37" s="544"/>
      <c r="J37" s="544"/>
      <c r="K37" s="544"/>
      <c r="L37" s="544"/>
      <c r="M37" s="544"/>
      <c r="N37" s="544"/>
      <c r="O37" s="544"/>
      <c r="P37" s="544"/>
      <c r="Q37" s="540" t="s">
        <v>206</v>
      </c>
      <c r="R37" s="540" t="s">
        <v>206</v>
      </c>
      <c r="S37" s="541" t="s">
        <v>126</v>
      </c>
      <c r="T37" s="544" t="s">
        <v>60</v>
      </c>
      <c r="U37" s="544" t="s">
        <v>206</v>
      </c>
      <c r="V37" s="544" t="s">
        <v>206</v>
      </c>
      <c r="W37" s="541" t="s">
        <v>1022</v>
      </c>
      <c r="X37" s="544" t="s">
        <v>980</v>
      </c>
      <c r="Y37" s="554" t="s">
        <v>51</v>
      </c>
      <c r="Z37" s="547">
        <v>1</v>
      </c>
      <c r="AA37" s="541" t="s">
        <v>670</v>
      </c>
      <c r="AB37" s="548" t="s">
        <v>468</v>
      </c>
      <c r="AC37" s="692">
        <v>48960000</v>
      </c>
      <c r="AD37" s="545">
        <v>1</v>
      </c>
      <c r="AE37" s="544" t="s">
        <v>17</v>
      </c>
      <c r="AF37" s="544" t="s">
        <v>28</v>
      </c>
      <c r="AG37" s="544" t="s">
        <v>206</v>
      </c>
      <c r="AH37" s="544" t="s">
        <v>678</v>
      </c>
      <c r="AI37" s="544" t="s">
        <v>1124</v>
      </c>
      <c r="AJ37" s="544" t="s">
        <v>206</v>
      </c>
      <c r="AK37" s="544" t="s">
        <v>469</v>
      </c>
      <c r="AL37" s="544" t="s">
        <v>206</v>
      </c>
      <c r="AM37" s="545">
        <v>1</v>
      </c>
      <c r="AN37" s="544" t="str">
        <f>+AB37</f>
        <v xml:space="preserve">Apoyar a la Oficina Asesora Jurídica en las actividades relacionadas con el ejercicio de las funciones de la Secretaría Técnica  del Comité de Conciliación;  y en las actividades propias de dicho organismo en el Ekogui. </v>
      </c>
      <c r="AO37" s="550">
        <f>+AC37</f>
        <v>48960000</v>
      </c>
      <c r="AP37" s="548" t="s">
        <v>46</v>
      </c>
      <c r="AQ37" s="547">
        <v>0.25</v>
      </c>
      <c r="AR37" s="544" t="str">
        <f>+AN37</f>
        <v xml:space="preserve">Apoyar a la Oficina Asesora Jurídica en las actividades relacionadas con el ejercicio de las funciones de la Secretaría Técnica  del Comité de Conciliación;  y en las actividades propias de dicho organismo en el Ekogui. </v>
      </c>
      <c r="AS37" s="542">
        <f>+AO37/4</f>
        <v>12240000</v>
      </c>
      <c r="AT37" s="663">
        <f>1/5*25%</f>
        <v>0.05</v>
      </c>
      <c r="AU37" s="686">
        <v>6664000</v>
      </c>
      <c r="AV37" s="543">
        <f t="shared" si="0"/>
        <v>0.2</v>
      </c>
      <c r="AW37" s="543">
        <f>+(AU37/AS37)</f>
        <v>0.5444444444444444</v>
      </c>
      <c r="AX37" s="543">
        <f t="shared" si="1"/>
        <v>0.05</v>
      </c>
      <c r="AY37" s="543">
        <f>+(AU37/AO37)</f>
        <v>0.1361111111111111</v>
      </c>
      <c r="AZ37" s="580" t="s">
        <v>1557</v>
      </c>
      <c r="BA37" s="547">
        <v>0.25</v>
      </c>
      <c r="BB37" s="544" t="str">
        <f>+AN37</f>
        <v xml:space="preserve">Apoyar a la Oficina Asesora Jurídica en las actividades relacionadas con el ejercicio de las funciones de la Secretaría Técnica  del Comité de Conciliación;  y en las actividades propias de dicho organismo en el Ekogui. </v>
      </c>
      <c r="BC37" s="542">
        <f>+AO37/4</f>
        <v>12240000</v>
      </c>
      <c r="BD37" s="73"/>
      <c r="BE37" s="73"/>
      <c r="BF37" s="543">
        <f t="shared" si="35"/>
        <v>0</v>
      </c>
      <c r="BG37" s="543">
        <f>+(BE37/BC37)</f>
        <v>0</v>
      </c>
      <c r="BH37" s="543">
        <f t="shared" si="36"/>
        <v>0.05</v>
      </c>
      <c r="BI37" s="543">
        <f>+(BE37+AU37)/AO37</f>
        <v>0.1361111111111111</v>
      </c>
      <c r="BJ37" s="543"/>
      <c r="BK37" s="547">
        <v>0.25</v>
      </c>
      <c r="BL37" s="544" t="str">
        <f>+AN37</f>
        <v xml:space="preserve">Apoyar a la Oficina Asesora Jurídica en las actividades relacionadas con el ejercicio de las funciones de la Secretaría Técnica  del Comité de Conciliación;  y en las actividades propias de dicho organismo en el Ekogui. </v>
      </c>
      <c r="BM37" s="542">
        <f>+AO37/4</f>
        <v>12240000</v>
      </c>
      <c r="BN37" s="541"/>
      <c r="BO37" s="541"/>
      <c r="BP37" s="543">
        <f t="shared" si="37"/>
        <v>0</v>
      </c>
      <c r="BQ37" s="543">
        <f>+(BO37/BM37)</f>
        <v>0</v>
      </c>
      <c r="BR37" s="543">
        <f t="shared" si="38"/>
        <v>0.05</v>
      </c>
      <c r="BS37" s="543">
        <f>+(BE37+AU37+BO37)/AO37</f>
        <v>0.1361111111111111</v>
      </c>
      <c r="BT37" s="543"/>
      <c r="BU37" s="547">
        <v>0.25</v>
      </c>
      <c r="BV37" s="544" t="str">
        <f>+AN37</f>
        <v xml:space="preserve">Apoyar a la Oficina Asesora Jurídica en las actividades relacionadas con el ejercicio de las funciones de la Secretaría Técnica  del Comité de Conciliación;  y en las actividades propias de dicho organismo en el Ekogui. </v>
      </c>
      <c r="BW37" s="542">
        <f>+AO37/4</f>
        <v>12240000</v>
      </c>
      <c r="BX37" s="541"/>
      <c r="BY37" s="541"/>
      <c r="BZ37" s="547">
        <f t="shared" si="39"/>
        <v>0</v>
      </c>
      <c r="CA37" s="547">
        <f>+(BY37/BW37)</f>
        <v>0</v>
      </c>
      <c r="CB37" s="547">
        <f t="shared" si="40"/>
        <v>0.05</v>
      </c>
      <c r="CC37" s="547">
        <f>+(BE37+AU37+BO37+BY37)/AO37</f>
        <v>0.1361111111111111</v>
      </c>
      <c r="CD37" s="547"/>
      <c r="CE37" s="546">
        <f t="shared" si="2"/>
        <v>0.2</v>
      </c>
      <c r="CF37" s="546">
        <f>IF(AND(AS37=0,AU37=0),"No Prog ni Ejec",IF(AS37=0,CONCATENATE("No Prog, Ejec=  ",AU37),AU37/AS37))</f>
        <v>0.5444444444444444</v>
      </c>
      <c r="CG37" s="546">
        <f t="shared" si="3"/>
        <v>0</v>
      </c>
      <c r="CH37" s="546">
        <f>IF(AND(BC37=0,BE37=0),"No Prog ni Ejec",IF(BC37=0,CONCATENATE("No Prog, Ejec=  ",BE37),BE37/BC37))</f>
        <v>0</v>
      </c>
      <c r="CI37" s="546">
        <f t="shared" si="4"/>
        <v>0</v>
      </c>
      <c r="CJ37" s="546">
        <f>IF(AND(BM37=0,BO37=0),"No Prog ni Ejec",IF(BM37=0,CONCATENATE("No Prog, Ejec=  ",BO37),BO37/BM37))</f>
        <v>0</v>
      </c>
      <c r="CK37" s="546">
        <f t="shared" si="5"/>
        <v>0</v>
      </c>
      <c r="CL37" s="546">
        <f>IF(AND(BW37=0,BY37=0),"No Prog ni Ejec",IF(BW37=0,CONCATENATE("No Prog, Ejec=  ",BY37),BY37/BW37))</f>
        <v>0</v>
      </c>
      <c r="CM37" s="157">
        <f t="shared" si="6"/>
        <v>0</v>
      </c>
      <c r="CW37" s="138">
        <v>6</v>
      </c>
    </row>
    <row r="38" spans="1:101" s="75" customFormat="1" ht="51" x14ac:dyDescent="0.2">
      <c r="A38" s="541">
        <v>11900</v>
      </c>
      <c r="B38" s="544" t="s">
        <v>125</v>
      </c>
      <c r="C38" s="544" t="s">
        <v>332</v>
      </c>
      <c r="D38" s="544"/>
      <c r="E38" s="544" t="s">
        <v>1108</v>
      </c>
      <c r="F38" s="544" t="s">
        <v>1108</v>
      </c>
      <c r="G38" s="544"/>
      <c r="H38" s="544"/>
      <c r="I38" s="544"/>
      <c r="J38" s="544"/>
      <c r="K38" s="544"/>
      <c r="L38" s="544"/>
      <c r="M38" s="544"/>
      <c r="N38" s="544"/>
      <c r="O38" s="544"/>
      <c r="P38" s="544"/>
      <c r="Q38" s="540" t="s">
        <v>206</v>
      </c>
      <c r="R38" s="540" t="s">
        <v>206</v>
      </c>
      <c r="S38" s="541" t="s">
        <v>126</v>
      </c>
      <c r="T38" s="544" t="s">
        <v>60</v>
      </c>
      <c r="U38" s="544" t="s">
        <v>206</v>
      </c>
      <c r="V38" s="544" t="s">
        <v>206</v>
      </c>
      <c r="W38" s="541" t="s">
        <v>699</v>
      </c>
      <c r="X38" s="544" t="s">
        <v>471</v>
      </c>
      <c r="Y38" s="554" t="s">
        <v>51</v>
      </c>
      <c r="Z38" s="547">
        <v>1</v>
      </c>
      <c r="AA38" s="851" t="s">
        <v>698</v>
      </c>
      <c r="AB38" s="855" t="s">
        <v>470</v>
      </c>
      <c r="AC38" s="856">
        <v>27093804</v>
      </c>
      <c r="AD38" s="545">
        <v>1</v>
      </c>
      <c r="AE38" s="544" t="s">
        <v>17</v>
      </c>
      <c r="AF38" s="544" t="s">
        <v>28</v>
      </c>
      <c r="AG38" s="544" t="s">
        <v>206</v>
      </c>
      <c r="AH38" s="544" t="s">
        <v>678</v>
      </c>
      <c r="AI38" s="544" t="s">
        <v>1124</v>
      </c>
      <c r="AJ38" s="827" t="s">
        <v>206</v>
      </c>
      <c r="AK38" s="544" t="s">
        <v>472</v>
      </c>
      <c r="AL38" s="544" t="s">
        <v>206</v>
      </c>
      <c r="AM38" s="547">
        <v>1</v>
      </c>
      <c r="AN38" s="846" t="str">
        <f>+AB38</f>
        <v>Apoyo a las actividades administrativas y operativas  requeridas por el Grupo de Representación Judicial</v>
      </c>
      <c r="AO38" s="857">
        <f>+AC38</f>
        <v>27093804</v>
      </c>
      <c r="AP38" s="548" t="s">
        <v>46</v>
      </c>
      <c r="AQ38" s="547">
        <v>0.25</v>
      </c>
      <c r="AR38" s="846" t="str">
        <f>+AN38</f>
        <v>Apoyo a las actividades administrativas y operativas  requeridas por el Grupo de Representación Judicial</v>
      </c>
      <c r="AS38" s="857">
        <f>+AO38/4</f>
        <v>6773451</v>
      </c>
      <c r="AT38" s="663">
        <f>641/641*25%</f>
        <v>0.25</v>
      </c>
      <c r="AU38" s="851" t="s">
        <v>1542</v>
      </c>
      <c r="AV38" s="543">
        <f t="shared" si="0"/>
        <v>1</v>
      </c>
      <c r="AW38" s="847">
        <f>+(AU38/AS38)</f>
        <v>0.66666651903143614</v>
      </c>
      <c r="AX38" s="543">
        <f t="shared" si="1"/>
        <v>0.25</v>
      </c>
      <c r="AY38" s="847">
        <f>+(AU38/AO38)</f>
        <v>0.16666662975785904</v>
      </c>
      <c r="AZ38" s="580" t="s">
        <v>1558</v>
      </c>
      <c r="BA38" s="547">
        <v>0.25</v>
      </c>
      <c r="BB38" s="846" t="str">
        <f>+AN38</f>
        <v>Apoyo a las actividades administrativas y operativas  requeridas por el Grupo de Representación Judicial</v>
      </c>
      <c r="BC38" s="857">
        <f>+AO38/4</f>
        <v>6773451</v>
      </c>
      <c r="BD38" s="73"/>
      <c r="BE38" s="860"/>
      <c r="BF38" s="543">
        <f t="shared" si="35"/>
        <v>0</v>
      </c>
      <c r="BG38" s="847">
        <f>+(BE38/BC38)</f>
        <v>0</v>
      </c>
      <c r="BH38" s="543">
        <f t="shared" si="36"/>
        <v>0.25</v>
      </c>
      <c r="BI38" s="847">
        <f>+(BE38+AU38)/AO38</f>
        <v>0.16666662975785904</v>
      </c>
      <c r="BJ38" s="543"/>
      <c r="BK38" s="547">
        <v>0.25</v>
      </c>
      <c r="BL38" s="846" t="str">
        <f>+AN38</f>
        <v>Apoyo a las actividades administrativas y operativas  requeridas por el Grupo de Representación Judicial</v>
      </c>
      <c r="BM38" s="857">
        <f>+AO38/4</f>
        <v>6773451</v>
      </c>
      <c r="BN38" s="541"/>
      <c r="BO38" s="851"/>
      <c r="BP38" s="543">
        <f t="shared" si="37"/>
        <v>0</v>
      </c>
      <c r="BQ38" s="847">
        <f>+(BO38/BM38)</f>
        <v>0</v>
      </c>
      <c r="BR38" s="543">
        <f t="shared" si="38"/>
        <v>0.25</v>
      </c>
      <c r="BS38" s="847">
        <f>+(BE38+AU38+BO38)/AO38</f>
        <v>0.16666662975785904</v>
      </c>
      <c r="BT38" s="543"/>
      <c r="BU38" s="547">
        <v>0.25</v>
      </c>
      <c r="BV38" s="846" t="str">
        <f>+AN38</f>
        <v>Apoyo a las actividades administrativas y operativas  requeridas por el Grupo de Representación Judicial</v>
      </c>
      <c r="BW38" s="857">
        <f>+AO38/4</f>
        <v>6773451</v>
      </c>
      <c r="BX38" s="541"/>
      <c r="BY38" s="851"/>
      <c r="BZ38" s="547">
        <f t="shared" si="39"/>
        <v>0</v>
      </c>
      <c r="CA38" s="854">
        <f>+(BY38/BW38)</f>
        <v>0</v>
      </c>
      <c r="CB38" s="547">
        <f t="shared" si="40"/>
        <v>0.25</v>
      </c>
      <c r="CC38" s="854">
        <f>+(BE38+AU38+BO38+BY38)/AO38</f>
        <v>0.16666662975785904</v>
      </c>
      <c r="CD38" s="547"/>
      <c r="CE38" s="546">
        <f t="shared" si="2"/>
        <v>1</v>
      </c>
      <c r="CF38" s="853">
        <f>IF(AND(AS38=0,AU38=0),"No Prog ni Ejec",IF(AS38=0,CONCATENATE("No Prog, Ejec=  ",AU38),AU38/AS38))</f>
        <v>0.66666651903143614</v>
      </c>
      <c r="CG38" s="546">
        <f t="shared" si="3"/>
        <v>0</v>
      </c>
      <c r="CH38" s="853">
        <f>IF(AND(BC38=0,BE38=0),"No Prog ni Ejec",IF(BC38=0,CONCATENATE("No Prog, Ejec=  ",BE38),BE38/BC38))</f>
        <v>0</v>
      </c>
      <c r="CI38" s="546">
        <f t="shared" si="4"/>
        <v>0</v>
      </c>
      <c r="CJ38" s="853">
        <f>IF(AND(BM38=0,BO38=0),"No Prog ni Ejec",IF(BM38=0,CONCATENATE("No Prog, Ejec=  ",BO38),BO38/BM38))</f>
        <v>0</v>
      </c>
      <c r="CK38" s="546">
        <f t="shared" si="5"/>
        <v>0</v>
      </c>
      <c r="CL38" s="853">
        <f>IF(AND(BW38=0,BY38=0),"No Prog ni Ejec",IF(BW38=0,CONCATENATE("No Prog, Ejec=  ",BY38),BY38/BW38))</f>
        <v>0</v>
      </c>
      <c r="CM38" s="157">
        <f t="shared" si="6"/>
        <v>0</v>
      </c>
      <c r="CW38" s="138">
        <v>6</v>
      </c>
    </row>
    <row r="39" spans="1:101" s="75" customFormat="1" ht="51" x14ac:dyDescent="0.2">
      <c r="A39" s="541">
        <v>11900</v>
      </c>
      <c r="B39" s="544" t="s">
        <v>125</v>
      </c>
      <c r="C39" s="544" t="s">
        <v>332</v>
      </c>
      <c r="D39" s="544"/>
      <c r="E39" s="544" t="s">
        <v>1108</v>
      </c>
      <c r="F39" s="544" t="s">
        <v>1108</v>
      </c>
      <c r="G39" s="544"/>
      <c r="H39" s="544"/>
      <c r="I39" s="544"/>
      <c r="J39" s="544"/>
      <c r="K39" s="544"/>
      <c r="L39" s="544"/>
      <c r="M39" s="544"/>
      <c r="N39" s="544"/>
      <c r="O39" s="544"/>
      <c r="P39" s="544"/>
      <c r="Q39" s="540" t="s">
        <v>206</v>
      </c>
      <c r="R39" s="540" t="s">
        <v>206</v>
      </c>
      <c r="S39" s="541" t="s">
        <v>126</v>
      </c>
      <c r="T39" s="544" t="s">
        <v>60</v>
      </c>
      <c r="U39" s="544" t="s">
        <v>206</v>
      </c>
      <c r="V39" s="544" t="s">
        <v>206</v>
      </c>
      <c r="W39" s="541" t="s">
        <v>1023</v>
      </c>
      <c r="X39" s="544" t="s">
        <v>473</v>
      </c>
      <c r="Y39" s="554" t="s">
        <v>51</v>
      </c>
      <c r="Z39" s="547">
        <v>1</v>
      </c>
      <c r="AA39" s="851"/>
      <c r="AB39" s="855"/>
      <c r="AC39" s="856"/>
      <c r="AD39" s="545">
        <v>1</v>
      </c>
      <c r="AE39" s="544" t="s">
        <v>17</v>
      </c>
      <c r="AF39" s="544" t="s">
        <v>28</v>
      </c>
      <c r="AG39" s="544" t="s">
        <v>206</v>
      </c>
      <c r="AH39" s="544" t="s">
        <v>678</v>
      </c>
      <c r="AI39" s="544" t="s">
        <v>1124</v>
      </c>
      <c r="AJ39" s="829"/>
      <c r="AK39" s="544" t="s">
        <v>474</v>
      </c>
      <c r="AL39" s="544" t="s">
        <v>206</v>
      </c>
      <c r="AM39" s="547">
        <v>1</v>
      </c>
      <c r="AN39" s="846"/>
      <c r="AO39" s="857"/>
      <c r="AP39" s="548" t="s">
        <v>46</v>
      </c>
      <c r="AQ39" s="547">
        <v>0.25</v>
      </c>
      <c r="AR39" s="846"/>
      <c r="AS39" s="857"/>
      <c r="AT39" s="663">
        <f>(899/899)*25%</f>
        <v>0.25</v>
      </c>
      <c r="AU39" s="851"/>
      <c r="AV39" s="543">
        <f t="shared" si="0"/>
        <v>1</v>
      </c>
      <c r="AW39" s="847"/>
      <c r="AX39" s="543">
        <f t="shared" si="1"/>
        <v>0.25</v>
      </c>
      <c r="AY39" s="847"/>
      <c r="AZ39" s="580" t="s">
        <v>1559</v>
      </c>
      <c r="BA39" s="547">
        <v>0.25</v>
      </c>
      <c r="BB39" s="846"/>
      <c r="BC39" s="857"/>
      <c r="BD39" s="73"/>
      <c r="BE39" s="860"/>
      <c r="BF39" s="543">
        <f t="shared" si="35"/>
        <v>0</v>
      </c>
      <c r="BG39" s="847"/>
      <c r="BH39" s="543">
        <f t="shared" si="36"/>
        <v>0.25</v>
      </c>
      <c r="BI39" s="847"/>
      <c r="BJ39" s="543"/>
      <c r="BK39" s="547">
        <v>0.25</v>
      </c>
      <c r="BL39" s="846"/>
      <c r="BM39" s="857"/>
      <c r="BN39" s="541"/>
      <c r="BO39" s="851"/>
      <c r="BP39" s="543">
        <f t="shared" si="37"/>
        <v>0</v>
      </c>
      <c r="BQ39" s="847"/>
      <c r="BR39" s="543">
        <f t="shared" si="38"/>
        <v>0.25</v>
      </c>
      <c r="BS39" s="847"/>
      <c r="BT39" s="543"/>
      <c r="BU39" s="547">
        <v>0.25</v>
      </c>
      <c r="BV39" s="846"/>
      <c r="BW39" s="857"/>
      <c r="BX39" s="541"/>
      <c r="BY39" s="851"/>
      <c r="BZ39" s="547">
        <f t="shared" si="39"/>
        <v>0</v>
      </c>
      <c r="CA39" s="854"/>
      <c r="CB39" s="547">
        <f t="shared" si="40"/>
        <v>0.25</v>
      </c>
      <c r="CC39" s="854"/>
      <c r="CD39" s="547"/>
      <c r="CE39" s="546">
        <f t="shared" si="2"/>
        <v>1</v>
      </c>
      <c r="CF39" s="853"/>
      <c r="CG39" s="546">
        <f t="shared" si="3"/>
        <v>0</v>
      </c>
      <c r="CH39" s="853"/>
      <c r="CI39" s="546">
        <f t="shared" si="4"/>
        <v>0</v>
      </c>
      <c r="CJ39" s="853"/>
      <c r="CK39" s="546">
        <f t="shared" si="5"/>
        <v>0</v>
      </c>
      <c r="CL39" s="853"/>
      <c r="CM39" s="157">
        <f t="shared" si="6"/>
        <v>0</v>
      </c>
      <c r="CW39" s="138">
        <v>6</v>
      </c>
    </row>
    <row r="40" spans="1:101" s="75" customFormat="1" ht="102" x14ac:dyDescent="0.2">
      <c r="A40" s="541">
        <v>11900</v>
      </c>
      <c r="B40" s="544" t="s">
        <v>125</v>
      </c>
      <c r="C40" s="544" t="s">
        <v>332</v>
      </c>
      <c r="D40" s="544"/>
      <c r="E40" s="544" t="s">
        <v>1108</v>
      </c>
      <c r="F40" s="544" t="s">
        <v>1108</v>
      </c>
      <c r="G40" s="544"/>
      <c r="H40" s="544"/>
      <c r="I40" s="544"/>
      <c r="J40" s="544"/>
      <c r="K40" s="544"/>
      <c r="L40" s="544"/>
      <c r="M40" s="544"/>
      <c r="N40" s="544"/>
      <c r="O40" s="544"/>
      <c r="P40" s="544"/>
      <c r="Q40" s="540" t="s">
        <v>206</v>
      </c>
      <c r="R40" s="540" t="s">
        <v>206</v>
      </c>
      <c r="S40" s="541" t="s">
        <v>126</v>
      </c>
      <c r="T40" s="544" t="s">
        <v>60</v>
      </c>
      <c r="U40" s="544" t="s">
        <v>206</v>
      </c>
      <c r="V40" s="544" t="s">
        <v>206</v>
      </c>
      <c r="W40" s="541" t="s">
        <v>1416</v>
      </c>
      <c r="X40" s="544" t="s">
        <v>485</v>
      </c>
      <c r="Y40" s="554" t="s">
        <v>51</v>
      </c>
      <c r="Z40" s="547">
        <v>1</v>
      </c>
      <c r="AA40" s="541" t="s">
        <v>700</v>
      </c>
      <c r="AB40" s="544" t="s">
        <v>483</v>
      </c>
      <c r="AC40" s="542">
        <v>272704248</v>
      </c>
      <c r="AD40" s="545">
        <v>1</v>
      </c>
      <c r="AE40" s="544" t="s">
        <v>17</v>
      </c>
      <c r="AF40" s="544" t="s">
        <v>28</v>
      </c>
      <c r="AG40" s="544" t="s">
        <v>206</v>
      </c>
      <c r="AH40" s="544" t="s">
        <v>678</v>
      </c>
      <c r="AI40" s="544" t="s">
        <v>1132</v>
      </c>
      <c r="AJ40" s="544" t="s">
        <v>1404</v>
      </c>
      <c r="AK40" s="544" t="s">
        <v>484</v>
      </c>
      <c r="AL40" s="544" t="s">
        <v>206</v>
      </c>
      <c r="AM40" s="545">
        <v>1</v>
      </c>
      <c r="AN40" s="544" t="str">
        <f t="shared" ref="AN40:AN51" si="41">+AB40</f>
        <v xml:space="preserve">Tramitar las acciones constitucionales y demás asuntos derivados de éstas, que se instauren contra la Administradora de los Recursos del Sistema General de Seguridad Social en Salud - ADRES o contra el entonces FOSYGA. </v>
      </c>
      <c r="AO40" s="550">
        <f t="shared" ref="AO40:AO51" si="42">+AC40</f>
        <v>272704248</v>
      </c>
      <c r="AP40" s="548" t="s">
        <v>46</v>
      </c>
      <c r="AQ40" s="547">
        <v>0.25</v>
      </c>
      <c r="AR40" s="544" t="str">
        <f>+AN40</f>
        <v xml:space="preserve">Tramitar las acciones constitucionales y demás asuntos derivados de éstas, que se instauren contra la Administradora de los Recursos del Sistema General de Seguridad Social en Salud - ADRES o contra el entonces FOSYGA. </v>
      </c>
      <c r="AS40" s="542">
        <f>+AO40/4</f>
        <v>68176062</v>
      </c>
      <c r="AT40" s="659">
        <f>(28975/30113)*(25/100)</f>
        <v>0.24055225317968984</v>
      </c>
      <c r="AU40" s="661">
        <v>36478906</v>
      </c>
      <c r="AV40" s="543">
        <f t="shared" si="0"/>
        <v>0.96220901271875936</v>
      </c>
      <c r="AW40" s="543">
        <f>+(AU40/AS40)</f>
        <v>0.53506912734267342</v>
      </c>
      <c r="AX40" s="543">
        <f t="shared" si="1"/>
        <v>0.24055225317968984</v>
      </c>
      <c r="AY40" s="543">
        <f>+(AU40/AO40)</f>
        <v>0.13376728183566836</v>
      </c>
      <c r="AZ40" s="601" t="s">
        <v>1560</v>
      </c>
      <c r="BA40" s="547">
        <v>0.25</v>
      </c>
      <c r="BB40" s="544" t="str">
        <f>+AN40</f>
        <v xml:space="preserve">Tramitar las acciones constitucionales y demás asuntos derivados de éstas, que se instauren contra la Administradora de los Recursos del Sistema General de Seguridad Social en Salud - ADRES o contra el entonces FOSYGA. </v>
      </c>
      <c r="BC40" s="542">
        <f>+AO40/4</f>
        <v>68176062</v>
      </c>
      <c r="BD40" s="73"/>
      <c r="BE40" s="73"/>
      <c r="BF40" s="543">
        <f t="shared" si="35"/>
        <v>0</v>
      </c>
      <c r="BG40" s="543">
        <f>+(BE40/BC40)</f>
        <v>0</v>
      </c>
      <c r="BH40" s="543">
        <f t="shared" si="36"/>
        <v>0.24055225317968984</v>
      </c>
      <c r="BI40" s="543">
        <f>+(BE40+AU40)/AO40</f>
        <v>0.13376728183566836</v>
      </c>
      <c r="BJ40" s="543"/>
      <c r="BK40" s="547">
        <v>0.25</v>
      </c>
      <c r="BL40" s="544" t="str">
        <f>+AN40</f>
        <v xml:space="preserve">Tramitar las acciones constitucionales y demás asuntos derivados de éstas, que se instauren contra la Administradora de los Recursos del Sistema General de Seguridad Social en Salud - ADRES o contra el entonces FOSYGA. </v>
      </c>
      <c r="BM40" s="542">
        <f>+AO40/4</f>
        <v>68176062</v>
      </c>
      <c r="BN40" s="541"/>
      <c r="BO40" s="541"/>
      <c r="BP40" s="543">
        <f t="shared" si="37"/>
        <v>0</v>
      </c>
      <c r="BQ40" s="543">
        <f>+(BO40/BM40)</f>
        <v>0</v>
      </c>
      <c r="BR40" s="543">
        <f t="shared" si="38"/>
        <v>0.24055225317968984</v>
      </c>
      <c r="BS40" s="543">
        <f>+(BE40+AU40+BO40)/AO40</f>
        <v>0.13376728183566836</v>
      </c>
      <c r="BT40" s="543"/>
      <c r="BU40" s="547">
        <v>0.25</v>
      </c>
      <c r="BV40" s="544" t="str">
        <f>+AN40</f>
        <v xml:space="preserve">Tramitar las acciones constitucionales y demás asuntos derivados de éstas, que se instauren contra la Administradora de los Recursos del Sistema General de Seguridad Social en Salud - ADRES o contra el entonces FOSYGA. </v>
      </c>
      <c r="BW40" s="542">
        <f>+AO40/4</f>
        <v>68176062</v>
      </c>
      <c r="BX40" s="541"/>
      <c r="BY40" s="541"/>
      <c r="BZ40" s="547">
        <f t="shared" si="39"/>
        <v>0</v>
      </c>
      <c r="CA40" s="547">
        <f>+(BY40/BW40)</f>
        <v>0</v>
      </c>
      <c r="CB40" s="547">
        <f t="shared" si="40"/>
        <v>0.24055225317968984</v>
      </c>
      <c r="CC40" s="547">
        <f>+(BE40+AU40+BO40+BY40)/AO40</f>
        <v>0.13376728183566836</v>
      </c>
      <c r="CD40" s="547"/>
      <c r="CE40" s="546">
        <f t="shared" si="2"/>
        <v>0.96220901271875936</v>
      </c>
      <c r="CF40" s="546">
        <f>IF(AND(AS40=0,AU40=0),"No Prog ni Ejec",IF(AS40=0,CONCATENATE("No Prog, Ejec=  ",AU40),AU40/AS40))</f>
        <v>0.53506912734267342</v>
      </c>
      <c r="CG40" s="546">
        <f t="shared" si="3"/>
        <v>0</v>
      </c>
      <c r="CH40" s="546">
        <f>IF(AND(BC40=0,BE40=0),"No Prog ni Ejec",IF(BC40=0,CONCATENATE("No Prog, Ejec=  ",BE40),BE40/BC40))</f>
        <v>0</v>
      </c>
      <c r="CI40" s="546">
        <f t="shared" si="4"/>
        <v>0</v>
      </c>
      <c r="CJ40" s="546">
        <f>IF(AND(BM40=0,BO40=0),"No Prog ni Ejec",IF(BM40=0,CONCATENATE("No Prog, Ejec=  ",BO40),BO40/BM40))</f>
        <v>0</v>
      </c>
      <c r="CK40" s="546">
        <f t="shared" si="5"/>
        <v>0</v>
      </c>
      <c r="CL40" s="546">
        <f>IF(AND(BW40=0,BY40=0),"No Prog ni Ejec",IF(BW40=0,CONCATENATE("No Prog, Ejec=  ",BY40),BY40/BW40))</f>
        <v>0</v>
      </c>
      <c r="CM40" s="157">
        <f t="shared" si="6"/>
        <v>0</v>
      </c>
      <c r="CW40" s="138">
        <v>6</v>
      </c>
    </row>
    <row r="41" spans="1:101" s="75" customFormat="1" ht="114.75" x14ac:dyDescent="0.2">
      <c r="A41" s="541">
        <v>11900</v>
      </c>
      <c r="B41" s="544" t="s">
        <v>125</v>
      </c>
      <c r="C41" s="544" t="s">
        <v>338</v>
      </c>
      <c r="D41" s="544" t="s">
        <v>1108</v>
      </c>
      <c r="E41" s="544"/>
      <c r="F41" s="544"/>
      <c r="G41" s="544"/>
      <c r="H41" s="544"/>
      <c r="I41" s="544"/>
      <c r="J41" s="544"/>
      <c r="K41" s="544"/>
      <c r="L41" s="544"/>
      <c r="M41" s="544"/>
      <c r="N41" s="544"/>
      <c r="O41" s="544"/>
      <c r="P41" s="544"/>
      <c r="Q41" s="544" t="s">
        <v>1230</v>
      </c>
      <c r="R41" s="544" t="s">
        <v>1237</v>
      </c>
      <c r="S41" s="541" t="s">
        <v>127</v>
      </c>
      <c r="T41" s="544" t="s">
        <v>94</v>
      </c>
      <c r="U41" s="544" t="s">
        <v>206</v>
      </c>
      <c r="V41" s="544" t="s">
        <v>206</v>
      </c>
      <c r="W41" s="541" t="s">
        <v>151</v>
      </c>
      <c r="X41" s="544" t="s">
        <v>1146</v>
      </c>
      <c r="Y41" s="554" t="s">
        <v>394</v>
      </c>
      <c r="Z41" s="66">
        <v>3</v>
      </c>
      <c r="AA41" s="541" t="s">
        <v>129</v>
      </c>
      <c r="AB41" s="544" t="s">
        <v>1145</v>
      </c>
      <c r="AC41" s="542">
        <v>0</v>
      </c>
      <c r="AD41" s="545">
        <v>1</v>
      </c>
      <c r="AE41" s="544" t="s">
        <v>17</v>
      </c>
      <c r="AF41" s="544" t="s">
        <v>297</v>
      </c>
      <c r="AG41" s="544" t="s">
        <v>206</v>
      </c>
      <c r="AH41" s="544" t="s">
        <v>678</v>
      </c>
      <c r="AI41" s="544" t="s">
        <v>1136</v>
      </c>
      <c r="AJ41" s="544" t="s">
        <v>1396</v>
      </c>
      <c r="AK41" s="544" t="s">
        <v>1147</v>
      </c>
      <c r="AL41" s="544" t="s">
        <v>206</v>
      </c>
      <c r="AM41" s="67">
        <v>3</v>
      </c>
      <c r="AN41" s="544" t="str">
        <f t="shared" si="41"/>
        <v>Realizar reuniones de autocontrol y seguimiento a los procesos que evidencien el monitoreo a los riesgos, indicadores, planes de mejoramiento, manuales y documentos asociados</v>
      </c>
      <c r="AO41" s="550">
        <f t="shared" si="42"/>
        <v>0</v>
      </c>
      <c r="AP41" s="548" t="s">
        <v>48</v>
      </c>
      <c r="AQ41" s="67">
        <v>0</v>
      </c>
      <c r="AR41" s="544" t="str">
        <f>+AN41</f>
        <v>Realizar reuniones de autocontrol y seguimiento a los procesos que evidencien el monitoreo a los riesgos, indicadores, planes de mejoramiento, manuales y documentos asociados</v>
      </c>
      <c r="AS41" s="542">
        <f>+AO41/4</f>
        <v>0</v>
      </c>
      <c r="AT41" s="661">
        <v>0</v>
      </c>
      <c r="AU41" s="661"/>
      <c r="AV41" s="543" t="e">
        <f t="shared" si="0"/>
        <v>#DIV/0!</v>
      </c>
      <c r="AW41" s="543" t="e">
        <f>+(AU41/AS41)</f>
        <v>#DIV/0!</v>
      </c>
      <c r="AX41" s="543">
        <f t="shared" si="1"/>
        <v>0</v>
      </c>
      <c r="AY41" s="543" t="e">
        <f>+(AU41/AO41)</f>
        <v>#DIV/0!</v>
      </c>
      <c r="AZ41" s="580" t="s">
        <v>1561</v>
      </c>
      <c r="BA41" s="67">
        <v>1</v>
      </c>
      <c r="BB41" s="544" t="str">
        <f>+AN41</f>
        <v>Realizar reuniones de autocontrol y seguimiento a los procesos que evidencien el monitoreo a los riesgos, indicadores, planes de mejoramiento, manuales y documentos asociados</v>
      </c>
      <c r="BC41" s="542">
        <f>+AO41/4</f>
        <v>0</v>
      </c>
      <c r="BD41" s="73"/>
      <c r="BE41" s="73"/>
      <c r="BF41" s="543">
        <f t="shared" si="35"/>
        <v>0</v>
      </c>
      <c r="BG41" s="543" t="e">
        <f>+(BE41/BC41)</f>
        <v>#DIV/0!</v>
      </c>
      <c r="BH41" s="543">
        <f t="shared" si="36"/>
        <v>0</v>
      </c>
      <c r="BI41" s="543" t="e">
        <f>+(BE41+AU41)/AO41</f>
        <v>#DIV/0!</v>
      </c>
      <c r="BJ41" s="543"/>
      <c r="BK41" s="67">
        <v>1</v>
      </c>
      <c r="BL41" s="544" t="str">
        <f>+AN41</f>
        <v>Realizar reuniones de autocontrol y seguimiento a los procesos que evidencien el monitoreo a los riesgos, indicadores, planes de mejoramiento, manuales y documentos asociados</v>
      </c>
      <c r="BM41" s="542">
        <f>+AO41/4</f>
        <v>0</v>
      </c>
      <c r="BN41" s="541"/>
      <c r="BO41" s="541"/>
      <c r="BP41" s="543">
        <f t="shared" si="37"/>
        <v>0</v>
      </c>
      <c r="BQ41" s="543" t="e">
        <f>+(BO41/BM41)</f>
        <v>#DIV/0!</v>
      </c>
      <c r="BR41" s="543">
        <f t="shared" si="38"/>
        <v>0</v>
      </c>
      <c r="BS41" s="543" t="e">
        <f>+(BE41+AU41+BO41)/AO41</f>
        <v>#DIV/0!</v>
      </c>
      <c r="BT41" s="543"/>
      <c r="BU41" s="67">
        <v>1</v>
      </c>
      <c r="BV41" s="544" t="str">
        <f>+AN41</f>
        <v>Realizar reuniones de autocontrol y seguimiento a los procesos que evidencien el monitoreo a los riesgos, indicadores, planes de mejoramiento, manuales y documentos asociados</v>
      </c>
      <c r="BW41" s="542">
        <f>+AO41/4</f>
        <v>0</v>
      </c>
      <c r="BX41" s="541"/>
      <c r="BY41" s="541"/>
      <c r="BZ41" s="547">
        <f t="shared" si="39"/>
        <v>0</v>
      </c>
      <c r="CA41" s="547" t="e">
        <f>+(BY41/BW41)</f>
        <v>#DIV/0!</v>
      </c>
      <c r="CB41" s="547">
        <f t="shared" si="40"/>
        <v>0</v>
      </c>
      <c r="CC41" s="547" t="e">
        <f>+(BE41+AU41+BO41+BY41)/AO41</f>
        <v>#DIV/0!</v>
      </c>
      <c r="CD41" s="547"/>
      <c r="CE41" s="546" t="str">
        <f t="shared" si="2"/>
        <v>No Prog ni Ejec</v>
      </c>
      <c r="CF41" s="546" t="str">
        <f>IF(AND(AS41=0,AU41=0),"No Prog ni Ejec",IF(AS41=0,CONCATENATE("No Prog, Ejec=  ",AU41),AU41/AS41))</f>
        <v>No Prog ni Ejec</v>
      </c>
      <c r="CG41" s="546">
        <f t="shared" si="3"/>
        <v>0</v>
      </c>
      <c r="CH41" s="546" t="str">
        <f>IF(AND(BC41=0,BE41=0),"No Prog ni Ejec",IF(BC41=0,CONCATENATE("No Prog, Ejec=  ",BE41),BE41/BC41))</f>
        <v>No Prog ni Ejec</v>
      </c>
      <c r="CI41" s="546">
        <f t="shared" si="4"/>
        <v>0</v>
      </c>
      <c r="CJ41" s="546" t="str">
        <f>IF(AND(BM41=0,BO41=0),"No Prog ni Ejec",IF(BM41=0,CONCATENATE("No Prog, Ejec=  ",BO41),BO41/BM41))</f>
        <v>No Prog ni Ejec</v>
      </c>
      <c r="CK41" s="546">
        <f t="shared" si="5"/>
        <v>0</v>
      </c>
      <c r="CL41" s="546" t="str">
        <f>IF(AND(BW41=0,BY41=0),"No Prog ni Ejec",IF(BW41=0,CONCATENATE("No Prog, Ejec=  ",BY41),BY41/BW41))</f>
        <v>No Prog ni Ejec</v>
      </c>
      <c r="CM41" s="157">
        <f t="shared" si="6"/>
        <v>0</v>
      </c>
      <c r="CW41" s="138"/>
    </row>
    <row r="42" spans="1:101" s="75" customFormat="1" ht="89.25" x14ac:dyDescent="0.2">
      <c r="A42" s="541">
        <v>11800</v>
      </c>
      <c r="B42" s="544" t="s">
        <v>3</v>
      </c>
      <c r="C42" s="544" t="s">
        <v>332</v>
      </c>
      <c r="D42" s="544"/>
      <c r="E42" s="544" t="s">
        <v>1108</v>
      </c>
      <c r="F42" s="544"/>
      <c r="G42" s="544"/>
      <c r="H42" s="544"/>
      <c r="I42" s="544"/>
      <c r="J42" s="544"/>
      <c r="K42" s="544"/>
      <c r="L42" s="544"/>
      <c r="M42" s="544"/>
      <c r="N42" s="544"/>
      <c r="O42" s="544"/>
      <c r="P42" s="544"/>
      <c r="Q42" s="540" t="s">
        <v>206</v>
      </c>
      <c r="R42" s="540" t="s">
        <v>206</v>
      </c>
      <c r="S42" s="541" t="s">
        <v>116</v>
      </c>
      <c r="T42" s="544" t="s">
        <v>94</v>
      </c>
      <c r="U42" s="544" t="s">
        <v>206</v>
      </c>
      <c r="V42" s="544" t="s">
        <v>206</v>
      </c>
      <c r="W42" s="541" t="s">
        <v>118</v>
      </c>
      <c r="X42" s="544" t="s">
        <v>380</v>
      </c>
      <c r="Y42" s="554" t="s">
        <v>411</v>
      </c>
      <c r="Z42" s="541">
        <v>4</v>
      </c>
      <c r="AA42" s="541" t="s">
        <v>117</v>
      </c>
      <c r="AB42" s="544" t="s">
        <v>11</v>
      </c>
      <c r="AC42" s="549">
        <v>0</v>
      </c>
      <c r="AD42" s="545">
        <v>1</v>
      </c>
      <c r="AE42" s="544" t="s">
        <v>17</v>
      </c>
      <c r="AF42" s="544" t="s">
        <v>26</v>
      </c>
      <c r="AG42" s="544" t="s">
        <v>206</v>
      </c>
      <c r="AH42" s="544" t="s">
        <v>678</v>
      </c>
      <c r="AI42" s="544" t="s">
        <v>29</v>
      </c>
      <c r="AJ42" s="544" t="s">
        <v>206</v>
      </c>
      <c r="AK42" s="544" t="s">
        <v>434</v>
      </c>
      <c r="AL42" s="544" t="s">
        <v>44</v>
      </c>
      <c r="AM42" s="541">
        <v>4</v>
      </c>
      <c r="AN42" s="544" t="str">
        <f t="shared" si="41"/>
        <v>Reportar el cumplimiento del Plan de Acción de la Dependencia</v>
      </c>
      <c r="AO42" s="550">
        <f t="shared" si="42"/>
        <v>0</v>
      </c>
      <c r="AP42" s="548" t="s">
        <v>48</v>
      </c>
      <c r="AQ42" s="66">
        <v>1</v>
      </c>
      <c r="AR42" s="544" t="str">
        <f t="shared" ref="AR42:AR51" si="43">+AN42</f>
        <v>Reportar el cumplimiento del Plan de Acción de la Dependencia</v>
      </c>
      <c r="AS42" s="542">
        <v>0</v>
      </c>
      <c r="AT42" s="592">
        <v>1</v>
      </c>
      <c r="AU42" s="608">
        <v>0</v>
      </c>
      <c r="AV42" s="543">
        <f t="shared" ref="AV42:AV48" si="44">+(AT42/AQ42)</f>
        <v>1</v>
      </c>
      <c r="AW42" s="543" t="e">
        <f t="shared" ref="AW42:AW48" si="45">+(AU42/AS42)</f>
        <v>#DIV/0!</v>
      </c>
      <c r="AX42" s="543">
        <f t="shared" ref="AX42:AX48" si="46">+(AT42/AM42)</f>
        <v>0.25</v>
      </c>
      <c r="AY42" s="543" t="e">
        <f t="shared" ref="AY42:AY48" si="47">+(AU42/AO42)</f>
        <v>#DIV/0!</v>
      </c>
      <c r="AZ42" s="629" t="s">
        <v>1492</v>
      </c>
      <c r="BA42" s="78">
        <v>1</v>
      </c>
      <c r="BB42" s="544" t="str">
        <f t="shared" ref="BB42:BB51" si="48">+AN42</f>
        <v>Reportar el cumplimiento del Plan de Acción de la Dependencia</v>
      </c>
      <c r="BC42" s="542">
        <v>0</v>
      </c>
      <c r="BD42" s="73"/>
      <c r="BE42" s="73"/>
      <c r="BF42" s="543">
        <f t="shared" ref="BF42:BF48" si="49">+(BD42/BA42)</f>
        <v>0</v>
      </c>
      <c r="BG42" s="543" t="e">
        <f t="shared" ref="BG42:BG48" si="50">+(BE42/BC42)</f>
        <v>#DIV/0!</v>
      </c>
      <c r="BH42" s="543">
        <f t="shared" ref="BH42:BH48" si="51">+(BD42+AT42)/AM42</f>
        <v>0.25</v>
      </c>
      <c r="BI42" s="543" t="e">
        <f t="shared" ref="BI42:BI48" si="52">+(BE42+AU42)/AO42</f>
        <v>#DIV/0!</v>
      </c>
      <c r="BJ42" s="543"/>
      <c r="BK42" s="78">
        <v>1</v>
      </c>
      <c r="BL42" s="544" t="str">
        <f t="shared" ref="BL42:BL51" si="53">+AN42</f>
        <v>Reportar el cumplimiento del Plan de Acción de la Dependencia</v>
      </c>
      <c r="BM42" s="542">
        <v>0</v>
      </c>
      <c r="BN42" s="541"/>
      <c r="BO42" s="541"/>
      <c r="BP42" s="543">
        <f t="shared" ref="BP42:BP48" si="54">+(BN42/BK42)</f>
        <v>0</v>
      </c>
      <c r="BQ42" s="543" t="e">
        <f t="shared" ref="BQ42:BQ48" si="55">+(BO42/BM42)</f>
        <v>#DIV/0!</v>
      </c>
      <c r="BR42" s="543">
        <f t="shared" ref="BR42:BR48" si="56">+(BD42+AT42+BN42)/AM42</f>
        <v>0.25</v>
      </c>
      <c r="BS42" s="543" t="e">
        <f t="shared" ref="BS42:BS48" si="57">+(BE42+AU42+BO42)/AO42</f>
        <v>#DIV/0!</v>
      </c>
      <c r="BT42" s="543"/>
      <c r="BU42" s="78">
        <v>1</v>
      </c>
      <c r="BV42" s="544" t="str">
        <f t="shared" ref="BV42:BV51" si="58">+AN42</f>
        <v>Reportar el cumplimiento del Plan de Acción de la Dependencia</v>
      </c>
      <c r="BW42" s="542">
        <v>0</v>
      </c>
      <c r="BX42" s="541"/>
      <c r="BY42" s="541"/>
      <c r="BZ42" s="547">
        <f t="shared" ref="BZ42:BZ48" si="59">+(BX42/BU42)</f>
        <v>0</v>
      </c>
      <c r="CA42" s="547" t="e">
        <f t="shared" ref="CA42:CA48" si="60">+(BY42/BW42)</f>
        <v>#DIV/0!</v>
      </c>
      <c r="CB42" s="547">
        <f t="shared" ref="CB42:CB48" si="61">+(BD42+AT42+BN42+BX42)/AM42</f>
        <v>0.25</v>
      </c>
      <c r="CC42" s="547" t="e">
        <f t="shared" ref="CC42:CC48" si="62">+(BE42+AU42+BO42+BY42)/AO42</f>
        <v>#DIV/0!</v>
      </c>
      <c r="CD42" s="547"/>
      <c r="CE42" s="546">
        <f t="shared" ref="CE42:CE48" si="63">IF(AND(AQ42=0,AT42=0),"No Prog ni Ejec",IF(AQ42=0,CONCATENATE("No Prog, Ejec=  ",AT42),AT42/AQ42))</f>
        <v>1</v>
      </c>
      <c r="CF42" s="546" t="str">
        <f t="shared" ref="CF42:CF48" si="64">IF(AND(AS42=0,AU42=0),"No Prog ni Ejec",IF(AS42=0,CONCATENATE("No Prog, Ejec=  ",AU42),AU42/AS42))</f>
        <v>No Prog ni Ejec</v>
      </c>
      <c r="CG42" s="546">
        <f t="shared" ref="CG42:CG48" si="65">IF(AND(BA42=0,BD42=0),"No Prog ni Ejec",IF(BA42=0,CONCATENATE("No Prog, Ejec=  ",BD42),BD42/BA42))</f>
        <v>0</v>
      </c>
      <c r="CH42" s="546" t="str">
        <f t="shared" ref="CH42:CH48" si="66">IF(AND(BC42=0,BE42=0),"No Prog ni Ejec",IF(BC42=0,CONCATENATE("No Prog, Ejec=  ",BE42),BE42/BC42))</f>
        <v>No Prog ni Ejec</v>
      </c>
      <c r="CI42" s="546">
        <f t="shared" ref="CI42:CI48" si="67">IF(AND(BK42=0,BN42=0),"No Prog ni Ejec",IF(BK42=0,CONCATENATE("No Prog, Ejec=  ",BN42),BN42/BK42))</f>
        <v>0</v>
      </c>
      <c r="CJ42" s="546" t="str">
        <f t="shared" ref="CJ42:CJ48" si="68">IF(AND(BM42=0,BO42=0),"No Prog ni Ejec",IF(BM42=0,CONCATENATE("No Prog, Ejec=  ",BO42),BO42/BM42))</f>
        <v>No Prog ni Ejec</v>
      </c>
      <c r="CK42" s="546">
        <f t="shared" ref="CK42:CK48" si="69">IF(AND(BU42=0,BX42=0),"No Prog ni Ejec",IF(BU42=0,CONCATENATE("No Prog, Ejec=  ",BX42),BX42/BU42))</f>
        <v>0</v>
      </c>
      <c r="CL42" s="546" t="str">
        <f t="shared" ref="CL42:CL48" si="70">IF(AND(BW42=0,BY42=0),"No Prog ni Ejec",IF(BW42=0,CONCATENATE("No Prog, Ejec=  ",BY42),BY42/BW42))</f>
        <v>No Prog ni Ejec</v>
      </c>
      <c r="CM42" s="157">
        <f t="shared" si="6"/>
        <v>0</v>
      </c>
      <c r="CW42" s="138">
        <v>6</v>
      </c>
    </row>
    <row r="43" spans="1:101" s="75" customFormat="1" ht="89.25" customHeight="1" x14ac:dyDescent="0.2">
      <c r="A43" s="541">
        <v>11800</v>
      </c>
      <c r="B43" s="544" t="s">
        <v>3</v>
      </c>
      <c r="C43" s="544" t="s">
        <v>332</v>
      </c>
      <c r="D43" s="544"/>
      <c r="E43" s="544" t="s">
        <v>1108</v>
      </c>
      <c r="F43" s="544"/>
      <c r="G43" s="544"/>
      <c r="H43" s="544"/>
      <c r="I43" s="544"/>
      <c r="J43" s="544"/>
      <c r="K43" s="544"/>
      <c r="L43" s="544"/>
      <c r="M43" s="544"/>
      <c r="N43" s="544"/>
      <c r="O43" s="544"/>
      <c r="P43" s="544"/>
      <c r="Q43" s="540" t="s">
        <v>206</v>
      </c>
      <c r="R43" s="540" t="s">
        <v>206</v>
      </c>
      <c r="S43" s="541" t="s">
        <v>116</v>
      </c>
      <c r="T43" s="544" t="s">
        <v>94</v>
      </c>
      <c r="U43" s="544" t="s">
        <v>206</v>
      </c>
      <c r="V43" s="544" t="s">
        <v>206</v>
      </c>
      <c r="W43" s="541" t="s">
        <v>1029</v>
      </c>
      <c r="X43" s="559" t="s">
        <v>965</v>
      </c>
      <c r="Y43" s="554" t="s">
        <v>411</v>
      </c>
      <c r="Z43" s="187">
        <v>13</v>
      </c>
      <c r="AA43" s="541" t="s">
        <v>1024</v>
      </c>
      <c r="AB43" s="544" t="s">
        <v>381</v>
      </c>
      <c r="AC43" s="549">
        <v>0</v>
      </c>
      <c r="AD43" s="545">
        <v>1</v>
      </c>
      <c r="AE43" s="544" t="s">
        <v>289</v>
      </c>
      <c r="AF43" s="544" t="s">
        <v>306</v>
      </c>
      <c r="AG43" s="544" t="s">
        <v>206</v>
      </c>
      <c r="AH43" s="544" t="s">
        <v>678</v>
      </c>
      <c r="AI43" s="544" t="s">
        <v>83</v>
      </c>
      <c r="AJ43" s="544" t="s">
        <v>1406</v>
      </c>
      <c r="AK43" s="559" t="s">
        <v>1223</v>
      </c>
      <c r="AL43" s="544" t="s">
        <v>44</v>
      </c>
      <c r="AM43" s="79">
        <v>13</v>
      </c>
      <c r="AN43" s="544" t="str">
        <f t="shared" si="41"/>
        <v>Realizar las auditorías internas y otros informes, de acuerdo a lo programado para la vigencia en el Plan Anual Auditorias</v>
      </c>
      <c r="AO43" s="550">
        <f t="shared" si="42"/>
        <v>0</v>
      </c>
      <c r="AP43" s="548" t="s">
        <v>48</v>
      </c>
      <c r="AQ43" s="78">
        <v>1</v>
      </c>
      <c r="AR43" s="544" t="str">
        <f t="shared" si="43"/>
        <v>Realizar las auditorías internas y otros informes, de acuerdo a lo programado para la vigencia en el Plan Anual Auditorias</v>
      </c>
      <c r="AS43" s="542">
        <v>0</v>
      </c>
      <c r="AT43" s="592">
        <v>0</v>
      </c>
      <c r="AU43" s="608">
        <v>0</v>
      </c>
      <c r="AV43" s="543">
        <f t="shared" si="44"/>
        <v>0</v>
      </c>
      <c r="AW43" s="543" t="e">
        <f t="shared" si="45"/>
        <v>#DIV/0!</v>
      </c>
      <c r="AX43" s="543">
        <f t="shared" si="46"/>
        <v>0</v>
      </c>
      <c r="AY43" s="543" t="e">
        <f t="shared" si="47"/>
        <v>#DIV/0!</v>
      </c>
      <c r="AZ43" s="629" t="s">
        <v>1493</v>
      </c>
      <c r="BA43" s="78">
        <v>4</v>
      </c>
      <c r="BB43" s="544" t="str">
        <f t="shared" si="48"/>
        <v>Realizar las auditorías internas y otros informes, de acuerdo a lo programado para la vigencia en el Plan Anual Auditorias</v>
      </c>
      <c r="BC43" s="542">
        <v>0</v>
      </c>
      <c r="BD43" s="73"/>
      <c r="BE43" s="73"/>
      <c r="BF43" s="543">
        <f t="shared" si="49"/>
        <v>0</v>
      </c>
      <c r="BG43" s="543" t="e">
        <f t="shared" si="50"/>
        <v>#DIV/0!</v>
      </c>
      <c r="BH43" s="543">
        <f t="shared" si="51"/>
        <v>0</v>
      </c>
      <c r="BI43" s="543" t="e">
        <f t="shared" si="52"/>
        <v>#DIV/0!</v>
      </c>
      <c r="BJ43" s="543"/>
      <c r="BK43" s="78">
        <v>4</v>
      </c>
      <c r="BL43" s="544" t="str">
        <f t="shared" si="53"/>
        <v>Realizar las auditorías internas y otros informes, de acuerdo a lo programado para la vigencia en el Plan Anual Auditorias</v>
      </c>
      <c r="BM43" s="542">
        <v>0</v>
      </c>
      <c r="BN43" s="541"/>
      <c r="BO43" s="541"/>
      <c r="BP43" s="543">
        <f t="shared" si="54"/>
        <v>0</v>
      </c>
      <c r="BQ43" s="543" t="e">
        <f t="shared" si="55"/>
        <v>#DIV/0!</v>
      </c>
      <c r="BR43" s="543">
        <f t="shared" si="56"/>
        <v>0</v>
      </c>
      <c r="BS43" s="543" t="e">
        <f t="shared" si="57"/>
        <v>#DIV/0!</v>
      </c>
      <c r="BT43" s="543"/>
      <c r="BU43" s="78">
        <v>4</v>
      </c>
      <c r="BV43" s="544" t="str">
        <f t="shared" si="58"/>
        <v>Realizar las auditorías internas y otros informes, de acuerdo a lo programado para la vigencia en el Plan Anual Auditorias</v>
      </c>
      <c r="BW43" s="542">
        <v>0</v>
      </c>
      <c r="BX43" s="541"/>
      <c r="BY43" s="541"/>
      <c r="BZ43" s="547">
        <f t="shared" si="59"/>
        <v>0</v>
      </c>
      <c r="CA43" s="547" t="e">
        <f t="shared" si="60"/>
        <v>#DIV/0!</v>
      </c>
      <c r="CB43" s="547">
        <f t="shared" si="61"/>
        <v>0</v>
      </c>
      <c r="CC43" s="547" t="e">
        <f t="shared" si="62"/>
        <v>#DIV/0!</v>
      </c>
      <c r="CD43" s="547"/>
      <c r="CE43" s="546">
        <f t="shared" si="63"/>
        <v>0</v>
      </c>
      <c r="CF43" s="546" t="str">
        <f t="shared" si="64"/>
        <v>No Prog ni Ejec</v>
      </c>
      <c r="CG43" s="546">
        <f t="shared" si="65"/>
        <v>0</v>
      </c>
      <c r="CH43" s="546" t="str">
        <f t="shared" si="66"/>
        <v>No Prog ni Ejec</v>
      </c>
      <c r="CI43" s="546">
        <f t="shared" si="67"/>
        <v>0</v>
      </c>
      <c r="CJ43" s="546" t="str">
        <f t="shared" si="68"/>
        <v>No Prog ni Ejec</v>
      </c>
      <c r="CK43" s="546">
        <f t="shared" si="69"/>
        <v>0</v>
      </c>
      <c r="CL43" s="546" t="str">
        <f t="shared" si="70"/>
        <v>No Prog ni Ejec</v>
      </c>
      <c r="CM43" s="157">
        <f t="shared" si="6"/>
        <v>0</v>
      </c>
      <c r="CW43" s="138">
        <v>6</v>
      </c>
    </row>
    <row r="44" spans="1:101" s="75" customFormat="1" ht="255" x14ac:dyDescent="0.2">
      <c r="A44" s="541">
        <v>11800</v>
      </c>
      <c r="B44" s="544" t="s">
        <v>3</v>
      </c>
      <c r="C44" s="544" t="s">
        <v>332</v>
      </c>
      <c r="D44" s="544"/>
      <c r="E44" s="544" t="s">
        <v>1108</v>
      </c>
      <c r="F44" s="544"/>
      <c r="G44" s="544"/>
      <c r="H44" s="544"/>
      <c r="I44" s="544"/>
      <c r="J44" s="544"/>
      <c r="K44" s="544"/>
      <c r="L44" s="544"/>
      <c r="M44" s="544"/>
      <c r="N44" s="544"/>
      <c r="O44" s="544"/>
      <c r="P44" s="544"/>
      <c r="Q44" s="540" t="s">
        <v>206</v>
      </c>
      <c r="R44" s="540" t="s">
        <v>206</v>
      </c>
      <c r="S44" s="541" t="s">
        <v>116</v>
      </c>
      <c r="T44" s="544" t="s">
        <v>94</v>
      </c>
      <c r="U44" s="544" t="s">
        <v>206</v>
      </c>
      <c r="V44" s="544" t="s">
        <v>206</v>
      </c>
      <c r="W44" s="541" t="s">
        <v>1030</v>
      </c>
      <c r="X44" s="559" t="s">
        <v>382</v>
      </c>
      <c r="Y44" s="554" t="s">
        <v>411</v>
      </c>
      <c r="Z44" s="187">
        <v>20</v>
      </c>
      <c r="AA44" s="541" t="s">
        <v>1025</v>
      </c>
      <c r="AB44" s="544" t="s">
        <v>383</v>
      </c>
      <c r="AC44" s="549">
        <v>0</v>
      </c>
      <c r="AD44" s="545">
        <v>1</v>
      </c>
      <c r="AE44" s="544" t="s">
        <v>19</v>
      </c>
      <c r="AF44" s="544" t="s">
        <v>25</v>
      </c>
      <c r="AG44" s="544" t="s">
        <v>206</v>
      </c>
      <c r="AH44" s="544" t="s">
        <v>678</v>
      </c>
      <c r="AI44" s="544" t="s">
        <v>83</v>
      </c>
      <c r="AJ44" s="544" t="s">
        <v>1406</v>
      </c>
      <c r="AK44" s="559" t="s">
        <v>1224</v>
      </c>
      <c r="AL44" s="544" t="s">
        <v>44</v>
      </c>
      <c r="AM44" s="79">
        <v>20</v>
      </c>
      <c r="AN44" s="544" t="str">
        <f t="shared" si="41"/>
        <v>Dar respuesta a los Requerimientos Legales Internos en el marco de la normatividad vigente</v>
      </c>
      <c r="AO44" s="550">
        <f t="shared" si="42"/>
        <v>0</v>
      </c>
      <c r="AP44" s="548" t="s">
        <v>48</v>
      </c>
      <c r="AQ44" s="79">
        <v>5</v>
      </c>
      <c r="AR44" s="544" t="str">
        <f t="shared" si="43"/>
        <v>Dar respuesta a los Requerimientos Legales Internos en el marco de la normatividad vigente</v>
      </c>
      <c r="AS44" s="542">
        <v>0</v>
      </c>
      <c r="AT44" s="592">
        <v>5</v>
      </c>
      <c r="AU44" s="608">
        <v>0</v>
      </c>
      <c r="AV44" s="543">
        <f t="shared" si="44"/>
        <v>1</v>
      </c>
      <c r="AW44" s="543" t="e">
        <f t="shared" si="45"/>
        <v>#DIV/0!</v>
      </c>
      <c r="AX44" s="543">
        <f t="shared" si="46"/>
        <v>0.25</v>
      </c>
      <c r="AY44" s="543" t="e">
        <f t="shared" si="47"/>
        <v>#DIV/0!</v>
      </c>
      <c r="AZ44" s="629" t="s">
        <v>1494</v>
      </c>
      <c r="BA44" s="79">
        <v>5</v>
      </c>
      <c r="BB44" s="544" t="str">
        <f t="shared" si="48"/>
        <v>Dar respuesta a los Requerimientos Legales Internos en el marco de la normatividad vigente</v>
      </c>
      <c r="BC44" s="542">
        <v>0</v>
      </c>
      <c r="BD44" s="73"/>
      <c r="BE44" s="73"/>
      <c r="BF44" s="543">
        <f t="shared" si="49"/>
        <v>0</v>
      </c>
      <c r="BG44" s="543" t="e">
        <f t="shared" si="50"/>
        <v>#DIV/0!</v>
      </c>
      <c r="BH44" s="543">
        <f t="shared" si="51"/>
        <v>0.25</v>
      </c>
      <c r="BI44" s="543" t="e">
        <f t="shared" si="52"/>
        <v>#DIV/0!</v>
      </c>
      <c r="BJ44" s="543"/>
      <c r="BK44" s="79">
        <v>5</v>
      </c>
      <c r="BL44" s="544" t="str">
        <f t="shared" si="53"/>
        <v>Dar respuesta a los Requerimientos Legales Internos en el marco de la normatividad vigente</v>
      </c>
      <c r="BM44" s="542">
        <v>0</v>
      </c>
      <c r="BN44" s="541"/>
      <c r="BO44" s="541"/>
      <c r="BP44" s="543">
        <f t="shared" si="54"/>
        <v>0</v>
      </c>
      <c r="BQ44" s="543" t="e">
        <f t="shared" si="55"/>
        <v>#DIV/0!</v>
      </c>
      <c r="BR44" s="543">
        <f t="shared" si="56"/>
        <v>0.25</v>
      </c>
      <c r="BS44" s="543" t="e">
        <f t="shared" si="57"/>
        <v>#DIV/0!</v>
      </c>
      <c r="BT44" s="543"/>
      <c r="BU44" s="79">
        <v>5</v>
      </c>
      <c r="BV44" s="544" t="str">
        <f t="shared" si="58"/>
        <v>Dar respuesta a los Requerimientos Legales Internos en el marco de la normatividad vigente</v>
      </c>
      <c r="BW44" s="542">
        <v>0</v>
      </c>
      <c r="BX44" s="541"/>
      <c r="BY44" s="541"/>
      <c r="BZ44" s="547">
        <f t="shared" si="59"/>
        <v>0</v>
      </c>
      <c r="CA44" s="547" t="e">
        <f t="shared" si="60"/>
        <v>#DIV/0!</v>
      </c>
      <c r="CB44" s="547">
        <f t="shared" si="61"/>
        <v>0.25</v>
      </c>
      <c r="CC44" s="547" t="e">
        <f t="shared" si="62"/>
        <v>#DIV/0!</v>
      </c>
      <c r="CD44" s="547"/>
      <c r="CE44" s="546">
        <f t="shared" si="63"/>
        <v>1</v>
      </c>
      <c r="CF44" s="546" t="str">
        <f t="shared" si="64"/>
        <v>No Prog ni Ejec</v>
      </c>
      <c r="CG44" s="546">
        <f t="shared" si="65"/>
        <v>0</v>
      </c>
      <c r="CH44" s="546" t="str">
        <f t="shared" si="66"/>
        <v>No Prog ni Ejec</v>
      </c>
      <c r="CI44" s="546">
        <f t="shared" si="67"/>
        <v>0</v>
      </c>
      <c r="CJ44" s="546" t="str">
        <f t="shared" si="68"/>
        <v>No Prog ni Ejec</v>
      </c>
      <c r="CK44" s="546">
        <f t="shared" si="69"/>
        <v>0</v>
      </c>
      <c r="CL44" s="546" t="str">
        <f t="shared" si="70"/>
        <v>No Prog ni Ejec</v>
      </c>
      <c r="CM44" s="157">
        <f t="shared" si="6"/>
        <v>0</v>
      </c>
      <c r="CW44" s="138">
        <v>6</v>
      </c>
    </row>
    <row r="45" spans="1:101" s="75" customFormat="1" ht="382.5" x14ac:dyDescent="0.2">
      <c r="A45" s="541">
        <v>11800</v>
      </c>
      <c r="B45" s="544" t="s">
        <v>3</v>
      </c>
      <c r="C45" s="544" t="s">
        <v>332</v>
      </c>
      <c r="D45" s="544"/>
      <c r="E45" s="544" t="s">
        <v>1108</v>
      </c>
      <c r="F45" s="544"/>
      <c r="G45" s="544"/>
      <c r="H45" s="544"/>
      <c r="I45" s="544"/>
      <c r="J45" s="544"/>
      <c r="K45" s="544"/>
      <c r="L45" s="544"/>
      <c r="M45" s="544"/>
      <c r="N45" s="544"/>
      <c r="O45" s="544"/>
      <c r="P45" s="544"/>
      <c r="Q45" s="540" t="s">
        <v>206</v>
      </c>
      <c r="R45" s="540" t="s">
        <v>206</v>
      </c>
      <c r="S45" s="541" t="s">
        <v>116</v>
      </c>
      <c r="T45" s="544" t="s">
        <v>94</v>
      </c>
      <c r="U45" s="544" t="s">
        <v>206</v>
      </c>
      <c r="V45" s="544" t="s">
        <v>206</v>
      </c>
      <c r="W45" s="541" t="s">
        <v>1031</v>
      </c>
      <c r="X45" s="559" t="s">
        <v>384</v>
      </c>
      <c r="Y45" s="554" t="s">
        <v>411</v>
      </c>
      <c r="Z45" s="187">
        <v>18</v>
      </c>
      <c r="AA45" s="541" t="s">
        <v>1026</v>
      </c>
      <c r="AB45" s="544" t="s">
        <v>387</v>
      </c>
      <c r="AC45" s="542">
        <v>0</v>
      </c>
      <c r="AD45" s="545">
        <v>1</v>
      </c>
      <c r="AE45" s="544" t="s">
        <v>19</v>
      </c>
      <c r="AF45" s="544" t="s">
        <v>25</v>
      </c>
      <c r="AG45" s="544" t="s">
        <v>206</v>
      </c>
      <c r="AH45" s="544" t="s">
        <v>678</v>
      </c>
      <c r="AI45" s="544" t="s">
        <v>83</v>
      </c>
      <c r="AJ45" s="544" t="s">
        <v>1406</v>
      </c>
      <c r="AK45" s="559" t="s">
        <v>1225</v>
      </c>
      <c r="AL45" s="544" t="s">
        <v>44</v>
      </c>
      <c r="AM45" s="79">
        <v>18</v>
      </c>
      <c r="AN45" s="544" t="str">
        <f t="shared" si="41"/>
        <v>Dar respuesta a los Requerimientos Legales Externos en el marco de la normatividad vigente</v>
      </c>
      <c r="AO45" s="550">
        <f t="shared" si="42"/>
        <v>0</v>
      </c>
      <c r="AP45" s="548" t="s">
        <v>48</v>
      </c>
      <c r="AQ45" s="79">
        <v>8</v>
      </c>
      <c r="AR45" s="544" t="str">
        <f t="shared" si="43"/>
        <v>Dar respuesta a los Requerimientos Legales Externos en el marco de la normatividad vigente</v>
      </c>
      <c r="AS45" s="542">
        <v>0</v>
      </c>
      <c r="AT45" s="592">
        <v>8</v>
      </c>
      <c r="AU45" s="608">
        <v>0</v>
      </c>
      <c r="AV45" s="543">
        <f t="shared" si="44"/>
        <v>1</v>
      </c>
      <c r="AW45" s="543" t="e">
        <f t="shared" si="45"/>
        <v>#DIV/0!</v>
      </c>
      <c r="AX45" s="543">
        <f>+(AT45/AM45)</f>
        <v>0.44444444444444442</v>
      </c>
      <c r="AY45" s="543" t="e">
        <f t="shared" si="47"/>
        <v>#DIV/0!</v>
      </c>
      <c r="AZ45" s="629" t="s">
        <v>1495</v>
      </c>
      <c r="BA45" s="79">
        <v>4</v>
      </c>
      <c r="BB45" s="544" t="str">
        <f t="shared" si="48"/>
        <v>Dar respuesta a los Requerimientos Legales Externos en el marco de la normatividad vigente</v>
      </c>
      <c r="BC45" s="542">
        <v>0</v>
      </c>
      <c r="BD45" s="73"/>
      <c r="BE45" s="73"/>
      <c r="BF45" s="543">
        <f t="shared" si="49"/>
        <v>0</v>
      </c>
      <c r="BG45" s="543" t="e">
        <f t="shared" si="50"/>
        <v>#DIV/0!</v>
      </c>
      <c r="BH45" s="543">
        <f t="shared" si="51"/>
        <v>0.44444444444444442</v>
      </c>
      <c r="BI45" s="543" t="e">
        <f t="shared" si="52"/>
        <v>#DIV/0!</v>
      </c>
      <c r="BJ45" s="543"/>
      <c r="BK45" s="79">
        <v>5</v>
      </c>
      <c r="BL45" s="544" t="str">
        <f t="shared" si="53"/>
        <v>Dar respuesta a los Requerimientos Legales Externos en el marco de la normatividad vigente</v>
      </c>
      <c r="BM45" s="542">
        <v>0</v>
      </c>
      <c r="BN45" s="541"/>
      <c r="BO45" s="541"/>
      <c r="BP45" s="543">
        <f t="shared" si="54"/>
        <v>0</v>
      </c>
      <c r="BQ45" s="543" t="e">
        <f t="shared" si="55"/>
        <v>#DIV/0!</v>
      </c>
      <c r="BR45" s="543">
        <f t="shared" si="56"/>
        <v>0.44444444444444442</v>
      </c>
      <c r="BS45" s="543" t="e">
        <f t="shared" si="57"/>
        <v>#DIV/0!</v>
      </c>
      <c r="BT45" s="543"/>
      <c r="BU45" s="79">
        <v>1</v>
      </c>
      <c r="BV45" s="544" t="str">
        <f t="shared" si="58"/>
        <v>Dar respuesta a los Requerimientos Legales Externos en el marco de la normatividad vigente</v>
      </c>
      <c r="BW45" s="542">
        <v>0</v>
      </c>
      <c r="BX45" s="541"/>
      <c r="BY45" s="541"/>
      <c r="BZ45" s="547">
        <f t="shared" si="59"/>
        <v>0</v>
      </c>
      <c r="CA45" s="547" t="e">
        <f t="shared" si="60"/>
        <v>#DIV/0!</v>
      </c>
      <c r="CB45" s="547">
        <f t="shared" si="61"/>
        <v>0.44444444444444442</v>
      </c>
      <c r="CC45" s="547" t="e">
        <f t="shared" si="62"/>
        <v>#DIV/0!</v>
      </c>
      <c r="CD45" s="547"/>
      <c r="CE45" s="546">
        <f t="shared" si="63"/>
        <v>1</v>
      </c>
      <c r="CF45" s="546" t="str">
        <f t="shared" si="64"/>
        <v>No Prog ni Ejec</v>
      </c>
      <c r="CG45" s="546">
        <f t="shared" si="65"/>
        <v>0</v>
      </c>
      <c r="CH45" s="546" t="str">
        <f t="shared" si="66"/>
        <v>No Prog ni Ejec</v>
      </c>
      <c r="CI45" s="546">
        <f t="shared" si="67"/>
        <v>0</v>
      </c>
      <c r="CJ45" s="546" t="str">
        <f t="shared" si="68"/>
        <v>No Prog ni Ejec</v>
      </c>
      <c r="CK45" s="546">
        <f t="shared" si="69"/>
        <v>0</v>
      </c>
      <c r="CL45" s="546" t="str">
        <f t="shared" si="70"/>
        <v>No Prog ni Ejec</v>
      </c>
      <c r="CM45" s="157">
        <f t="shared" si="6"/>
        <v>0</v>
      </c>
      <c r="CW45" s="138">
        <v>6</v>
      </c>
    </row>
    <row r="46" spans="1:101" s="75" customFormat="1" ht="127.5" x14ac:dyDescent="0.2">
      <c r="A46" s="541">
        <v>11800</v>
      </c>
      <c r="B46" s="544" t="s">
        <v>3</v>
      </c>
      <c r="C46" s="544" t="s">
        <v>332</v>
      </c>
      <c r="D46" s="544"/>
      <c r="E46" s="544" t="s">
        <v>1108</v>
      </c>
      <c r="F46" s="544"/>
      <c r="G46" s="544"/>
      <c r="H46" s="544"/>
      <c r="I46" s="544"/>
      <c r="J46" s="544"/>
      <c r="K46" s="544"/>
      <c r="L46" s="544"/>
      <c r="M46" s="544"/>
      <c r="N46" s="544"/>
      <c r="O46" s="544"/>
      <c r="P46" s="544"/>
      <c r="Q46" s="540" t="s">
        <v>206</v>
      </c>
      <c r="R46" s="540" t="s">
        <v>206</v>
      </c>
      <c r="S46" s="541" t="s">
        <v>116</v>
      </c>
      <c r="T46" s="544" t="s">
        <v>94</v>
      </c>
      <c r="U46" s="544" t="s">
        <v>206</v>
      </c>
      <c r="V46" s="544" t="s">
        <v>206</v>
      </c>
      <c r="W46" s="541" t="s">
        <v>1032</v>
      </c>
      <c r="X46" s="559" t="s">
        <v>385</v>
      </c>
      <c r="Y46" s="554" t="s">
        <v>411</v>
      </c>
      <c r="Z46" s="79">
        <v>2</v>
      </c>
      <c r="AA46" s="541" t="s">
        <v>1027</v>
      </c>
      <c r="AB46" s="544" t="s">
        <v>119</v>
      </c>
      <c r="AC46" s="542">
        <v>0</v>
      </c>
      <c r="AD46" s="545">
        <v>1</v>
      </c>
      <c r="AE46" s="544" t="s">
        <v>289</v>
      </c>
      <c r="AF46" s="544" t="s">
        <v>306</v>
      </c>
      <c r="AG46" s="544" t="s">
        <v>206</v>
      </c>
      <c r="AH46" s="544" t="s">
        <v>678</v>
      </c>
      <c r="AI46" s="544" t="s">
        <v>83</v>
      </c>
      <c r="AJ46" s="544" t="s">
        <v>1407</v>
      </c>
      <c r="AK46" s="559" t="s">
        <v>1226</v>
      </c>
      <c r="AL46" s="544" t="s">
        <v>44</v>
      </c>
      <c r="AM46" s="188">
        <v>2</v>
      </c>
      <c r="AN46" s="544" t="str">
        <f t="shared" si="41"/>
        <v>Medir el grado de cumplimiento de las acciones que hacen parte del Plan de mejoramiento institucional derivadas de la Auditoría de la CGR.</v>
      </c>
      <c r="AO46" s="550">
        <f t="shared" si="42"/>
        <v>0</v>
      </c>
      <c r="AP46" s="548" t="s">
        <v>48</v>
      </c>
      <c r="AQ46" s="79">
        <v>1</v>
      </c>
      <c r="AR46" s="544" t="str">
        <f t="shared" si="43"/>
        <v>Medir el grado de cumplimiento de las acciones que hacen parte del Plan de mejoramiento institucional derivadas de la Auditoría de la CGR.</v>
      </c>
      <c r="AS46" s="542">
        <v>0</v>
      </c>
      <c r="AT46" s="592">
        <v>1</v>
      </c>
      <c r="AU46" s="608">
        <v>0</v>
      </c>
      <c r="AV46" s="543">
        <f t="shared" si="44"/>
        <v>1</v>
      </c>
      <c r="AW46" s="543" t="e">
        <f t="shared" si="45"/>
        <v>#DIV/0!</v>
      </c>
      <c r="AX46" s="543">
        <f t="shared" si="46"/>
        <v>0.5</v>
      </c>
      <c r="AY46" s="543" t="e">
        <f t="shared" si="47"/>
        <v>#DIV/0!</v>
      </c>
      <c r="AZ46" s="629" t="s">
        <v>1496</v>
      </c>
      <c r="BA46" s="187">
        <v>0</v>
      </c>
      <c r="BB46" s="544" t="str">
        <f t="shared" si="48"/>
        <v>Medir el grado de cumplimiento de las acciones que hacen parte del Plan de mejoramiento institucional derivadas de la Auditoría de la CGR.</v>
      </c>
      <c r="BC46" s="542">
        <v>0</v>
      </c>
      <c r="BD46" s="73"/>
      <c r="BE46" s="73"/>
      <c r="BF46" s="543" t="e">
        <f t="shared" si="49"/>
        <v>#DIV/0!</v>
      </c>
      <c r="BG46" s="543" t="e">
        <f t="shared" si="50"/>
        <v>#DIV/0!</v>
      </c>
      <c r="BH46" s="543">
        <f t="shared" si="51"/>
        <v>0.5</v>
      </c>
      <c r="BI46" s="543" t="e">
        <f t="shared" si="52"/>
        <v>#DIV/0!</v>
      </c>
      <c r="BJ46" s="543"/>
      <c r="BK46" s="79">
        <v>1</v>
      </c>
      <c r="BL46" s="544" t="str">
        <f t="shared" si="53"/>
        <v>Medir el grado de cumplimiento de las acciones que hacen parte del Plan de mejoramiento institucional derivadas de la Auditoría de la CGR.</v>
      </c>
      <c r="BM46" s="542">
        <v>0</v>
      </c>
      <c r="BN46" s="541"/>
      <c r="BO46" s="541"/>
      <c r="BP46" s="543">
        <f t="shared" si="54"/>
        <v>0</v>
      </c>
      <c r="BQ46" s="543" t="e">
        <f t="shared" si="55"/>
        <v>#DIV/0!</v>
      </c>
      <c r="BR46" s="543">
        <f t="shared" si="56"/>
        <v>0.5</v>
      </c>
      <c r="BS46" s="543" t="e">
        <f t="shared" si="57"/>
        <v>#DIV/0!</v>
      </c>
      <c r="BT46" s="543"/>
      <c r="BU46" s="187">
        <v>0</v>
      </c>
      <c r="BV46" s="544" t="str">
        <f t="shared" si="58"/>
        <v>Medir el grado de cumplimiento de las acciones que hacen parte del Plan de mejoramiento institucional derivadas de la Auditoría de la CGR.</v>
      </c>
      <c r="BW46" s="542">
        <v>0</v>
      </c>
      <c r="BX46" s="541"/>
      <c r="BY46" s="541"/>
      <c r="BZ46" s="547" t="e">
        <f t="shared" si="59"/>
        <v>#DIV/0!</v>
      </c>
      <c r="CA46" s="547" t="e">
        <f t="shared" si="60"/>
        <v>#DIV/0!</v>
      </c>
      <c r="CB46" s="547">
        <f t="shared" si="61"/>
        <v>0.5</v>
      </c>
      <c r="CC46" s="547" t="e">
        <f t="shared" si="62"/>
        <v>#DIV/0!</v>
      </c>
      <c r="CD46" s="547"/>
      <c r="CE46" s="546">
        <f t="shared" si="63"/>
        <v>1</v>
      </c>
      <c r="CF46" s="546" t="str">
        <f t="shared" si="64"/>
        <v>No Prog ni Ejec</v>
      </c>
      <c r="CG46" s="546" t="str">
        <f t="shared" si="65"/>
        <v>No Prog ni Ejec</v>
      </c>
      <c r="CH46" s="546" t="str">
        <f t="shared" si="66"/>
        <v>No Prog ni Ejec</v>
      </c>
      <c r="CI46" s="546">
        <f t="shared" si="67"/>
        <v>0</v>
      </c>
      <c r="CJ46" s="546" t="str">
        <f t="shared" si="68"/>
        <v>No Prog ni Ejec</v>
      </c>
      <c r="CK46" s="546" t="str">
        <f t="shared" si="69"/>
        <v>No Prog ni Ejec</v>
      </c>
      <c r="CL46" s="546" t="str">
        <f t="shared" si="70"/>
        <v>No Prog ni Ejec</v>
      </c>
      <c r="CM46" s="157">
        <f t="shared" si="6"/>
        <v>0</v>
      </c>
      <c r="CW46" s="138">
        <v>6</v>
      </c>
    </row>
    <row r="47" spans="1:101" s="75" customFormat="1" ht="216.75" x14ac:dyDescent="0.2">
      <c r="A47" s="541">
        <v>11800</v>
      </c>
      <c r="B47" s="544" t="s">
        <v>3</v>
      </c>
      <c r="C47" s="544" t="s">
        <v>332</v>
      </c>
      <c r="D47" s="544"/>
      <c r="E47" s="544" t="s">
        <v>1108</v>
      </c>
      <c r="F47" s="544"/>
      <c r="G47" s="544"/>
      <c r="H47" s="544"/>
      <c r="I47" s="544"/>
      <c r="J47" s="544"/>
      <c r="K47" s="544"/>
      <c r="L47" s="544"/>
      <c r="M47" s="544"/>
      <c r="N47" s="544"/>
      <c r="O47" s="544"/>
      <c r="P47" s="544"/>
      <c r="Q47" s="540" t="s">
        <v>206</v>
      </c>
      <c r="R47" s="540" t="s">
        <v>206</v>
      </c>
      <c r="S47" s="541" t="s">
        <v>116</v>
      </c>
      <c r="T47" s="544" t="s">
        <v>94</v>
      </c>
      <c r="U47" s="544" t="s">
        <v>206</v>
      </c>
      <c r="V47" s="544" t="s">
        <v>206</v>
      </c>
      <c r="W47" s="541" t="s">
        <v>1033</v>
      </c>
      <c r="X47" s="559" t="s">
        <v>386</v>
      </c>
      <c r="Y47" s="554" t="s">
        <v>411</v>
      </c>
      <c r="Z47" s="79">
        <v>12</v>
      </c>
      <c r="AA47" s="541" t="s">
        <v>1028</v>
      </c>
      <c r="AB47" s="544" t="s">
        <v>388</v>
      </c>
      <c r="AC47" s="542">
        <v>0</v>
      </c>
      <c r="AD47" s="545">
        <v>1</v>
      </c>
      <c r="AE47" s="544" t="s">
        <v>19</v>
      </c>
      <c r="AF47" s="544" t="s">
        <v>25</v>
      </c>
      <c r="AG47" s="544" t="s">
        <v>206</v>
      </c>
      <c r="AH47" s="544" t="s">
        <v>678</v>
      </c>
      <c r="AI47" s="544" t="s">
        <v>83</v>
      </c>
      <c r="AJ47" s="544" t="s">
        <v>206</v>
      </c>
      <c r="AK47" s="559" t="s">
        <v>1227</v>
      </c>
      <c r="AL47" s="544" t="s">
        <v>44</v>
      </c>
      <c r="AM47" s="188">
        <v>12</v>
      </c>
      <c r="AN47" s="544" t="str">
        <f t="shared" si="41"/>
        <v>Comunicar a través de Boletines informativos temas de autocontrol y fomentar la cultura del autocontrol en la ADRES.</v>
      </c>
      <c r="AO47" s="550">
        <f t="shared" si="42"/>
        <v>0</v>
      </c>
      <c r="AP47" s="548" t="s">
        <v>48</v>
      </c>
      <c r="AQ47" s="79">
        <v>3</v>
      </c>
      <c r="AR47" s="544" t="str">
        <f t="shared" si="43"/>
        <v>Comunicar a través de Boletines informativos temas de autocontrol y fomentar la cultura del autocontrol en la ADRES.</v>
      </c>
      <c r="AS47" s="542">
        <v>0</v>
      </c>
      <c r="AT47" s="592">
        <v>3</v>
      </c>
      <c r="AU47" s="608">
        <v>0</v>
      </c>
      <c r="AV47" s="543">
        <f t="shared" si="44"/>
        <v>1</v>
      </c>
      <c r="AW47" s="543" t="e">
        <f t="shared" si="45"/>
        <v>#DIV/0!</v>
      </c>
      <c r="AX47" s="543">
        <f t="shared" si="46"/>
        <v>0.25</v>
      </c>
      <c r="AY47" s="543" t="e">
        <f t="shared" si="47"/>
        <v>#DIV/0!</v>
      </c>
      <c r="AZ47" s="629" t="s">
        <v>1497</v>
      </c>
      <c r="BA47" s="187">
        <v>3</v>
      </c>
      <c r="BB47" s="544" t="str">
        <f t="shared" si="48"/>
        <v>Comunicar a través de Boletines informativos temas de autocontrol y fomentar la cultura del autocontrol en la ADRES.</v>
      </c>
      <c r="BC47" s="542">
        <v>0</v>
      </c>
      <c r="BD47" s="73"/>
      <c r="BE47" s="73"/>
      <c r="BF47" s="543">
        <f t="shared" si="49"/>
        <v>0</v>
      </c>
      <c r="BG47" s="543" t="e">
        <f t="shared" si="50"/>
        <v>#DIV/0!</v>
      </c>
      <c r="BH47" s="543">
        <f t="shared" si="51"/>
        <v>0.25</v>
      </c>
      <c r="BI47" s="543" t="e">
        <f t="shared" si="52"/>
        <v>#DIV/0!</v>
      </c>
      <c r="BJ47" s="543"/>
      <c r="BK47" s="79">
        <v>3</v>
      </c>
      <c r="BL47" s="544" t="str">
        <f t="shared" si="53"/>
        <v>Comunicar a través de Boletines informativos temas de autocontrol y fomentar la cultura del autocontrol en la ADRES.</v>
      </c>
      <c r="BM47" s="542">
        <v>0</v>
      </c>
      <c r="BN47" s="541"/>
      <c r="BO47" s="541"/>
      <c r="BP47" s="543">
        <f t="shared" si="54"/>
        <v>0</v>
      </c>
      <c r="BQ47" s="543" t="e">
        <f t="shared" si="55"/>
        <v>#DIV/0!</v>
      </c>
      <c r="BR47" s="543">
        <f t="shared" si="56"/>
        <v>0.25</v>
      </c>
      <c r="BS47" s="543" t="e">
        <f t="shared" si="57"/>
        <v>#DIV/0!</v>
      </c>
      <c r="BT47" s="543"/>
      <c r="BU47" s="187">
        <v>3</v>
      </c>
      <c r="BV47" s="544" t="str">
        <f t="shared" si="58"/>
        <v>Comunicar a través de Boletines informativos temas de autocontrol y fomentar la cultura del autocontrol en la ADRES.</v>
      </c>
      <c r="BW47" s="542">
        <v>0</v>
      </c>
      <c r="BX47" s="541"/>
      <c r="BY47" s="541"/>
      <c r="BZ47" s="547">
        <f t="shared" si="59"/>
        <v>0</v>
      </c>
      <c r="CA47" s="547" t="e">
        <f t="shared" si="60"/>
        <v>#DIV/0!</v>
      </c>
      <c r="CB47" s="547">
        <f t="shared" si="61"/>
        <v>0.25</v>
      </c>
      <c r="CC47" s="547" t="e">
        <f t="shared" si="62"/>
        <v>#DIV/0!</v>
      </c>
      <c r="CD47" s="547"/>
      <c r="CE47" s="546">
        <f t="shared" si="63"/>
        <v>1</v>
      </c>
      <c r="CF47" s="546" t="str">
        <f t="shared" si="64"/>
        <v>No Prog ni Ejec</v>
      </c>
      <c r="CG47" s="546">
        <f t="shared" si="65"/>
        <v>0</v>
      </c>
      <c r="CH47" s="546" t="str">
        <f t="shared" si="66"/>
        <v>No Prog ni Ejec</v>
      </c>
      <c r="CI47" s="546">
        <f t="shared" si="67"/>
        <v>0</v>
      </c>
      <c r="CJ47" s="546" t="str">
        <f t="shared" si="68"/>
        <v>No Prog ni Ejec</v>
      </c>
      <c r="CK47" s="546">
        <f t="shared" si="69"/>
        <v>0</v>
      </c>
      <c r="CL47" s="546" t="str">
        <f t="shared" si="70"/>
        <v>No Prog ni Ejec</v>
      </c>
      <c r="CM47" s="157">
        <f t="shared" si="6"/>
        <v>0</v>
      </c>
      <c r="CW47" s="138">
        <v>6</v>
      </c>
    </row>
    <row r="48" spans="1:101" s="75" customFormat="1" ht="114.75" x14ac:dyDescent="0.2">
      <c r="A48" s="541">
        <v>11800</v>
      </c>
      <c r="B48" s="544" t="s">
        <v>3</v>
      </c>
      <c r="C48" s="544" t="s">
        <v>338</v>
      </c>
      <c r="D48" s="544" t="s">
        <v>1108</v>
      </c>
      <c r="E48" s="544"/>
      <c r="F48" s="544"/>
      <c r="G48" s="544"/>
      <c r="H48" s="544"/>
      <c r="I48" s="544"/>
      <c r="J48" s="544"/>
      <c r="K48" s="544"/>
      <c r="L48" s="544"/>
      <c r="M48" s="544"/>
      <c r="N48" s="544"/>
      <c r="O48" s="544"/>
      <c r="P48" s="544"/>
      <c r="Q48" s="544" t="s">
        <v>1230</v>
      </c>
      <c r="R48" s="544" t="s">
        <v>1237</v>
      </c>
      <c r="S48" s="541" t="s">
        <v>116</v>
      </c>
      <c r="T48" s="544" t="s">
        <v>94</v>
      </c>
      <c r="U48" s="544" t="s">
        <v>206</v>
      </c>
      <c r="V48" s="544" t="s">
        <v>206</v>
      </c>
      <c r="W48" s="541" t="s">
        <v>1051</v>
      </c>
      <c r="X48" s="544" t="s">
        <v>1146</v>
      </c>
      <c r="Y48" s="554" t="s">
        <v>394</v>
      </c>
      <c r="Z48" s="66">
        <v>3</v>
      </c>
      <c r="AA48" s="541" t="s">
        <v>1050</v>
      </c>
      <c r="AB48" s="544" t="s">
        <v>1145</v>
      </c>
      <c r="AC48" s="542">
        <v>0</v>
      </c>
      <c r="AD48" s="545">
        <v>1</v>
      </c>
      <c r="AE48" s="544" t="s">
        <v>17</v>
      </c>
      <c r="AF48" s="544" t="s">
        <v>297</v>
      </c>
      <c r="AG48" s="544" t="s">
        <v>206</v>
      </c>
      <c r="AH48" s="544" t="s">
        <v>678</v>
      </c>
      <c r="AI48" s="544" t="s">
        <v>1136</v>
      </c>
      <c r="AJ48" s="544" t="s">
        <v>1396</v>
      </c>
      <c r="AK48" s="544" t="s">
        <v>1147</v>
      </c>
      <c r="AL48" s="544" t="s">
        <v>206</v>
      </c>
      <c r="AM48" s="67">
        <v>3</v>
      </c>
      <c r="AN48" s="544" t="str">
        <f t="shared" si="41"/>
        <v>Realizar reuniones de autocontrol y seguimiento a los procesos que evidencien el monitoreo a los riesgos, indicadores, planes de mejoramiento, manuales y documentos asociados</v>
      </c>
      <c r="AO48" s="550">
        <f t="shared" si="42"/>
        <v>0</v>
      </c>
      <c r="AP48" s="548" t="s">
        <v>48</v>
      </c>
      <c r="AQ48" s="67">
        <v>0</v>
      </c>
      <c r="AR48" s="544" t="str">
        <f t="shared" si="43"/>
        <v>Realizar reuniones de autocontrol y seguimiento a los procesos que evidencien el monitoreo a los riesgos, indicadores, planes de mejoramiento, manuales y documentos asociados</v>
      </c>
      <c r="AS48" s="542">
        <f>+AO48/4</f>
        <v>0</v>
      </c>
      <c r="AT48" s="592">
        <v>0</v>
      </c>
      <c r="AU48" s="608">
        <v>0</v>
      </c>
      <c r="AV48" s="543" t="e">
        <f t="shared" si="44"/>
        <v>#DIV/0!</v>
      </c>
      <c r="AW48" s="543" t="e">
        <f t="shared" si="45"/>
        <v>#DIV/0!</v>
      </c>
      <c r="AX48" s="543">
        <f t="shared" si="46"/>
        <v>0</v>
      </c>
      <c r="AY48" s="543" t="e">
        <f t="shared" si="47"/>
        <v>#DIV/0!</v>
      </c>
      <c r="AZ48" s="629" t="s">
        <v>1498</v>
      </c>
      <c r="BA48" s="67">
        <v>1</v>
      </c>
      <c r="BB48" s="544" t="str">
        <f t="shared" si="48"/>
        <v>Realizar reuniones de autocontrol y seguimiento a los procesos que evidencien el monitoreo a los riesgos, indicadores, planes de mejoramiento, manuales y documentos asociados</v>
      </c>
      <c r="BC48" s="542">
        <f>+AO48/4</f>
        <v>0</v>
      </c>
      <c r="BD48" s="73"/>
      <c r="BE48" s="73"/>
      <c r="BF48" s="543">
        <f t="shared" si="49"/>
        <v>0</v>
      </c>
      <c r="BG48" s="543" t="e">
        <f t="shared" si="50"/>
        <v>#DIV/0!</v>
      </c>
      <c r="BH48" s="543">
        <f t="shared" si="51"/>
        <v>0</v>
      </c>
      <c r="BI48" s="543" t="e">
        <f t="shared" si="52"/>
        <v>#DIV/0!</v>
      </c>
      <c r="BJ48" s="543"/>
      <c r="BK48" s="67">
        <v>1</v>
      </c>
      <c r="BL48" s="544" t="str">
        <f t="shared" si="53"/>
        <v>Realizar reuniones de autocontrol y seguimiento a los procesos que evidencien el monitoreo a los riesgos, indicadores, planes de mejoramiento, manuales y documentos asociados</v>
      </c>
      <c r="BM48" s="542">
        <f>+AO48/4</f>
        <v>0</v>
      </c>
      <c r="BN48" s="541"/>
      <c r="BO48" s="541"/>
      <c r="BP48" s="543">
        <f t="shared" si="54"/>
        <v>0</v>
      </c>
      <c r="BQ48" s="543" t="e">
        <f t="shared" si="55"/>
        <v>#DIV/0!</v>
      </c>
      <c r="BR48" s="543">
        <f t="shared" si="56"/>
        <v>0</v>
      </c>
      <c r="BS48" s="543" t="e">
        <f t="shared" si="57"/>
        <v>#DIV/0!</v>
      </c>
      <c r="BT48" s="543"/>
      <c r="BU48" s="67">
        <v>1</v>
      </c>
      <c r="BV48" s="544" t="str">
        <f t="shared" si="58"/>
        <v>Realizar reuniones de autocontrol y seguimiento a los procesos que evidencien el monitoreo a los riesgos, indicadores, planes de mejoramiento, manuales y documentos asociados</v>
      </c>
      <c r="BW48" s="542">
        <f>+AO48/4</f>
        <v>0</v>
      </c>
      <c r="BX48" s="541"/>
      <c r="BY48" s="541"/>
      <c r="BZ48" s="547">
        <f t="shared" si="59"/>
        <v>0</v>
      </c>
      <c r="CA48" s="547" t="e">
        <f t="shared" si="60"/>
        <v>#DIV/0!</v>
      </c>
      <c r="CB48" s="547">
        <f t="shared" si="61"/>
        <v>0</v>
      </c>
      <c r="CC48" s="547" t="e">
        <f t="shared" si="62"/>
        <v>#DIV/0!</v>
      </c>
      <c r="CD48" s="547"/>
      <c r="CE48" s="546" t="str">
        <f t="shared" si="63"/>
        <v>No Prog ni Ejec</v>
      </c>
      <c r="CF48" s="546" t="str">
        <f t="shared" si="64"/>
        <v>No Prog ni Ejec</v>
      </c>
      <c r="CG48" s="546">
        <f t="shared" si="65"/>
        <v>0</v>
      </c>
      <c r="CH48" s="546" t="str">
        <f t="shared" si="66"/>
        <v>No Prog ni Ejec</v>
      </c>
      <c r="CI48" s="546">
        <f t="shared" si="67"/>
        <v>0</v>
      </c>
      <c r="CJ48" s="546" t="str">
        <f t="shared" si="68"/>
        <v>No Prog ni Ejec</v>
      </c>
      <c r="CK48" s="546">
        <f t="shared" si="69"/>
        <v>0</v>
      </c>
      <c r="CL48" s="546" t="str">
        <f t="shared" si="70"/>
        <v>No Prog ni Ejec</v>
      </c>
      <c r="CM48" s="157">
        <f t="shared" si="6"/>
        <v>0</v>
      </c>
      <c r="CW48" s="138"/>
    </row>
    <row r="49" spans="1:106" s="75" customFormat="1" ht="191.25" x14ac:dyDescent="0.2">
      <c r="A49" s="541">
        <v>11700</v>
      </c>
      <c r="B49" s="544" t="s">
        <v>14</v>
      </c>
      <c r="C49" s="544" t="s">
        <v>339</v>
      </c>
      <c r="D49" s="544"/>
      <c r="E49" s="544"/>
      <c r="F49" s="544" t="s">
        <v>1108</v>
      </c>
      <c r="G49" s="544"/>
      <c r="H49" s="544"/>
      <c r="I49" s="544"/>
      <c r="J49" s="544"/>
      <c r="K49" s="544"/>
      <c r="L49" s="544"/>
      <c r="M49" s="544" t="s">
        <v>1108</v>
      </c>
      <c r="N49" s="544"/>
      <c r="O49" s="544"/>
      <c r="P49" s="544"/>
      <c r="Q49" s="540" t="s">
        <v>206</v>
      </c>
      <c r="R49" s="540" t="s">
        <v>206</v>
      </c>
      <c r="S49" s="541" t="s">
        <v>240</v>
      </c>
      <c r="T49" s="544" t="s">
        <v>94</v>
      </c>
      <c r="U49" s="544" t="s">
        <v>206</v>
      </c>
      <c r="V49" s="544" t="s">
        <v>206</v>
      </c>
      <c r="W49" s="541" t="s">
        <v>242</v>
      </c>
      <c r="X49" s="559" t="s">
        <v>643</v>
      </c>
      <c r="Y49" s="554" t="s">
        <v>51</v>
      </c>
      <c r="Z49" s="66">
        <v>811</v>
      </c>
      <c r="AA49" s="541" t="s">
        <v>241</v>
      </c>
      <c r="AB49" s="559" t="s">
        <v>642</v>
      </c>
      <c r="AC49" s="549">
        <v>185000000</v>
      </c>
      <c r="AD49" s="545">
        <v>1</v>
      </c>
      <c r="AE49" s="544" t="s">
        <v>18</v>
      </c>
      <c r="AF49" s="544" t="s">
        <v>307</v>
      </c>
      <c r="AG49" s="544" t="s">
        <v>206</v>
      </c>
      <c r="AH49" s="544" t="s">
        <v>678</v>
      </c>
      <c r="AI49" s="544" t="s">
        <v>1125</v>
      </c>
      <c r="AJ49" s="544" t="s">
        <v>1414</v>
      </c>
      <c r="AK49" s="544" t="s">
        <v>684</v>
      </c>
      <c r="AL49" s="544" t="s">
        <v>206</v>
      </c>
      <c r="AM49" s="66">
        <v>811</v>
      </c>
      <c r="AN49" s="544" t="str">
        <f t="shared" si="41"/>
        <v>Organizar, digitalizar y transferir el archivo documental de gestión correspondiente al periodo comprendido entre agosto de 2017 y agosto de 2018, ubicado en las instalaciones de la ADRES</v>
      </c>
      <c r="AO49" s="549">
        <f t="shared" si="42"/>
        <v>185000000</v>
      </c>
      <c r="AP49" s="548" t="s">
        <v>46</v>
      </c>
      <c r="AQ49" s="66">
        <v>100</v>
      </c>
      <c r="AR49" s="544" t="str">
        <f t="shared" si="43"/>
        <v>Organizar, digitalizar y transferir el archivo documental de gestión correspondiente al periodo comprendido entre agosto de 2017 y agosto de 2018, ubicado en las instalaciones de la ADRES</v>
      </c>
      <c r="AS49" s="542">
        <f>+AC49/8</f>
        <v>23125000</v>
      </c>
      <c r="AT49" s="587">
        <v>84</v>
      </c>
      <c r="AU49" s="587"/>
      <c r="AV49" s="543">
        <f t="shared" ref="AV49:AV55" si="71">+(AT49/AQ49)</f>
        <v>0.84</v>
      </c>
      <c r="AW49" s="543">
        <f t="shared" ref="AW49:AW55" si="72">+(AU49/AS49)</f>
        <v>0</v>
      </c>
      <c r="AX49" s="543">
        <f t="shared" ref="AX49:AX55" si="73">+(AT49/AM49)</f>
        <v>0.10357583230579531</v>
      </c>
      <c r="AY49" s="543">
        <f t="shared" ref="AY49:AY55" si="74">+(AU49/AO49)</f>
        <v>0</v>
      </c>
      <c r="AZ49" s="591" t="s">
        <v>1539</v>
      </c>
      <c r="BA49" s="66">
        <v>300</v>
      </c>
      <c r="BB49" s="544" t="str">
        <f t="shared" si="48"/>
        <v>Organizar, digitalizar y transferir el archivo documental de gestión correspondiente al periodo comprendido entre agosto de 2017 y agosto de 2018, ubicado en las instalaciones de la ADRES</v>
      </c>
      <c r="BC49" s="542">
        <f>(AC49/8)*3</f>
        <v>69375000</v>
      </c>
      <c r="BD49" s="73"/>
      <c r="BE49" s="551"/>
      <c r="BF49" s="543">
        <f t="shared" ref="BF49:BF55" si="75">+(BD49/BA49)</f>
        <v>0</v>
      </c>
      <c r="BG49" s="543">
        <f t="shared" ref="BG49:BG55" si="76">+(BE49/BC49)</f>
        <v>0</v>
      </c>
      <c r="BH49" s="543">
        <f t="shared" ref="BH49:BH55" si="77">+(BD49+AT49)/AM49</f>
        <v>0.10357583230579531</v>
      </c>
      <c r="BI49" s="543">
        <f t="shared" ref="BI49:BI55" si="78">+(BE49+AU49)/AO49</f>
        <v>0</v>
      </c>
      <c r="BJ49" s="543"/>
      <c r="BK49" s="66">
        <v>300</v>
      </c>
      <c r="BL49" s="544" t="str">
        <f t="shared" si="53"/>
        <v>Organizar, digitalizar y transferir el archivo documental de gestión correspondiente al periodo comprendido entre agosto de 2017 y agosto de 2018, ubicado en las instalaciones de la ADRES</v>
      </c>
      <c r="BM49" s="542">
        <f>(AC49/8)*3</f>
        <v>69375000</v>
      </c>
      <c r="BN49" s="541"/>
      <c r="BO49" s="541"/>
      <c r="BP49" s="543">
        <f t="shared" ref="BP49:BP55" si="79">+(BN49/BK49)</f>
        <v>0</v>
      </c>
      <c r="BQ49" s="543">
        <f t="shared" ref="BQ49:BQ55" si="80">+(BO49/BM49)</f>
        <v>0</v>
      </c>
      <c r="BR49" s="543">
        <f t="shared" ref="BR49:BR55" si="81">+(BD49+AT49+BN49)/AM49</f>
        <v>0.10357583230579531</v>
      </c>
      <c r="BS49" s="543">
        <f t="shared" ref="BS49:BS55" si="82">+(BE49+AU49+BO49)/AO49</f>
        <v>0</v>
      </c>
      <c r="BT49" s="543"/>
      <c r="BU49" s="66">
        <v>111</v>
      </c>
      <c r="BV49" s="544" t="str">
        <f t="shared" si="58"/>
        <v>Organizar, digitalizar y transferir el archivo documental de gestión correspondiente al periodo comprendido entre agosto de 2017 y agosto de 2018, ubicado en las instalaciones de la ADRES</v>
      </c>
      <c r="BW49" s="542">
        <f>+AC49/8</f>
        <v>23125000</v>
      </c>
      <c r="BX49" s="541"/>
      <c r="BY49" s="541"/>
      <c r="BZ49" s="547">
        <f t="shared" ref="BZ49:BZ55" si="83">+(BX49/BU49)</f>
        <v>0</v>
      </c>
      <c r="CA49" s="547">
        <f t="shared" ref="CA49:CA55" si="84">+(BY49/BW49)</f>
        <v>0</v>
      </c>
      <c r="CB49" s="547">
        <f t="shared" ref="CB49:CB55" si="85">+(BD49+AT49+BN49+BX49)/AM49</f>
        <v>0.10357583230579531</v>
      </c>
      <c r="CC49" s="547">
        <f t="shared" ref="CC49:CC55" si="86">+(BE49+AU49+BO49+BY49)/AO49</f>
        <v>0</v>
      </c>
      <c r="CD49" s="547"/>
      <c r="CE49" s="546">
        <f t="shared" ref="CE49:CE55" si="87">IF(AND(AQ49=0,AT49=0),"No Prog ni Ejec",IF(AQ49=0,CONCATENATE("No Prog, Ejec=  ",AT49),AT49/AQ49))</f>
        <v>0.84</v>
      </c>
      <c r="CF49" s="546">
        <f t="shared" ref="CF49:CF55" si="88">IF(AND(AS49=0,AU49=0),"No Prog ni Ejec",IF(AS49=0,CONCATENATE("No Prog, Ejec=  ",AU49),AU49/AS49))</f>
        <v>0</v>
      </c>
      <c r="CG49" s="546">
        <f t="shared" ref="CG49:CG55" si="89">IF(AND(BA49=0,BD49=0),"No Prog ni Ejec",IF(BA49=0,CONCATENATE("No Prog, Ejec=  ",BD49),BD49/BA49))</f>
        <v>0</v>
      </c>
      <c r="CH49" s="546">
        <f t="shared" ref="CH49:CH55" si="90">IF(AND(BC49=0,BE49=0),"No Prog ni Ejec",IF(BC49=0,CONCATENATE("No Prog, Ejec=  ",BE49),BE49/BC49))</f>
        <v>0</v>
      </c>
      <c r="CI49" s="546">
        <f t="shared" ref="CI49:CI55" si="91">IF(AND(BK49=0,BN49=0),"No Prog ni Ejec",IF(BK49=0,CONCATENATE("No Prog, Ejec=  ",BN49),BN49/BK49))</f>
        <v>0</v>
      </c>
      <c r="CJ49" s="546">
        <f t="shared" ref="CJ49:CJ55" si="92">IF(AND(BM49=0,BO49=0),"No Prog ni Ejec",IF(BM49=0,CONCATENATE("No Prog, Ejec=  ",BO49),BO49/BM49))</f>
        <v>0</v>
      </c>
      <c r="CK49" s="546">
        <f t="shared" ref="CK49:CK55" si="93">IF(AND(BU49=0,BX49=0),"No Prog ni Ejec",IF(BU49=0,CONCATENATE("No Prog, Ejec=  ",BX49),BX49/BU49))</f>
        <v>0</v>
      </c>
      <c r="CL49" s="546">
        <f t="shared" ref="CL49:CL55" si="94">IF(AND(BW49=0,BY49=0),"No Prog ni Ejec",IF(BW49=0,CONCATENATE("No Prog, Ejec=  ",BY49),BY49/BW49))</f>
        <v>0</v>
      </c>
      <c r="CM49" s="157">
        <f t="shared" si="6"/>
        <v>0</v>
      </c>
      <c r="DA49" s="75">
        <v>10</v>
      </c>
    </row>
    <row r="50" spans="1:106" s="75" customFormat="1" ht="89.25" x14ac:dyDescent="0.2">
      <c r="A50" s="541">
        <v>11700</v>
      </c>
      <c r="B50" s="544" t="s">
        <v>14</v>
      </c>
      <c r="C50" s="544" t="s">
        <v>339</v>
      </c>
      <c r="D50" s="544"/>
      <c r="E50" s="544"/>
      <c r="F50" s="544"/>
      <c r="G50" s="544"/>
      <c r="H50" s="544"/>
      <c r="I50" s="544"/>
      <c r="J50" s="544"/>
      <c r="K50" s="544"/>
      <c r="L50" s="544"/>
      <c r="M50" s="544" t="s">
        <v>1108</v>
      </c>
      <c r="N50" s="544"/>
      <c r="O50" s="544"/>
      <c r="P50" s="544"/>
      <c r="Q50" s="540" t="s">
        <v>206</v>
      </c>
      <c r="R50" s="540" t="s">
        <v>206</v>
      </c>
      <c r="S50" s="541" t="s">
        <v>240</v>
      </c>
      <c r="T50" s="544" t="s">
        <v>94</v>
      </c>
      <c r="U50" s="544" t="s">
        <v>206</v>
      </c>
      <c r="V50" s="544" t="s">
        <v>206</v>
      </c>
      <c r="W50" s="541" t="s">
        <v>777</v>
      </c>
      <c r="X50" s="559" t="s">
        <v>481</v>
      </c>
      <c r="Y50" s="554" t="s">
        <v>51</v>
      </c>
      <c r="Z50" s="547">
        <v>1</v>
      </c>
      <c r="AA50" s="541" t="s">
        <v>755</v>
      </c>
      <c r="AB50" s="559" t="s">
        <v>644</v>
      </c>
      <c r="AC50" s="549">
        <v>0</v>
      </c>
      <c r="AD50" s="545">
        <v>1</v>
      </c>
      <c r="AE50" s="544" t="s">
        <v>18</v>
      </c>
      <c r="AF50" s="544" t="s">
        <v>307</v>
      </c>
      <c r="AG50" s="544" t="s">
        <v>206</v>
      </c>
      <c r="AH50" s="544" t="s">
        <v>678</v>
      </c>
      <c r="AI50" s="544" t="s">
        <v>1125</v>
      </c>
      <c r="AJ50" s="544" t="s">
        <v>1414</v>
      </c>
      <c r="AK50" s="544" t="s">
        <v>482</v>
      </c>
      <c r="AL50" s="544" t="s">
        <v>309</v>
      </c>
      <c r="AM50" s="547">
        <v>1</v>
      </c>
      <c r="AN50" s="544" t="str">
        <f t="shared" si="41"/>
        <v>Actualizar las TRD y someterlas a aprobación del Comité Institucional de Gestión y Desempeño</v>
      </c>
      <c r="AO50" s="550">
        <f t="shared" si="42"/>
        <v>0</v>
      </c>
      <c r="AP50" s="548" t="s">
        <v>48</v>
      </c>
      <c r="AQ50" s="547">
        <v>0</v>
      </c>
      <c r="AR50" s="544" t="str">
        <f t="shared" si="43"/>
        <v>Actualizar las TRD y someterlas a aprobación del Comité Institucional de Gestión y Desempeño</v>
      </c>
      <c r="AS50" s="542">
        <v>0</v>
      </c>
      <c r="AT50" s="587">
        <v>0</v>
      </c>
      <c r="AU50" s="639">
        <v>0</v>
      </c>
      <c r="AV50" s="543" t="e">
        <f t="shared" si="71"/>
        <v>#DIV/0!</v>
      </c>
      <c r="AW50" s="543" t="e">
        <f t="shared" si="72"/>
        <v>#DIV/0!</v>
      </c>
      <c r="AX50" s="543">
        <f t="shared" si="73"/>
        <v>0</v>
      </c>
      <c r="AY50" s="543" t="e">
        <f t="shared" si="74"/>
        <v>#DIV/0!</v>
      </c>
      <c r="AZ50" s="632" t="s">
        <v>1461</v>
      </c>
      <c r="BA50" s="547">
        <v>0</v>
      </c>
      <c r="BB50" s="544" t="str">
        <f t="shared" si="48"/>
        <v>Actualizar las TRD y someterlas a aprobación del Comité Institucional de Gestión y Desempeño</v>
      </c>
      <c r="BC50" s="542">
        <v>0</v>
      </c>
      <c r="BD50" s="73"/>
      <c r="BE50" s="73"/>
      <c r="BF50" s="543" t="e">
        <f t="shared" si="75"/>
        <v>#DIV/0!</v>
      </c>
      <c r="BG50" s="543" t="e">
        <f t="shared" si="76"/>
        <v>#DIV/0!</v>
      </c>
      <c r="BH50" s="543">
        <f t="shared" si="77"/>
        <v>0</v>
      </c>
      <c r="BI50" s="543" t="e">
        <f t="shared" si="78"/>
        <v>#DIV/0!</v>
      </c>
      <c r="BJ50" s="543"/>
      <c r="BK50" s="547">
        <v>1</v>
      </c>
      <c r="BL50" s="544" t="str">
        <f t="shared" si="53"/>
        <v>Actualizar las TRD y someterlas a aprobación del Comité Institucional de Gestión y Desempeño</v>
      </c>
      <c r="BM50" s="542">
        <v>0</v>
      </c>
      <c r="BN50" s="541"/>
      <c r="BO50" s="541"/>
      <c r="BP50" s="543">
        <f t="shared" si="79"/>
        <v>0</v>
      </c>
      <c r="BQ50" s="543" t="e">
        <f t="shared" si="80"/>
        <v>#DIV/0!</v>
      </c>
      <c r="BR50" s="543">
        <f t="shared" si="81"/>
        <v>0</v>
      </c>
      <c r="BS50" s="543" t="e">
        <f t="shared" si="82"/>
        <v>#DIV/0!</v>
      </c>
      <c r="BT50" s="543"/>
      <c r="BU50" s="547">
        <v>0</v>
      </c>
      <c r="BV50" s="544" t="str">
        <f t="shared" si="58"/>
        <v>Actualizar las TRD y someterlas a aprobación del Comité Institucional de Gestión y Desempeño</v>
      </c>
      <c r="BW50" s="542">
        <v>0</v>
      </c>
      <c r="BX50" s="541"/>
      <c r="BY50" s="541"/>
      <c r="BZ50" s="547" t="e">
        <f t="shared" si="83"/>
        <v>#DIV/0!</v>
      </c>
      <c r="CA50" s="547" t="e">
        <f t="shared" si="84"/>
        <v>#DIV/0!</v>
      </c>
      <c r="CB50" s="547">
        <f t="shared" si="85"/>
        <v>0</v>
      </c>
      <c r="CC50" s="547" t="e">
        <f t="shared" si="86"/>
        <v>#DIV/0!</v>
      </c>
      <c r="CD50" s="547"/>
      <c r="CE50" s="546" t="str">
        <f t="shared" si="87"/>
        <v>No Prog ni Ejec</v>
      </c>
      <c r="CF50" s="546" t="str">
        <f t="shared" si="88"/>
        <v>No Prog ni Ejec</v>
      </c>
      <c r="CG50" s="546" t="str">
        <f t="shared" si="89"/>
        <v>No Prog ni Ejec</v>
      </c>
      <c r="CH50" s="546" t="str">
        <f t="shared" si="90"/>
        <v>No Prog ni Ejec</v>
      </c>
      <c r="CI50" s="546">
        <f t="shared" si="91"/>
        <v>0</v>
      </c>
      <c r="CJ50" s="546" t="str">
        <f t="shared" si="92"/>
        <v>No Prog ni Ejec</v>
      </c>
      <c r="CK50" s="546" t="str">
        <f t="shared" si="93"/>
        <v>No Prog ni Ejec</v>
      </c>
      <c r="CL50" s="546" t="str">
        <f t="shared" si="94"/>
        <v>No Prog ni Ejec</v>
      </c>
      <c r="CM50" s="157">
        <f t="shared" si="6"/>
        <v>0</v>
      </c>
      <c r="DA50" s="75">
        <v>10</v>
      </c>
    </row>
    <row r="51" spans="1:106" s="75" customFormat="1" ht="89.25" x14ac:dyDescent="0.2">
      <c r="A51" s="541">
        <v>11700</v>
      </c>
      <c r="B51" s="544" t="s">
        <v>14</v>
      </c>
      <c r="C51" s="544" t="s">
        <v>339</v>
      </c>
      <c r="D51" s="544"/>
      <c r="E51" s="544"/>
      <c r="F51" s="544"/>
      <c r="G51" s="544"/>
      <c r="H51" s="544"/>
      <c r="I51" s="544"/>
      <c r="J51" s="544"/>
      <c r="K51" s="544"/>
      <c r="L51" s="544"/>
      <c r="M51" s="544" t="s">
        <v>1108</v>
      </c>
      <c r="N51" s="544"/>
      <c r="O51" s="544"/>
      <c r="P51" s="544"/>
      <c r="Q51" s="540" t="s">
        <v>206</v>
      </c>
      <c r="R51" s="540" t="s">
        <v>206</v>
      </c>
      <c r="S51" s="541" t="s">
        <v>240</v>
      </c>
      <c r="T51" s="544" t="s">
        <v>94</v>
      </c>
      <c r="U51" s="544" t="s">
        <v>206</v>
      </c>
      <c r="V51" s="544" t="s">
        <v>206</v>
      </c>
      <c r="W51" s="541" t="s">
        <v>778</v>
      </c>
      <c r="X51" s="544" t="s">
        <v>646</v>
      </c>
      <c r="Y51" s="554" t="s">
        <v>394</v>
      </c>
      <c r="Z51" s="66">
        <v>1</v>
      </c>
      <c r="AA51" s="541" t="s">
        <v>756</v>
      </c>
      <c r="AB51" s="544" t="s">
        <v>645</v>
      </c>
      <c r="AC51" s="549">
        <v>0</v>
      </c>
      <c r="AD51" s="545">
        <v>1</v>
      </c>
      <c r="AE51" s="544" t="s">
        <v>18</v>
      </c>
      <c r="AF51" s="544" t="s">
        <v>307</v>
      </c>
      <c r="AG51" s="544" t="s">
        <v>206</v>
      </c>
      <c r="AH51" s="544" t="s">
        <v>678</v>
      </c>
      <c r="AI51" s="544" t="s">
        <v>1125</v>
      </c>
      <c r="AJ51" s="544" t="s">
        <v>206</v>
      </c>
      <c r="AK51" s="544" t="s">
        <v>685</v>
      </c>
      <c r="AL51" s="544" t="s">
        <v>206</v>
      </c>
      <c r="AM51" s="66">
        <v>1</v>
      </c>
      <c r="AN51" s="544" t="str">
        <f t="shared" si="41"/>
        <v>Realizar los estudios técnicos, de mercado y económicos para la valoración documental</v>
      </c>
      <c r="AO51" s="550">
        <f t="shared" si="42"/>
        <v>0</v>
      </c>
      <c r="AP51" s="548" t="s">
        <v>48</v>
      </c>
      <c r="AQ51" s="66">
        <v>0</v>
      </c>
      <c r="AR51" s="544" t="str">
        <f t="shared" si="43"/>
        <v>Realizar los estudios técnicos, de mercado y económicos para la valoración documental</v>
      </c>
      <c r="AS51" s="542">
        <v>0</v>
      </c>
      <c r="AT51" s="587">
        <v>0</v>
      </c>
      <c r="AU51" s="638">
        <v>0</v>
      </c>
      <c r="AV51" s="543" t="e">
        <f t="shared" si="71"/>
        <v>#DIV/0!</v>
      </c>
      <c r="AW51" s="543" t="e">
        <f t="shared" si="72"/>
        <v>#DIV/0!</v>
      </c>
      <c r="AX51" s="543">
        <f t="shared" si="73"/>
        <v>0</v>
      </c>
      <c r="AY51" s="543" t="e">
        <f t="shared" si="74"/>
        <v>#DIV/0!</v>
      </c>
      <c r="AZ51" s="632" t="s">
        <v>1461</v>
      </c>
      <c r="BA51" s="66">
        <v>0</v>
      </c>
      <c r="BB51" s="544" t="str">
        <f t="shared" si="48"/>
        <v>Realizar los estudios técnicos, de mercado y económicos para la valoración documental</v>
      </c>
      <c r="BC51" s="542">
        <v>0</v>
      </c>
      <c r="BD51" s="73"/>
      <c r="BE51" s="73"/>
      <c r="BF51" s="543" t="e">
        <f t="shared" si="75"/>
        <v>#DIV/0!</v>
      </c>
      <c r="BG51" s="543" t="e">
        <f t="shared" si="76"/>
        <v>#DIV/0!</v>
      </c>
      <c r="BH51" s="543">
        <f t="shared" si="77"/>
        <v>0</v>
      </c>
      <c r="BI51" s="543" t="e">
        <f t="shared" si="78"/>
        <v>#DIV/0!</v>
      </c>
      <c r="BJ51" s="543"/>
      <c r="BK51" s="66">
        <v>1</v>
      </c>
      <c r="BL51" s="544" t="str">
        <f t="shared" si="53"/>
        <v>Realizar los estudios técnicos, de mercado y económicos para la valoración documental</v>
      </c>
      <c r="BM51" s="542">
        <v>0</v>
      </c>
      <c r="BN51" s="541"/>
      <c r="BO51" s="541"/>
      <c r="BP51" s="543">
        <f t="shared" si="79"/>
        <v>0</v>
      </c>
      <c r="BQ51" s="543" t="e">
        <f t="shared" si="80"/>
        <v>#DIV/0!</v>
      </c>
      <c r="BR51" s="543">
        <f t="shared" si="81"/>
        <v>0</v>
      </c>
      <c r="BS51" s="543" t="e">
        <f t="shared" si="82"/>
        <v>#DIV/0!</v>
      </c>
      <c r="BT51" s="543"/>
      <c r="BU51" s="66">
        <v>0</v>
      </c>
      <c r="BV51" s="544" t="str">
        <f t="shared" si="58"/>
        <v>Realizar los estudios técnicos, de mercado y económicos para la valoración documental</v>
      </c>
      <c r="BW51" s="542">
        <v>0</v>
      </c>
      <c r="BX51" s="541"/>
      <c r="BY51" s="541"/>
      <c r="BZ51" s="547" t="e">
        <f t="shared" si="83"/>
        <v>#DIV/0!</v>
      </c>
      <c r="CA51" s="547" t="e">
        <f t="shared" si="84"/>
        <v>#DIV/0!</v>
      </c>
      <c r="CB51" s="547">
        <f t="shared" si="85"/>
        <v>0</v>
      </c>
      <c r="CC51" s="547" t="e">
        <f t="shared" si="86"/>
        <v>#DIV/0!</v>
      </c>
      <c r="CD51" s="547"/>
      <c r="CE51" s="546" t="str">
        <f t="shared" si="87"/>
        <v>No Prog ni Ejec</v>
      </c>
      <c r="CF51" s="546" t="str">
        <f t="shared" si="88"/>
        <v>No Prog ni Ejec</v>
      </c>
      <c r="CG51" s="546" t="str">
        <f t="shared" si="89"/>
        <v>No Prog ni Ejec</v>
      </c>
      <c r="CH51" s="546" t="str">
        <f t="shared" si="90"/>
        <v>No Prog ni Ejec</v>
      </c>
      <c r="CI51" s="546">
        <f t="shared" si="91"/>
        <v>0</v>
      </c>
      <c r="CJ51" s="546" t="str">
        <f t="shared" si="92"/>
        <v>No Prog ni Ejec</v>
      </c>
      <c r="CK51" s="546" t="str">
        <f t="shared" si="93"/>
        <v>No Prog ni Ejec</v>
      </c>
      <c r="CL51" s="546" t="str">
        <f t="shared" si="94"/>
        <v>No Prog ni Ejec</v>
      </c>
      <c r="CM51" s="157">
        <f t="shared" si="6"/>
        <v>0</v>
      </c>
      <c r="DA51" s="75">
        <v>10</v>
      </c>
    </row>
    <row r="52" spans="1:106" s="75" customFormat="1" ht="89.25" x14ac:dyDescent="0.2">
      <c r="A52" s="541">
        <v>11700</v>
      </c>
      <c r="B52" s="544" t="s">
        <v>14</v>
      </c>
      <c r="C52" s="544" t="s">
        <v>339</v>
      </c>
      <c r="D52" s="544"/>
      <c r="E52" s="544"/>
      <c r="F52" s="544"/>
      <c r="G52" s="544"/>
      <c r="H52" s="544"/>
      <c r="I52" s="544"/>
      <c r="J52" s="544"/>
      <c r="K52" s="544"/>
      <c r="L52" s="544"/>
      <c r="M52" s="544" t="s">
        <v>1108</v>
      </c>
      <c r="N52" s="544"/>
      <c r="O52" s="544"/>
      <c r="P52" s="544"/>
      <c r="Q52" s="540" t="s">
        <v>206</v>
      </c>
      <c r="R52" s="540" t="s">
        <v>206</v>
      </c>
      <c r="S52" s="541" t="s">
        <v>240</v>
      </c>
      <c r="T52" s="544" t="s">
        <v>94</v>
      </c>
      <c r="U52" s="544" t="s">
        <v>206</v>
      </c>
      <c r="V52" s="544" t="s">
        <v>206</v>
      </c>
      <c r="W52" s="541" t="s">
        <v>779</v>
      </c>
      <c r="X52" s="544" t="s">
        <v>687</v>
      </c>
      <c r="Y52" s="554" t="s">
        <v>394</v>
      </c>
      <c r="Z52" s="67">
        <v>1</v>
      </c>
      <c r="AA52" s="541" t="s">
        <v>757</v>
      </c>
      <c r="AB52" s="544" t="s">
        <v>647</v>
      </c>
      <c r="AC52" s="549">
        <v>0</v>
      </c>
      <c r="AD52" s="545">
        <v>1</v>
      </c>
      <c r="AE52" s="544" t="s">
        <v>17</v>
      </c>
      <c r="AF52" s="544" t="s">
        <v>26</v>
      </c>
      <c r="AG52" s="544" t="s">
        <v>674</v>
      </c>
      <c r="AH52" s="544" t="s">
        <v>678</v>
      </c>
      <c r="AI52" s="544" t="s">
        <v>1125</v>
      </c>
      <c r="AJ52" s="544" t="s">
        <v>206</v>
      </c>
      <c r="AK52" s="544" t="s">
        <v>689</v>
      </c>
      <c r="AL52" s="544" t="s">
        <v>206</v>
      </c>
      <c r="AM52" s="66">
        <v>1</v>
      </c>
      <c r="AN52" s="544" t="str">
        <f t="shared" ref="AN52:AN72" si="95">+AB52</f>
        <v>Definir la política de cero papel y someterla a aprobación del Comité Institucional de Gestión y Desempeño</v>
      </c>
      <c r="AO52" s="550">
        <f>+AC52</f>
        <v>0</v>
      </c>
      <c r="AP52" s="548" t="s">
        <v>48</v>
      </c>
      <c r="AQ52" s="66">
        <v>0</v>
      </c>
      <c r="AR52" s="544" t="str">
        <f>+AN52</f>
        <v>Definir la política de cero papel y someterla a aprobación del Comité Institucional de Gestión y Desempeño</v>
      </c>
      <c r="AS52" s="542">
        <v>0</v>
      </c>
      <c r="AT52" s="587">
        <v>0</v>
      </c>
      <c r="AU52" s="638">
        <v>0</v>
      </c>
      <c r="AV52" s="543" t="e">
        <f t="shared" si="71"/>
        <v>#DIV/0!</v>
      </c>
      <c r="AW52" s="543" t="e">
        <f t="shared" si="72"/>
        <v>#DIV/0!</v>
      </c>
      <c r="AX52" s="543">
        <f t="shared" si="73"/>
        <v>0</v>
      </c>
      <c r="AY52" s="543" t="e">
        <f t="shared" si="74"/>
        <v>#DIV/0!</v>
      </c>
      <c r="AZ52" s="632" t="s">
        <v>1461</v>
      </c>
      <c r="BA52" s="66">
        <v>1</v>
      </c>
      <c r="BB52" s="544" t="str">
        <f>+AN52</f>
        <v>Definir la política de cero papel y someterla a aprobación del Comité Institucional de Gestión y Desempeño</v>
      </c>
      <c r="BC52" s="542">
        <v>0</v>
      </c>
      <c r="BD52" s="73"/>
      <c r="BE52" s="73"/>
      <c r="BF52" s="543">
        <f t="shared" si="75"/>
        <v>0</v>
      </c>
      <c r="BG52" s="543" t="e">
        <f t="shared" si="76"/>
        <v>#DIV/0!</v>
      </c>
      <c r="BH52" s="543">
        <f t="shared" si="77"/>
        <v>0</v>
      </c>
      <c r="BI52" s="543" t="e">
        <f t="shared" si="78"/>
        <v>#DIV/0!</v>
      </c>
      <c r="BJ52" s="543"/>
      <c r="BK52" s="66">
        <v>0</v>
      </c>
      <c r="BL52" s="544" t="str">
        <f>+AN52</f>
        <v>Definir la política de cero papel y someterla a aprobación del Comité Institucional de Gestión y Desempeño</v>
      </c>
      <c r="BM52" s="542">
        <v>0</v>
      </c>
      <c r="BN52" s="541"/>
      <c r="BO52" s="541"/>
      <c r="BP52" s="543" t="e">
        <f t="shared" si="79"/>
        <v>#DIV/0!</v>
      </c>
      <c r="BQ52" s="543" t="e">
        <f t="shared" si="80"/>
        <v>#DIV/0!</v>
      </c>
      <c r="BR52" s="543">
        <f t="shared" si="81"/>
        <v>0</v>
      </c>
      <c r="BS52" s="543" t="e">
        <f t="shared" si="82"/>
        <v>#DIV/0!</v>
      </c>
      <c r="BT52" s="543"/>
      <c r="BU52" s="66">
        <v>0</v>
      </c>
      <c r="BV52" s="544" t="str">
        <f>+AN52</f>
        <v>Definir la política de cero papel y someterla a aprobación del Comité Institucional de Gestión y Desempeño</v>
      </c>
      <c r="BW52" s="542">
        <v>0</v>
      </c>
      <c r="BX52" s="541"/>
      <c r="BY52" s="541"/>
      <c r="BZ52" s="547" t="e">
        <f t="shared" si="83"/>
        <v>#DIV/0!</v>
      </c>
      <c r="CA52" s="547" t="e">
        <f t="shared" si="84"/>
        <v>#DIV/0!</v>
      </c>
      <c r="CB52" s="547">
        <f t="shared" si="85"/>
        <v>0</v>
      </c>
      <c r="CC52" s="547" t="e">
        <f t="shared" si="86"/>
        <v>#DIV/0!</v>
      </c>
      <c r="CD52" s="547"/>
      <c r="CE52" s="546" t="str">
        <f t="shared" si="87"/>
        <v>No Prog ni Ejec</v>
      </c>
      <c r="CF52" s="546" t="str">
        <f t="shared" si="88"/>
        <v>No Prog ni Ejec</v>
      </c>
      <c r="CG52" s="546">
        <f t="shared" si="89"/>
        <v>0</v>
      </c>
      <c r="CH52" s="546" t="str">
        <f t="shared" si="90"/>
        <v>No Prog ni Ejec</v>
      </c>
      <c r="CI52" s="546" t="str">
        <f t="shared" si="91"/>
        <v>No Prog ni Ejec</v>
      </c>
      <c r="CJ52" s="546" t="str">
        <f t="shared" si="92"/>
        <v>No Prog ni Ejec</v>
      </c>
      <c r="CK52" s="546" t="str">
        <f t="shared" si="93"/>
        <v>No Prog ni Ejec</v>
      </c>
      <c r="CL52" s="546" t="str">
        <f t="shared" si="94"/>
        <v>No Prog ni Ejec</v>
      </c>
      <c r="CM52" s="157">
        <f t="shared" si="6"/>
        <v>0</v>
      </c>
      <c r="CW52" s="138">
        <v>6</v>
      </c>
    </row>
    <row r="53" spans="1:106" s="75" customFormat="1" ht="89.25" x14ac:dyDescent="0.2">
      <c r="A53" s="541">
        <v>11700</v>
      </c>
      <c r="B53" s="544" t="s">
        <v>14</v>
      </c>
      <c r="C53" s="544" t="s">
        <v>332</v>
      </c>
      <c r="D53" s="544"/>
      <c r="E53" s="544" t="s">
        <v>1108</v>
      </c>
      <c r="F53" s="544"/>
      <c r="G53" s="544"/>
      <c r="H53" s="544"/>
      <c r="I53" s="544"/>
      <c r="J53" s="544"/>
      <c r="K53" s="544"/>
      <c r="L53" s="544"/>
      <c r="M53" s="544"/>
      <c r="N53" s="544"/>
      <c r="O53" s="544"/>
      <c r="P53" s="544"/>
      <c r="Q53" s="540" t="s">
        <v>206</v>
      </c>
      <c r="R53" s="540" t="s">
        <v>206</v>
      </c>
      <c r="S53" s="541" t="s">
        <v>240</v>
      </c>
      <c r="T53" s="544" t="s">
        <v>94</v>
      </c>
      <c r="U53" s="544" t="s">
        <v>206</v>
      </c>
      <c r="V53" s="544" t="s">
        <v>206</v>
      </c>
      <c r="W53" s="541" t="s">
        <v>780</v>
      </c>
      <c r="X53" s="544" t="s">
        <v>686</v>
      </c>
      <c r="Y53" s="554" t="s">
        <v>394</v>
      </c>
      <c r="Z53" s="67">
        <v>1</v>
      </c>
      <c r="AA53" s="541" t="s">
        <v>758</v>
      </c>
      <c r="AB53" s="544" t="s">
        <v>648</v>
      </c>
      <c r="AC53" s="549">
        <v>0</v>
      </c>
      <c r="AD53" s="545">
        <v>1</v>
      </c>
      <c r="AE53" s="544" t="s">
        <v>17</v>
      </c>
      <c r="AF53" s="544" t="s">
        <v>26</v>
      </c>
      <c r="AG53" s="544" t="s">
        <v>674</v>
      </c>
      <c r="AH53" s="544" t="s">
        <v>678</v>
      </c>
      <c r="AI53" s="544" t="s">
        <v>1125</v>
      </c>
      <c r="AJ53" s="544" t="s">
        <v>206</v>
      </c>
      <c r="AK53" s="544" t="s">
        <v>688</v>
      </c>
      <c r="AL53" s="544" t="s">
        <v>206</v>
      </c>
      <c r="AM53" s="66">
        <v>1</v>
      </c>
      <c r="AN53" s="544" t="str">
        <f t="shared" si="95"/>
        <v>Definir la política y los indicadores de gestión ambiental y someterlos a aprobación del Comité Institucional de Desarrollo Administrativo</v>
      </c>
      <c r="AO53" s="550">
        <f>+AC53</f>
        <v>0</v>
      </c>
      <c r="AP53" s="548" t="s">
        <v>46</v>
      </c>
      <c r="AQ53" s="66">
        <v>0</v>
      </c>
      <c r="AR53" s="544" t="str">
        <f>+AN53</f>
        <v>Definir la política y los indicadores de gestión ambiental y someterlos a aprobación del Comité Institucional de Desarrollo Administrativo</v>
      </c>
      <c r="AS53" s="542">
        <v>0</v>
      </c>
      <c r="AT53" s="587">
        <v>0</v>
      </c>
      <c r="AU53" s="638">
        <v>0</v>
      </c>
      <c r="AV53" s="543" t="e">
        <f t="shared" si="71"/>
        <v>#DIV/0!</v>
      </c>
      <c r="AW53" s="543" t="e">
        <f t="shared" si="72"/>
        <v>#DIV/0!</v>
      </c>
      <c r="AX53" s="543">
        <f t="shared" si="73"/>
        <v>0</v>
      </c>
      <c r="AY53" s="543" t="e">
        <f t="shared" si="74"/>
        <v>#DIV/0!</v>
      </c>
      <c r="AZ53" s="632" t="s">
        <v>1461</v>
      </c>
      <c r="BA53" s="66">
        <v>0</v>
      </c>
      <c r="BB53" s="544" t="str">
        <f>+AN53</f>
        <v>Definir la política y los indicadores de gestión ambiental y someterlos a aprobación del Comité Institucional de Desarrollo Administrativo</v>
      </c>
      <c r="BC53" s="542">
        <v>0</v>
      </c>
      <c r="BD53" s="73"/>
      <c r="BE53" s="73"/>
      <c r="BF53" s="543" t="e">
        <f t="shared" si="75"/>
        <v>#DIV/0!</v>
      </c>
      <c r="BG53" s="543" t="e">
        <f t="shared" si="76"/>
        <v>#DIV/0!</v>
      </c>
      <c r="BH53" s="543">
        <f t="shared" si="77"/>
        <v>0</v>
      </c>
      <c r="BI53" s="543" t="e">
        <f t="shared" si="78"/>
        <v>#DIV/0!</v>
      </c>
      <c r="BJ53" s="543"/>
      <c r="BK53" s="66">
        <v>1</v>
      </c>
      <c r="BL53" s="544" t="str">
        <f>+AN53</f>
        <v>Definir la política y los indicadores de gestión ambiental y someterlos a aprobación del Comité Institucional de Desarrollo Administrativo</v>
      </c>
      <c r="BM53" s="542">
        <v>0</v>
      </c>
      <c r="BN53" s="541"/>
      <c r="BO53" s="541"/>
      <c r="BP53" s="543">
        <f t="shared" si="79"/>
        <v>0</v>
      </c>
      <c r="BQ53" s="543" t="e">
        <f t="shared" si="80"/>
        <v>#DIV/0!</v>
      </c>
      <c r="BR53" s="543">
        <f t="shared" si="81"/>
        <v>0</v>
      </c>
      <c r="BS53" s="543" t="e">
        <f t="shared" si="82"/>
        <v>#DIV/0!</v>
      </c>
      <c r="BT53" s="543"/>
      <c r="BU53" s="66">
        <v>0</v>
      </c>
      <c r="BV53" s="544" t="str">
        <f>+AN53</f>
        <v>Definir la política y los indicadores de gestión ambiental y someterlos a aprobación del Comité Institucional de Desarrollo Administrativo</v>
      </c>
      <c r="BW53" s="542">
        <v>0</v>
      </c>
      <c r="BX53" s="541"/>
      <c r="BY53" s="541"/>
      <c r="BZ53" s="547" t="e">
        <f t="shared" si="83"/>
        <v>#DIV/0!</v>
      </c>
      <c r="CA53" s="547" t="e">
        <f t="shared" si="84"/>
        <v>#DIV/0!</v>
      </c>
      <c r="CB53" s="547">
        <f t="shared" si="85"/>
        <v>0</v>
      </c>
      <c r="CC53" s="547" t="e">
        <f t="shared" si="86"/>
        <v>#DIV/0!</v>
      </c>
      <c r="CD53" s="547"/>
      <c r="CE53" s="546" t="str">
        <f t="shared" si="87"/>
        <v>No Prog ni Ejec</v>
      </c>
      <c r="CF53" s="546" t="str">
        <f t="shared" si="88"/>
        <v>No Prog ni Ejec</v>
      </c>
      <c r="CG53" s="546" t="str">
        <f t="shared" si="89"/>
        <v>No Prog ni Ejec</v>
      </c>
      <c r="CH53" s="546" t="str">
        <f t="shared" si="90"/>
        <v>No Prog ni Ejec</v>
      </c>
      <c r="CI53" s="546">
        <f t="shared" si="91"/>
        <v>0</v>
      </c>
      <c r="CJ53" s="546" t="str">
        <f t="shared" si="92"/>
        <v>No Prog ni Ejec</v>
      </c>
      <c r="CK53" s="546" t="str">
        <f t="shared" si="93"/>
        <v>No Prog ni Ejec</v>
      </c>
      <c r="CL53" s="546" t="str">
        <f t="shared" si="94"/>
        <v>No Prog ni Ejec</v>
      </c>
      <c r="CM53" s="157">
        <f t="shared" si="6"/>
        <v>0</v>
      </c>
      <c r="CW53" s="138">
        <v>6</v>
      </c>
    </row>
    <row r="54" spans="1:106" s="75" customFormat="1" ht="127.5" x14ac:dyDescent="0.2">
      <c r="A54" s="541">
        <v>11700</v>
      </c>
      <c r="B54" s="544" t="s">
        <v>14</v>
      </c>
      <c r="C54" s="544" t="s">
        <v>332</v>
      </c>
      <c r="D54" s="544"/>
      <c r="E54" s="544" t="s">
        <v>1108</v>
      </c>
      <c r="F54" s="544"/>
      <c r="G54" s="544"/>
      <c r="H54" s="544"/>
      <c r="I54" s="544"/>
      <c r="J54" s="544"/>
      <c r="K54" s="544"/>
      <c r="L54" s="544"/>
      <c r="M54" s="544"/>
      <c r="N54" s="544"/>
      <c r="O54" s="544"/>
      <c r="P54" s="544"/>
      <c r="Q54" s="540" t="s">
        <v>206</v>
      </c>
      <c r="R54" s="540" t="s">
        <v>206</v>
      </c>
      <c r="S54" s="541" t="s">
        <v>240</v>
      </c>
      <c r="T54" s="544" t="s">
        <v>94</v>
      </c>
      <c r="U54" s="544" t="s">
        <v>206</v>
      </c>
      <c r="V54" s="544" t="s">
        <v>206</v>
      </c>
      <c r="W54" s="541" t="s">
        <v>781</v>
      </c>
      <c r="X54" s="544" t="s">
        <v>753</v>
      </c>
      <c r="Y54" s="554" t="s">
        <v>394</v>
      </c>
      <c r="Z54" s="67">
        <v>1</v>
      </c>
      <c r="AA54" s="541" t="s">
        <v>759</v>
      </c>
      <c r="AB54" s="544" t="s">
        <v>649</v>
      </c>
      <c r="AC54" s="549">
        <v>0</v>
      </c>
      <c r="AD54" s="545">
        <v>1</v>
      </c>
      <c r="AE54" s="544" t="s">
        <v>17</v>
      </c>
      <c r="AF54" s="544" t="s">
        <v>297</v>
      </c>
      <c r="AG54" s="544" t="s">
        <v>674</v>
      </c>
      <c r="AH54" s="544" t="s">
        <v>678</v>
      </c>
      <c r="AI54" s="544" t="s">
        <v>1125</v>
      </c>
      <c r="AJ54" s="544" t="s">
        <v>678</v>
      </c>
      <c r="AK54" s="544" t="s">
        <v>754</v>
      </c>
      <c r="AL54" s="544" t="s">
        <v>206</v>
      </c>
      <c r="AM54" s="66">
        <v>1</v>
      </c>
      <c r="AN54" s="544" t="str">
        <f t="shared" si="95"/>
        <v>Revisar los formatos de los procesos a cargo de la Dirección Administrativa y Financiera para determinar su conveniencia</v>
      </c>
      <c r="AO54" s="550">
        <f>+AC54</f>
        <v>0</v>
      </c>
      <c r="AP54" s="548" t="s">
        <v>46</v>
      </c>
      <c r="AQ54" s="66">
        <v>1</v>
      </c>
      <c r="AR54" s="544" t="str">
        <f>+AN54</f>
        <v>Revisar los formatos de los procesos a cargo de la Dirección Administrativa y Financiera para determinar su conveniencia</v>
      </c>
      <c r="AS54" s="542">
        <v>0</v>
      </c>
      <c r="AT54" s="587">
        <v>1</v>
      </c>
      <c r="AU54" s="638">
        <v>0</v>
      </c>
      <c r="AV54" s="543">
        <f t="shared" si="71"/>
        <v>1</v>
      </c>
      <c r="AW54" s="543" t="e">
        <f t="shared" si="72"/>
        <v>#DIV/0!</v>
      </c>
      <c r="AX54" s="543">
        <f t="shared" si="73"/>
        <v>1</v>
      </c>
      <c r="AY54" s="543" t="e">
        <f t="shared" si="74"/>
        <v>#DIV/0!</v>
      </c>
      <c r="AZ54" s="632" t="s">
        <v>1462</v>
      </c>
      <c r="BA54" s="66">
        <v>0</v>
      </c>
      <c r="BB54" s="544" t="str">
        <f>+AN54</f>
        <v>Revisar los formatos de los procesos a cargo de la Dirección Administrativa y Financiera para determinar su conveniencia</v>
      </c>
      <c r="BC54" s="542">
        <v>0</v>
      </c>
      <c r="BD54" s="73"/>
      <c r="BE54" s="73"/>
      <c r="BF54" s="543" t="e">
        <f t="shared" si="75"/>
        <v>#DIV/0!</v>
      </c>
      <c r="BG54" s="543" t="e">
        <f t="shared" si="76"/>
        <v>#DIV/0!</v>
      </c>
      <c r="BH54" s="543">
        <f t="shared" si="77"/>
        <v>1</v>
      </c>
      <c r="BI54" s="543" t="e">
        <f t="shared" si="78"/>
        <v>#DIV/0!</v>
      </c>
      <c r="BJ54" s="543"/>
      <c r="BK54" s="66">
        <v>0</v>
      </c>
      <c r="BL54" s="544" t="str">
        <f>+AN54</f>
        <v>Revisar los formatos de los procesos a cargo de la Dirección Administrativa y Financiera para determinar su conveniencia</v>
      </c>
      <c r="BM54" s="542">
        <v>0</v>
      </c>
      <c r="BN54" s="541"/>
      <c r="BO54" s="541"/>
      <c r="BP54" s="543" t="e">
        <f t="shared" si="79"/>
        <v>#DIV/0!</v>
      </c>
      <c r="BQ54" s="543" t="e">
        <f t="shared" si="80"/>
        <v>#DIV/0!</v>
      </c>
      <c r="BR54" s="543">
        <f t="shared" si="81"/>
        <v>1</v>
      </c>
      <c r="BS54" s="543" t="e">
        <f t="shared" si="82"/>
        <v>#DIV/0!</v>
      </c>
      <c r="BT54" s="543"/>
      <c r="BU54" s="66">
        <v>0</v>
      </c>
      <c r="BV54" s="544" t="str">
        <f>+AN54</f>
        <v>Revisar los formatos de los procesos a cargo de la Dirección Administrativa y Financiera para determinar su conveniencia</v>
      </c>
      <c r="BW54" s="542">
        <v>0</v>
      </c>
      <c r="BX54" s="541"/>
      <c r="BY54" s="541"/>
      <c r="BZ54" s="547" t="e">
        <f t="shared" si="83"/>
        <v>#DIV/0!</v>
      </c>
      <c r="CA54" s="547" t="e">
        <f t="shared" si="84"/>
        <v>#DIV/0!</v>
      </c>
      <c r="CB54" s="547">
        <f t="shared" si="85"/>
        <v>1</v>
      </c>
      <c r="CC54" s="547" t="e">
        <f t="shared" si="86"/>
        <v>#DIV/0!</v>
      </c>
      <c r="CD54" s="547"/>
      <c r="CE54" s="546">
        <f t="shared" si="87"/>
        <v>1</v>
      </c>
      <c r="CF54" s="546" t="str">
        <f t="shared" si="88"/>
        <v>No Prog ni Ejec</v>
      </c>
      <c r="CG54" s="546" t="str">
        <f t="shared" si="89"/>
        <v>No Prog ni Ejec</v>
      </c>
      <c r="CH54" s="546" t="str">
        <f t="shared" si="90"/>
        <v>No Prog ni Ejec</v>
      </c>
      <c r="CI54" s="546" t="str">
        <f t="shared" si="91"/>
        <v>No Prog ni Ejec</v>
      </c>
      <c r="CJ54" s="546" t="str">
        <f t="shared" si="92"/>
        <v>No Prog ni Ejec</v>
      </c>
      <c r="CK54" s="546" t="str">
        <f t="shared" si="93"/>
        <v>No Prog ni Ejec</v>
      </c>
      <c r="CL54" s="546" t="str">
        <f t="shared" si="94"/>
        <v>No Prog ni Ejec</v>
      </c>
      <c r="CM54" s="157">
        <f t="shared" si="6"/>
        <v>0</v>
      </c>
      <c r="CW54" s="138">
        <v>6</v>
      </c>
    </row>
    <row r="55" spans="1:106" s="75" customFormat="1" ht="267.75" x14ac:dyDescent="0.2">
      <c r="A55" s="541">
        <v>11700</v>
      </c>
      <c r="B55" s="544" t="s">
        <v>14</v>
      </c>
      <c r="C55" s="559" t="s">
        <v>721</v>
      </c>
      <c r="D55" s="559"/>
      <c r="E55" s="559"/>
      <c r="F55" s="559" t="s">
        <v>1108</v>
      </c>
      <c r="G55" s="559" t="s">
        <v>1108</v>
      </c>
      <c r="H55" s="559"/>
      <c r="I55" s="559" t="s">
        <v>1108</v>
      </c>
      <c r="J55" s="559"/>
      <c r="K55" s="559"/>
      <c r="L55" s="559" t="s">
        <v>1108</v>
      </c>
      <c r="M55" s="559"/>
      <c r="N55" s="559"/>
      <c r="O55" s="559"/>
      <c r="P55" s="559"/>
      <c r="Q55" s="540" t="s">
        <v>206</v>
      </c>
      <c r="R55" s="540" t="s">
        <v>206</v>
      </c>
      <c r="S55" s="541" t="s">
        <v>240</v>
      </c>
      <c r="T55" s="544" t="s">
        <v>94</v>
      </c>
      <c r="U55" s="544" t="s">
        <v>206</v>
      </c>
      <c r="V55" s="544" t="s">
        <v>206</v>
      </c>
      <c r="W55" s="541" t="s">
        <v>782</v>
      </c>
      <c r="X55" s="544" t="s">
        <v>744</v>
      </c>
      <c r="Y55" s="554" t="s">
        <v>394</v>
      </c>
      <c r="Z55" s="553">
        <v>1</v>
      </c>
      <c r="AA55" s="541" t="s">
        <v>760</v>
      </c>
      <c r="AB55" s="544" t="s">
        <v>728</v>
      </c>
      <c r="AC55" s="874">
        <v>106329768</v>
      </c>
      <c r="AD55" s="545">
        <v>1</v>
      </c>
      <c r="AE55" s="544" t="s">
        <v>16</v>
      </c>
      <c r="AF55" s="544" t="s">
        <v>21</v>
      </c>
      <c r="AG55" s="544" t="s">
        <v>206</v>
      </c>
      <c r="AH55" s="544" t="s">
        <v>678</v>
      </c>
      <c r="AI55" s="544" t="s">
        <v>77</v>
      </c>
      <c r="AJ55" s="544" t="s">
        <v>1409</v>
      </c>
      <c r="AK55" s="544" t="s">
        <v>752</v>
      </c>
      <c r="AL55" s="544" t="s">
        <v>43</v>
      </c>
      <c r="AM55" s="553">
        <v>1</v>
      </c>
      <c r="AN55" s="544" t="str">
        <f t="shared" si="95"/>
        <v xml:space="preserve">Socializar y divulgar las Políticas de SST y Prevención de alcohol y drogas a todos los servidores públicos y partes interesadas. </v>
      </c>
      <c r="AO55" s="857">
        <f>+AC55</f>
        <v>106329768</v>
      </c>
      <c r="AP55" s="548" t="s">
        <v>46</v>
      </c>
      <c r="AQ55" s="187">
        <v>1</v>
      </c>
      <c r="AR55" s="544" t="str">
        <f>+AN55</f>
        <v xml:space="preserve">Socializar y divulgar las Políticas de SST y Prevención de alcohol y drogas a todos los servidores públicos y partes interesadas. </v>
      </c>
      <c r="AS55" s="874">
        <f>+AO55/4</f>
        <v>26582442</v>
      </c>
      <c r="AT55" s="587">
        <v>1</v>
      </c>
      <c r="AU55" s="868">
        <f>3692006+3692006+4430407+4430407</f>
        <v>16244826</v>
      </c>
      <c r="AV55" s="543">
        <f t="shared" si="71"/>
        <v>1</v>
      </c>
      <c r="AW55" s="847">
        <f t="shared" si="72"/>
        <v>0.61111112365071651</v>
      </c>
      <c r="AX55" s="543">
        <f t="shared" si="73"/>
        <v>1</v>
      </c>
      <c r="AY55" s="847">
        <f t="shared" si="74"/>
        <v>0.15277778091267913</v>
      </c>
      <c r="AZ55" s="586" t="s">
        <v>1463</v>
      </c>
      <c r="BA55" s="187">
        <v>0</v>
      </c>
      <c r="BB55" s="544" t="str">
        <f>+AN55</f>
        <v xml:space="preserve">Socializar y divulgar las Políticas de SST y Prevención de alcohol y drogas a todos los servidores públicos y partes interesadas. </v>
      </c>
      <c r="BC55" s="867">
        <f>$AC$55/4</f>
        <v>26582442</v>
      </c>
      <c r="BD55" s="73"/>
      <c r="BE55" s="860"/>
      <c r="BF55" s="543" t="e">
        <f t="shared" si="75"/>
        <v>#DIV/0!</v>
      </c>
      <c r="BG55" s="847">
        <f t="shared" si="76"/>
        <v>0</v>
      </c>
      <c r="BH55" s="543">
        <f t="shared" si="77"/>
        <v>1</v>
      </c>
      <c r="BI55" s="847">
        <f t="shared" si="78"/>
        <v>0.15277778091267913</v>
      </c>
      <c r="BJ55" s="543"/>
      <c r="BK55" s="187">
        <v>0</v>
      </c>
      <c r="BL55" s="544" t="str">
        <f>+AN55</f>
        <v xml:space="preserve">Socializar y divulgar las Políticas de SST y Prevención de alcohol y drogas a todos los servidores públicos y partes interesadas. </v>
      </c>
      <c r="BM55" s="867">
        <f>$AC$55/4</f>
        <v>26582442</v>
      </c>
      <c r="BN55" s="541"/>
      <c r="BO55" s="851"/>
      <c r="BP55" s="543" t="e">
        <f t="shared" si="79"/>
        <v>#DIV/0!</v>
      </c>
      <c r="BQ55" s="847">
        <f t="shared" si="80"/>
        <v>0</v>
      </c>
      <c r="BR55" s="543">
        <f t="shared" si="81"/>
        <v>1</v>
      </c>
      <c r="BS55" s="847">
        <f t="shared" si="82"/>
        <v>0.15277778091267913</v>
      </c>
      <c r="BT55" s="543"/>
      <c r="BU55" s="187">
        <v>0</v>
      </c>
      <c r="BV55" s="544" t="str">
        <f>+AN55</f>
        <v xml:space="preserve">Socializar y divulgar las Políticas de SST y Prevención de alcohol y drogas a todos los servidores públicos y partes interesadas. </v>
      </c>
      <c r="BW55" s="867">
        <f>$AC$55/4</f>
        <v>26582442</v>
      </c>
      <c r="BX55" s="541"/>
      <c r="BY55" s="851"/>
      <c r="BZ55" s="547" t="e">
        <f t="shared" si="83"/>
        <v>#DIV/0!</v>
      </c>
      <c r="CA55" s="854">
        <f t="shared" si="84"/>
        <v>0</v>
      </c>
      <c r="CB55" s="547">
        <f t="shared" si="85"/>
        <v>1</v>
      </c>
      <c r="CC55" s="854">
        <f t="shared" si="86"/>
        <v>0.15277778091267913</v>
      </c>
      <c r="CD55" s="547"/>
      <c r="CE55" s="546">
        <f t="shared" si="87"/>
        <v>1</v>
      </c>
      <c r="CF55" s="853">
        <f t="shared" si="88"/>
        <v>0.61111112365071651</v>
      </c>
      <c r="CG55" s="546" t="str">
        <f t="shared" si="89"/>
        <v>No Prog ni Ejec</v>
      </c>
      <c r="CH55" s="853">
        <f t="shared" si="90"/>
        <v>0</v>
      </c>
      <c r="CI55" s="546" t="str">
        <f t="shared" si="91"/>
        <v>No Prog ni Ejec</v>
      </c>
      <c r="CJ55" s="853">
        <f t="shared" si="92"/>
        <v>0</v>
      </c>
      <c r="CK55" s="546" t="str">
        <f t="shared" si="93"/>
        <v>No Prog ni Ejec</v>
      </c>
      <c r="CL55" s="853">
        <f t="shared" si="94"/>
        <v>0</v>
      </c>
      <c r="CM55" s="157">
        <f t="shared" si="6"/>
        <v>0</v>
      </c>
      <c r="CU55" s="75">
        <v>4</v>
      </c>
    </row>
    <row r="56" spans="1:106" s="75" customFormat="1" ht="89.25" x14ac:dyDescent="0.2">
      <c r="A56" s="541">
        <v>11700</v>
      </c>
      <c r="B56" s="544" t="s">
        <v>14</v>
      </c>
      <c r="C56" s="559" t="s">
        <v>535</v>
      </c>
      <c r="D56" s="559"/>
      <c r="E56" s="559"/>
      <c r="F56" s="559" t="s">
        <v>1108</v>
      </c>
      <c r="G56" s="559"/>
      <c r="H56" s="559"/>
      <c r="I56" s="559" t="s">
        <v>1108</v>
      </c>
      <c r="J56" s="559"/>
      <c r="K56" s="559"/>
      <c r="L56" s="559" t="s">
        <v>1108</v>
      </c>
      <c r="M56" s="559"/>
      <c r="N56" s="559"/>
      <c r="O56" s="559"/>
      <c r="P56" s="559"/>
      <c r="Q56" s="540" t="s">
        <v>206</v>
      </c>
      <c r="R56" s="540" t="s">
        <v>206</v>
      </c>
      <c r="S56" s="541" t="s">
        <v>240</v>
      </c>
      <c r="T56" s="544" t="s">
        <v>94</v>
      </c>
      <c r="U56" s="544" t="s">
        <v>206</v>
      </c>
      <c r="V56" s="544" t="s">
        <v>206</v>
      </c>
      <c r="W56" s="541" t="s">
        <v>783</v>
      </c>
      <c r="X56" s="544" t="s">
        <v>716</v>
      </c>
      <c r="Y56" s="554" t="s">
        <v>394</v>
      </c>
      <c r="Z56" s="553">
        <v>2</v>
      </c>
      <c r="AA56" s="541" t="s">
        <v>761</v>
      </c>
      <c r="AB56" s="544" t="s">
        <v>722</v>
      </c>
      <c r="AC56" s="874"/>
      <c r="AD56" s="545">
        <v>1</v>
      </c>
      <c r="AE56" s="544" t="s">
        <v>16</v>
      </c>
      <c r="AF56" s="544" t="s">
        <v>21</v>
      </c>
      <c r="AG56" s="544" t="s">
        <v>206</v>
      </c>
      <c r="AH56" s="544" t="s">
        <v>678</v>
      </c>
      <c r="AI56" s="544" t="s">
        <v>77</v>
      </c>
      <c r="AJ56" s="544" t="s">
        <v>1408</v>
      </c>
      <c r="AK56" s="544" t="s">
        <v>752</v>
      </c>
      <c r="AL56" s="544" t="s">
        <v>43</v>
      </c>
      <c r="AM56" s="553">
        <v>2</v>
      </c>
      <c r="AN56" s="544" t="str">
        <f t="shared" si="95"/>
        <v>Actualizar la matriz de requisitos legales</v>
      </c>
      <c r="AO56" s="857"/>
      <c r="AP56" s="548" t="s">
        <v>46</v>
      </c>
      <c r="AQ56" s="187">
        <v>0</v>
      </c>
      <c r="AR56" s="544" t="str">
        <f t="shared" ref="AR56:AR66" si="96">+AN56</f>
        <v>Actualizar la matriz de requisitos legales</v>
      </c>
      <c r="AS56" s="874"/>
      <c r="AT56" s="573">
        <v>0</v>
      </c>
      <c r="AU56" s="842"/>
      <c r="AV56" s="543" t="e">
        <f t="shared" ref="AV56:AV66" si="97">+(AT56/AQ56)</f>
        <v>#DIV/0!</v>
      </c>
      <c r="AW56" s="847"/>
      <c r="AX56" s="543">
        <f t="shared" ref="AX56:AX66" si="98">+(AT56/AM56)</f>
        <v>0</v>
      </c>
      <c r="AY56" s="847"/>
      <c r="AZ56" s="641" t="s">
        <v>1464</v>
      </c>
      <c r="BA56" s="187">
        <v>1</v>
      </c>
      <c r="BB56" s="544" t="str">
        <f t="shared" ref="BB56:BB66" si="99">+AN56</f>
        <v>Actualizar la matriz de requisitos legales</v>
      </c>
      <c r="BC56" s="867"/>
      <c r="BD56" s="73"/>
      <c r="BE56" s="860"/>
      <c r="BF56" s="543">
        <f t="shared" ref="BF56:BF66" si="100">+(BD56/BA56)</f>
        <v>0</v>
      </c>
      <c r="BG56" s="847"/>
      <c r="BH56" s="543">
        <f t="shared" ref="BH56:BH66" si="101">+(BD56+AT56)/AM56</f>
        <v>0</v>
      </c>
      <c r="BI56" s="847"/>
      <c r="BJ56" s="543"/>
      <c r="BK56" s="187">
        <v>0</v>
      </c>
      <c r="BL56" s="544" t="str">
        <f t="shared" ref="BL56:BL66" si="102">+AN56</f>
        <v>Actualizar la matriz de requisitos legales</v>
      </c>
      <c r="BM56" s="867"/>
      <c r="BN56" s="541"/>
      <c r="BO56" s="851"/>
      <c r="BP56" s="543" t="e">
        <f t="shared" ref="BP56:BP66" si="103">+(BN56/BK56)</f>
        <v>#DIV/0!</v>
      </c>
      <c r="BQ56" s="847"/>
      <c r="BR56" s="543">
        <f t="shared" ref="BR56:BR66" si="104">+(BD56+AT56+BN56)/AM56</f>
        <v>0</v>
      </c>
      <c r="BS56" s="847"/>
      <c r="BT56" s="543"/>
      <c r="BU56" s="187">
        <v>1</v>
      </c>
      <c r="BV56" s="544" t="str">
        <f t="shared" ref="BV56:BV66" si="105">+AN56</f>
        <v>Actualizar la matriz de requisitos legales</v>
      </c>
      <c r="BW56" s="867"/>
      <c r="BX56" s="541"/>
      <c r="BY56" s="851"/>
      <c r="BZ56" s="547">
        <f t="shared" ref="BZ56:BZ66" si="106">+(BX56/BU56)</f>
        <v>0</v>
      </c>
      <c r="CA56" s="854"/>
      <c r="CB56" s="547">
        <f t="shared" ref="CB56:CB66" si="107">+(BD56+AT56+BN56+BX56)/AM56</f>
        <v>0</v>
      </c>
      <c r="CC56" s="854"/>
      <c r="CD56" s="547"/>
      <c r="CE56" s="546" t="str">
        <f t="shared" ref="CE56:CE66" si="108">IF(AND(AQ56=0,AT56=0),"No Prog ni Ejec",IF(AQ56=0,CONCATENATE("No Prog, Ejec=  ",AT56),AT56/AQ56))</f>
        <v>No Prog ni Ejec</v>
      </c>
      <c r="CF56" s="853"/>
      <c r="CG56" s="546">
        <f t="shared" ref="CG56:CG66" si="109">IF(AND(BA56=0,BD56=0),"No Prog ni Ejec",IF(BA56=0,CONCATENATE("No Prog, Ejec=  ",BD56),BD56/BA56))</f>
        <v>0</v>
      </c>
      <c r="CH56" s="853"/>
      <c r="CI56" s="546" t="str">
        <f t="shared" ref="CI56:CI66" si="110">IF(AND(BK56=0,BN56=0),"No Prog ni Ejec",IF(BK56=0,CONCATENATE("No Prog, Ejec=  ",BN56),BN56/BK56))</f>
        <v>No Prog ni Ejec</v>
      </c>
      <c r="CJ56" s="853"/>
      <c r="CK56" s="546">
        <f t="shared" ref="CK56:CK66" si="111">IF(AND(BU56=0,BX56=0),"No Prog ni Ejec",IF(BU56=0,CONCATENATE("No Prog, Ejec=  ",BX56),BX56/BU56))</f>
        <v>0</v>
      </c>
      <c r="CL56" s="853"/>
      <c r="CM56" s="157">
        <f t="shared" si="6"/>
        <v>0</v>
      </c>
      <c r="CY56" s="75">
        <v>8</v>
      </c>
      <c r="DB56" s="75">
        <v>11</v>
      </c>
    </row>
    <row r="57" spans="1:106" s="75" customFormat="1" ht="178.5" x14ac:dyDescent="0.2">
      <c r="A57" s="541">
        <v>11700</v>
      </c>
      <c r="B57" s="544" t="s">
        <v>14</v>
      </c>
      <c r="C57" s="559" t="s">
        <v>535</v>
      </c>
      <c r="D57" s="559"/>
      <c r="E57" s="559"/>
      <c r="F57" s="559" t="s">
        <v>1108</v>
      </c>
      <c r="G57" s="559"/>
      <c r="H57" s="559"/>
      <c r="I57" s="559" t="s">
        <v>1108</v>
      </c>
      <c r="J57" s="559"/>
      <c r="K57" s="559"/>
      <c r="L57" s="559" t="s">
        <v>1108</v>
      </c>
      <c r="M57" s="559"/>
      <c r="N57" s="559"/>
      <c r="O57" s="559"/>
      <c r="P57" s="559"/>
      <c r="Q57" s="540" t="s">
        <v>206</v>
      </c>
      <c r="R57" s="540" t="s">
        <v>206</v>
      </c>
      <c r="S57" s="541" t="s">
        <v>240</v>
      </c>
      <c r="T57" s="544" t="s">
        <v>94</v>
      </c>
      <c r="U57" s="544" t="s">
        <v>206</v>
      </c>
      <c r="V57" s="544" t="s">
        <v>206</v>
      </c>
      <c r="W57" s="541" t="s">
        <v>784</v>
      </c>
      <c r="X57" s="544" t="s">
        <v>717</v>
      </c>
      <c r="Y57" s="554" t="s">
        <v>394</v>
      </c>
      <c r="Z57" s="553">
        <v>2</v>
      </c>
      <c r="AA57" s="541" t="s">
        <v>762</v>
      </c>
      <c r="AB57" s="544" t="s">
        <v>723</v>
      </c>
      <c r="AC57" s="874"/>
      <c r="AD57" s="545">
        <v>1</v>
      </c>
      <c r="AE57" s="544" t="s">
        <v>16</v>
      </c>
      <c r="AF57" s="544" t="s">
        <v>21</v>
      </c>
      <c r="AG57" s="544" t="s">
        <v>206</v>
      </c>
      <c r="AH57" s="544" t="s">
        <v>678</v>
      </c>
      <c r="AI57" s="544" t="s">
        <v>77</v>
      </c>
      <c r="AJ57" s="544" t="s">
        <v>1408</v>
      </c>
      <c r="AK57" s="544" t="s">
        <v>752</v>
      </c>
      <c r="AL57" s="544" t="s">
        <v>43</v>
      </c>
      <c r="AM57" s="553">
        <v>2</v>
      </c>
      <c r="AN57" s="544" t="str">
        <f t="shared" si="95"/>
        <v>Realizar verificación y actualización de los documentos del SG-SST según requerimientos del decreto 1072 de 2015 y Resolución 1111 de 2017.</v>
      </c>
      <c r="AO57" s="857"/>
      <c r="AP57" s="548" t="s">
        <v>46</v>
      </c>
      <c r="AQ57" s="187">
        <v>0</v>
      </c>
      <c r="AR57" s="544" t="str">
        <f t="shared" si="96"/>
        <v>Realizar verificación y actualización de los documentos del SG-SST según requerimientos del decreto 1072 de 2015 y Resolución 1111 de 2017.</v>
      </c>
      <c r="AS57" s="874"/>
      <c r="AT57" s="587">
        <v>0</v>
      </c>
      <c r="AU57" s="868"/>
      <c r="AV57" s="543" t="e">
        <f t="shared" si="97"/>
        <v>#DIV/0!</v>
      </c>
      <c r="AW57" s="847"/>
      <c r="AX57" s="543">
        <f t="shared" si="98"/>
        <v>0</v>
      </c>
      <c r="AY57" s="847"/>
      <c r="AZ57" s="586" t="s">
        <v>1465</v>
      </c>
      <c r="BA57" s="187">
        <v>1</v>
      </c>
      <c r="BB57" s="544" t="str">
        <f t="shared" si="99"/>
        <v>Realizar verificación y actualización de los documentos del SG-SST según requerimientos del decreto 1072 de 2015 y Resolución 1111 de 2017.</v>
      </c>
      <c r="BC57" s="867"/>
      <c r="BD57" s="73"/>
      <c r="BE57" s="860"/>
      <c r="BF57" s="543">
        <f t="shared" si="100"/>
        <v>0</v>
      </c>
      <c r="BG57" s="847"/>
      <c r="BH57" s="543">
        <f t="shared" si="101"/>
        <v>0</v>
      </c>
      <c r="BI57" s="847"/>
      <c r="BJ57" s="543"/>
      <c r="BK57" s="187">
        <v>0</v>
      </c>
      <c r="BL57" s="544" t="str">
        <f t="shared" si="102"/>
        <v>Realizar verificación y actualización de los documentos del SG-SST según requerimientos del decreto 1072 de 2015 y Resolución 1111 de 2017.</v>
      </c>
      <c r="BM57" s="867"/>
      <c r="BN57" s="541"/>
      <c r="BO57" s="851"/>
      <c r="BP57" s="543" t="e">
        <f t="shared" si="103"/>
        <v>#DIV/0!</v>
      </c>
      <c r="BQ57" s="847"/>
      <c r="BR57" s="543">
        <f t="shared" si="104"/>
        <v>0</v>
      </c>
      <c r="BS57" s="847"/>
      <c r="BT57" s="543"/>
      <c r="BU57" s="187">
        <v>1</v>
      </c>
      <c r="BV57" s="544" t="str">
        <f t="shared" si="105"/>
        <v>Realizar verificación y actualización de los documentos del SG-SST según requerimientos del decreto 1072 de 2015 y Resolución 1111 de 2017.</v>
      </c>
      <c r="BW57" s="867"/>
      <c r="BX57" s="541"/>
      <c r="BY57" s="851"/>
      <c r="BZ57" s="547">
        <f t="shared" si="106"/>
        <v>0</v>
      </c>
      <c r="CA57" s="854"/>
      <c r="CB57" s="547">
        <f t="shared" si="107"/>
        <v>0</v>
      </c>
      <c r="CC57" s="854"/>
      <c r="CD57" s="547"/>
      <c r="CE57" s="546" t="str">
        <f t="shared" si="108"/>
        <v>No Prog ni Ejec</v>
      </c>
      <c r="CF57" s="853"/>
      <c r="CG57" s="546">
        <f t="shared" si="109"/>
        <v>0</v>
      </c>
      <c r="CH57" s="853"/>
      <c r="CI57" s="546" t="str">
        <f t="shared" si="110"/>
        <v>No Prog ni Ejec</v>
      </c>
      <c r="CJ57" s="853"/>
      <c r="CK57" s="546">
        <f t="shared" si="111"/>
        <v>0</v>
      </c>
      <c r="CL57" s="853"/>
      <c r="CM57" s="157">
        <f t="shared" si="6"/>
        <v>0</v>
      </c>
      <c r="CY57" s="75">
        <v>8</v>
      </c>
      <c r="DB57" s="75">
        <v>11</v>
      </c>
    </row>
    <row r="58" spans="1:106" s="75" customFormat="1" ht="102" x14ac:dyDescent="0.2">
      <c r="A58" s="541">
        <v>11700</v>
      </c>
      <c r="B58" s="544" t="s">
        <v>14</v>
      </c>
      <c r="C58" s="559" t="s">
        <v>535</v>
      </c>
      <c r="D58" s="559"/>
      <c r="E58" s="559"/>
      <c r="F58" s="559" t="s">
        <v>1108</v>
      </c>
      <c r="G58" s="559"/>
      <c r="H58" s="559"/>
      <c r="I58" s="559" t="s">
        <v>1108</v>
      </c>
      <c r="J58" s="559"/>
      <c r="K58" s="559"/>
      <c r="L58" s="559" t="s">
        <v>1108</v>
      </c>
      <c r="M58" s="559"/>
      <c r="N58" s="559"/>
      <c r="O58" s="559"/>
      <c r="P58" s="559"/>
      <c r="Q58" s="540" t="s">
        <v>206</v>
      </c>
      <c r="R58" s="540" t="s">
        <v>206</v>
      </c>
      <c r="S58" s="541" t="s">
        <v>240</v>
      </c>
      <c r="T58" s="544" t="s">
        <v>94</v>
      </c>
      <c r="U58" s="544" t="s">
        <v>206</v>
      </c>
      <c r="V58" s="544" t="s">
        <v>206</v>
      </c>
      <c r="W58" s="541" t="s">
        <v>785</v>
      </c>
      <c r="X58" s="544" t="s">
        <v>731</v>
      </c>
      <c r="Y58" s="554" t="s">
        <v>394</v>
      </c>
      <c r="Z58" s="553">
        <v>2</v>
      </c>
      <c r="AA58" s="541" t="s">
        <v>763</v>
      </c>
      <c r="AB58" s="544" t="s">
        <v>729</v>
      </c>
      <c r="AC58" s="874"/>
      <c r="AD58" s="545">
        <v>1</v>
      </c>
      <c r="AE58" s="544" t="s">
        <v>16</v>
      </c>
      <c r="AF58" s="544" t="s">
        <v>21</v>
      </c>
      <c r="AG58" s="544" t="s">
        <v>206</v>
      </c>
      <c r="AH58" s="544" t="s">
        <v>678</v>
      </c>
      <c r="AI58" s="544" t="s">
        <v>77</v>
      </c>
      <c r="AJ58" s="544" t="s">
        <v>1408</v>
      </c>
      <c r="AK58" s="544" t="s">
        <v>752</v>
      </c>
      <c r="AL58" s="544" t="s">
        <v>43</v>
      </c>
      <c r="AM58" s="553">
        <v>2</v>
      </c>
      <c r="AN58" s="544" t="str">
        <f t="shared" si="95"/>
        <v>Elaborar  programa de medicina preventiva y definir las actividades de intervención de la ATEL.</v>
      </c>
      <c r="AO58" s="857"/>
      <c r="AP58" s="548" t="s">
        <v>46</v>
      </c>
      <c r="AQ58" s="187">
        <v>0</v>
      </c>
      <c r="AR58" s="544" t="str">
        <f t="shared" si="96"/>
        <v>Elaborar  programa de medicina preventiva y definir las actividades de intervención de la ATEL.</v>
      </c>
      <c r="AS58" s="874"/>
      <c r="AT58" s="587">
        <v>0</v>
      </c>
      <c r="AU58" s="868"/>
      <c r="AV58" s="543" t="e">
        <f t="shared" si="97"/>
        <v>#DIV/0!</v>
      </c>
      <c r="AW58" s="847"/>
      <c r="AX58" s="543">
        <f t="shared" si="98"/>
        <v>0</v>
      </c>
      <c r="AY58" s="847"/>
      <c r="AZ58" s="586" t="s">
        <v>1466</v>
      </c>
      <c r="BA58" s="187">
        <v>1</v>
      </c>
      <c r="BB58" s="544" t="str">
        <f t="shared" si="99"/>
        <v>Elaborar  programa de medicina preventiva y definir las actividades de intervención de la ATEL.</v>
      </c>
      <c r="BC58" s="867"/>
      <c r="BD58" s="73"/>
      <c r="BE58" s="860"/>
      <c r="BF58" s="543">
        <f t="shared" si="100"/>
        <v>0</v>
      </c>
      <c r="BG58" s="847"/>
      <c r="BH58" s="543">
        <f t="shared" si="101"/>
        <v>0</v>
      </c>
      <c r="BI58" s="847"/>
      <c r="BJ58" s="543"/>
      <c r="BK58" s="187">
        <v>0</v>
      </c>
      <c r="BL58" s="544" t="str">
        <f t="shared" si="102"/>
        <v>Elaborar  programa de medicina preventiva y definir las actividades de intervención de la ATEL.</v>
      </c>
      <c r="BM58" s="867"/>
      <c r="BN58" s="541"/>
      <c r="BO58" s="851"/>
      <c r="BP58" s="543" t="e">
        <f t="shared" si="103"/>
        <v>#DIV/0!</v>
      </c>
      <c r="BQ58" s="847"/>
      <c r="BR58" s="543">
        <f t="shared" si="104"/>
        <v>0</v>
      </c>
      <c r="BS58" s="847"/>
      <c r="BT58" s="543"/>
      <c r="BU58" s="187">
        <v>1</v>
      </c>
      <c r="BV58" s="544" t="str">
        <f t="shared" si="105"/>
        <v>Elaborar  programa de medicina preventiva y definir las actividades de intervención de la ATEL.</v>
      </c>
      <c r="BW58" s="867"/>
      <c r="BX58" s="541"/>
      <c r="BY58" s="851"/>
      <c r="BZ58" s="547">
        <f t="shared" si="106"/>
        <v>0</v>
      </c>
      <c r="CA58" s="854"/>
      <c r="CB58" s="547">
        <f t="shared" si="107"/>
        <v>0</v>
      </c>
      <c r="CC58" s="854"/>
      <c r="CD58" s="547"/>
      <c r="CE58" s="546" t="str">
        <f t="shared" si="108"/>
        <v>No Prog ni Ejec</v>
      </c>
      <c r="CF58" s="853"/>
      <c r="CG58" s="546">
        <f t="shared" si="109"/>
        <v>0</v>
      </c>
      <c r="CH58" s="853"/>
      <c r="CI58" s="546" t="str">
        <f t="shared" si="110"/>
        <v>No Prog ni Ejec</v>
      </c>
      <c r="CJ58" s="853"/>
      <c r="CK58" s="546">
        <f t="shared" si="111"/>
        <v>0</v>
      </c>
      <c r="CL58" s="853"/>
      <c r="CM58" s="157">
        <f t="shared" si="6"/>
        <v>0</v>
      </c>
      <c r="CY58" s="75">
        <v>8</v>
      </c>
      <c r="DB58" s="75">
        <v>11</v>
      </c>
    </row>
    <row r="59" spans="1:106" s="75" customFormat="1" ht="89.25" x14ac:dyDescent="0.2">
      <c r="A59" s="541">
        <v>11700</v>
      </c>
      <c r="B59" s="544" t="s">
        <v>14</v>
      </c>
      <c r="C59" s="559" t="s">
        <v>535</v>
      </c>
      <c r="D59" s="559"/>
      <c r="E59" s="559"/>
      <c r="F59" s="559" t="s">
        <v>1108</v>
      </c>
      <c r="G59" s="559"/>
      <c r="H59" s="559"/>
      <c r="I59" s="559" t="s">
        <v>1108</v>
      </c>
      <c r="J59" s="559"/>
      <c r="K59" s="559"/>
      <c r="L59" s="559" t="s">
        <v>1108</v>
      </c>
      <c r="M59" s="559"/>
      <c r="N59" s="559"/>
      <c r="O59" s="559"/>
      <c r="P59" s="559"/>
      <c r="Q59" s="540" t="s">
        <v>206</v>
      </c>
      <c r="R59" s="540" t="s">
        <v>206</v>
      </c>
      <c r="S59" s="541" t="s">
        <v>240</v>
      </c>
      <c r="T59" s="544" t="s">
        <v>94</v>
      </c>
      <c r="U59" s="544" t="s">
        <v>206</v>
      </c>
      <c r="V59" s="544" t="s">
        <v>206</v>
      </c>
      <c r="W59" s="541" t="s">
        <v>786</v>
      </c>
      <c r="X59" s="544" t="s">
        <v>732</v>
      </c>
      <c r="Y59" s="554" t="s">
        <v>394</v>
      </c>
      <c r="Z59" s="553">
        <v>2</v>
      </c>
      <c r="AA59" s="541" t="s">
        <v>764</v>
      </c>
      <c r="AB59" s="544" t="s">
        <v>730</v>
      </c>
      <c r="AC59" s="874"/>
      <c r="AD59" s="545">
        <v>1</v>
      </c>
      <c r="AE59" s="544" t="s">
        <v>16</v>
      </c>
      <c r="AF59" s="544" t="s">
        <v>21</v>
      </c>
      <c r="AG59" s="544" t="s">
        <v>206</v>
      </c>
      <c r="AH59" s="544" t="s">
        <v>678</v>
      </c>
      <c r="AI59" s="544" t="s">
        <v>77</v>
      </c>
      <c r="AJ59" s="544" t="s">
        <v>1408</v>
      </c>
      <c r="AK59" s="544" t="s">
        <v>752</v>
      </c>
      <c r="AL59" s="544" t="s">
        <v>43</v>
      </c>
      <c r="AM59" s="553">
        <v>2</v>
      </c>
      <c r="AN59" s="544" t="str">
        <f t="shared" si="95"/>
        <v xml:space="preserve">Elaborar programa de orden y aseso  y definir las actividades de intervención </v>
      </c>
      <c r="AO59" s="857"/>
      <c r="AP59" s="548" t="s">
        <v>46</v>
      </c>
      <c r="AQ59" s="187">
        <v>1</v>
      </c>
      <c r="AR59" s="544" t="str">
        <f t="shared" si="96"/>
        <v xml:space="preserve">Elaborar programa de orden y aseso  y definir las actividades de intervención </v>
      </c>
      <c r="AS59" s="874"/>
      <c r="AT59" s="587">
        <v>0</v>
      </c>
      <c r="AU59" s="868"/>
      <c r="AV59" s="543">
        <f t="shared" si="97"/>
        <v>0</v>
      </c>
      <c r="AW59" s="847"/>
      <c r="AX59" s="543">
        <f t="shared" si="98"/>
        <v>0</v>
      </c>
      <c r="AY59" s="847"/>
      <c r="AZ59" s="586" t="s">
        <v>1467</v>
      </c>
      <c r="BA59" s="187">
        <v>0</v>
      </c>
      <c r="BB59" s="544" t="str">
        <f t="shared" si="99"/>
        <v xml:space="preserve">Elaborar programa de orden y aseso  y definir las actividades de intervención </v>
      </c>
      <c r="BC59" s="867"/>
      <c r="BD59" s="73"/>
      <c r="BE59" s="860"/>
      <c r="BF59" s="543" t="e">
        <f t="shared" si="100"/>
        <v>#DIV/0!</v>
      </c>
      <c r="BG59" s="847"/>
      <c r="BH59" s="543">
        <f t="shared" si="101"/>
        <v>0</v>
      </c>
      <c r="BI59" s="847"/>
      <c r="BJ59" s="543"/>
      <c r="BK59" s="187">
        <v>0</v>
      </c>
      <c r="BL59" s="544" t="str">
        <f t="shared" si="102"/>
        <v xml:space="preserve">Elaborar programa de orden y aseso  y definir las actividades de intervención </v>
      </c>
      <c r="BM59" s="867"/>
      <c r="BN59" s="541"/>
      <c r="BO59" s="851"/>
      <c r="BP59" s="543" t="e">
        <f t="shared" si="103"/>
        <v>#DIV/0!</v>
      </c>
      <c r="BQ59" s="847"/>
      <c r="BR59" s="543">
        <f t="shared" si="104"/>
        <v>0</v>
      </c>
      <c r="BS59" s="847"/>
      <c r="BT59" s="543"/>
      <c r="BU59" s="187">
        <v>0</v>
      </c>
      <c r="BV59" s="544" t="str">
        <f t="shared" si="105"/>
        <v xml:space="preserve">Elaborar programa de orden y aseso  y definir las actividades de intervención </v>
      </c>
      <c r="BW59" s="867"/>
      <c r="BX59" s="541"/>
      <c r="BY59" s="851"/>
      <c r="BZ59" s="547" t="e">
        <f t="shared" si="106"/>
        <v>#DIV/0!</v>
      </c>
      <c r="CA59" s="854"/>
      <c r="CB59" s="547">
        <f t="shared" si="107"/>
        <v>0</v>
      </c>
      <c r="CC59" s="854"/>
      <c r="CD59" s="547"/>
      <c r="CE59" s="546">
        <f t="shared" si="108"/>
        <v>0</v>
      </c>
      <c r="CF59" s="853"/>
      <c r="CG59" s="546" t="str">
        <f t="shared" si="109"/>
        <v>No Prog ni Ejec</v>
      </c>
      <c r="CH59" s="853"/>
      <c r="CI59" s="546" t="str">
        <f t="shared" si="110"/>
        <v>No Prog ni Ejec</v>
      </c>
      <c r="CJ59" s="853"/>
      <c r="CK59" s="546" t="str">
        <f t="shared" si="111"/>
        <v>No Prog ni Ejec</v>
      </c>
      <c r="CL59" s="853"/>
      <c r="CM59" s="157">
        <f t="shared" si="6"/>
        <v>0</v>
      </c>
      <c r="CY59" s="75">
        <v>8</v>
      </c>
      <c r="DB59" s="75">
        <v>11</v>
      </c>
    </row>
    <row r="60" spans="1:106" s="75" customFormat="1" ht="89.25" x14ac:dyDescent="0.2">
      <c r="A60" s="541">
        <v>11700</v>
      </c>
      <c r="B60" s="544" t="s">
        <v>14</v>
      </c>
      <c r="C60" s="559" t="s">
        <v>535</v>
      </c>
      <c r="D60" s="559"/>
      <c r="E60" s="559"/>
      <c r="F60" s="559" t="s">
        <v>1108</v>
      </c>
      <c r="G60" s="559"/>
      <c r="H60" s="559"/>
      <c r="I60" s="559" t="s">
        <v>1108</v>
      </c>
      <c r="J60" s="559"/>
      <c r="K60" s="559"/>
      <c r="L60" s="559" t="s">
        <v>1108</v>
      </c>
      <c r="M60" s="559"/>
      <c r="N60" s="559"/>
      <c r="O60" s="559"/>
      <c r="P60" s="559"/>
      <c r="Q60" s="540" t="s">
        <v>206</v>
      </c>
      <c r="R60" s="540" t="s">
        <v>206</v>
      </c>
      <c r="S60" s="541" t="s">
        <v>240</v>
      </c>
      <c r="T60" s="544" t="s">
        <v>94</v>
      </c>
      <c r="U60" s="544" t="s">
        <v>206</v>
      </c>
      <c r="V60" s="544" t="s">
        <v>206</v>
      </c>
      <c r="W60" s="541" t="s">
        <v>787</v>
      </c>
      <c r="X60" s="544" t="s">
        <v>739</v>
      </c>
      <c r="Y60" s="554" t="s">
        <v>394</v>
      </c>
      <c r="Z60" s="553">
        <v>2</v>
      </c>
      <c r="AA60" s="541" t="s">
        <v>765</v>
      </c>
      <c r="AB60" s="544" t="s">
        <v>733</v>
      </c>
      <c r="AC60" s="874"/>
      <c r="AD60" s="545">
        <v>1</v>
      </c>
      <c r="AE60" s="544" t="s">
        <v>16</v>
      </c>
      <c r="AF60" s="544" t="s">
        <v>21</v>
      </c>
      <c r="AG60" s="544" t="s">
        <v>206</v>
      </c>
      <c r="AH60" s="544" t="s">
        <v>678</v>
      </c>
      <c r="AI60" s="544" t="s">
        <v>77</v>
      </c>
      <c r="AJ60" s="544" t="s">
        <v>1408</v>
      </c>
      <c r="AK60" s="544" t="s">
        <v>752</v>
      </c>
      <c r="AL60" s="544" t="s">
        <v>43</v>
      </c>
      <c r="AM60" s="553">
        <v>2</v>
      </c>
      <c r="AN60" s="544" t="str">
        <f t="shared" si="95"/>
        <v>Elaborar el programa de vigilancia epidemiológicos  de riesgo Psicosocial y Biomecánico y definir las actividades de  intervención.</v>
      </c>
      <c r="AO60" s="857"/>
      <c r="AP60" s="548" t="s">
        <v>46</v>
      </c>
      <c r="AQ60" s="187">
        <v>0</v>
      </c>
      <c r="AR60" s="544" t="str">
        <f t="shared" si="96"/>
        <v>Elaborar el programa de vigilancia epidemiológicos  de riesgo Psicosocial y Biomecánico y definir las actividades de  intervención.</v>
      </c>
      <c r="AS60" s="874"/>
      <c r="AT60" s="573">
        <v>0</v>
      </c>
      <c r="AU60" s="842"/>
      <c r="AV60" s="543" t="e">
        <f t="shared" si="97"/>
        <v>#DIV/0!</v>
      </c>
      <c r="AW60" s="847"/>
      <c r="AX60" s="543">
        <f t="shared" si="98"/>
        <v>0</v>
      </c>
      <c r="AY60" s="847"/>
      <c r="AZ60" s="641" t="s">
        <v>1464</v>
      </c>
      <c r="BA60" s="187">
        <v>0</v>
      </c>
      <c r="BB60" s="544" t="str">
        <f t="shared" si="99"/>
        <v>Elaborar el programa de vigilancia epidemiológicos  de riesgo Psicosocial y Biomecánico y definir las actividades de  intervención.</v>
      </c>
      <c r="BC60" s="867"/>
      <c r="BD60" s="73"/>
      <c r="BE60" s="860"/>
      <c r="BF60" s="543" t="e">
        <f t="shared" si="100"/>
        <v>#DIV/0!</v>
      </c>
      <c r="BG60" s="847"/>
      <c r="BH60" s="543">
        <f t="shared" si="101"/>
        <v>0</v>
      </c>
      <c r="BI60" s="847"/>
      <c r="BJ60" s="543"/>
      <c r="BK60" s="187">
        <v>1</v>
      </c>
      <c r="BL60" s="544" t="str">
        <f t="shared" si="102"/>
        <v>Elaborar el programa de vigilancia epidemiológicos  de riesgo Psicosocial y Biomecánico y definir las actividades de  intervención.</v>
      </c>
      <c r="BM60" s="867"/>
      <c r="BN60" s="541"/>
      <c r="BO60" s="851"/>
      <c r="BP60" s="543">
        <f t="shared" si="103"/>
        <v>0</v>
      </c>
      <c r="BQ60" s="847"/>
      <c r="BR60" s="543">
        <f t="shared" si="104"/>
        <v>0</v>
      </c>
      <c r="BS60" s="847"/>
      <c r="BT60" s="543"/>
      <c r="BU60" s="187">
        <v>1</v>
      </c>
      <c r="BV60" s="544" t="str">
        <f t="shared" si="105"/>
        <v>Elaborar el programa de vigilancia epidemiológicos  de riesgo Psicosocial y Biomecánico y definir las actividades de  intervención.</v>
      </c>
      <c r="BW60" s="867"/>
      <c r="BX60" s="541"/>
      <c r="BY60" s="851"/>
      <c r="BZ60" s="547">
        <f t="shared" si="106"/>
        <v>0</v>
      </c>
      <c r="CA60" s="854"/>
      <c r="CB60" s="547">
        <f t="shared" si="107"/>
        <v>0</v>
      </c>
      <c r="CC60" s="854"/>
      <c r="CD60" s="547"/>
      <c r="CE60" s="546" t="str">
        <f t="shared" si="108"/>
        <v>No Prog ni Ejec</v>
      </c>
      <c r="CF60" s="853"/>
      <c r="CG60" s="546" t="str">
        <f t="shared" si="109"/>
        <v>No Prog ni Ejec</v>
      </c>
      <c r="CH60" s="853"/>
      <c r="CI60" s="546">
        <f t="shared" si="110"/>
        <v>0</v>
      </c>
      <c r="CJ60" s="853"/>
      <c r="CK60" s="546">
        <f t="shared" si="111"/>
        <v>0</v>
      </c>
      <c r="CL60" s="853"/>
      <c r="CM60" s="157">
        <f t="shared" si="6"/>
        <v>0</v>
      </c>
      <c r="CY60" s="75">
        <v>8</v>
      </c>
      <c r="DB60" s="75">
        <v>11</v>
      </c>
    </row>
    <row r="61" spans="1:106" s="75" customFormat="1" ht="89.25" x14ac:dyDescent="0.2">
      <c r="A61" s="541">
        <v>11700</v>
      </c>
      <c r="B61" s="544" t="s">
        <v>14</v>
      </c>
      <c r="C61" s="559" t="s">
        <v>535</v>
      </c>
      <c r="D61" s="559"/>
      <c r="E61" s="559"/>
      <c r="F61" s="559" t="s">
        <v>1108</v>
      </c>
      <c r="G61" s="559"/>
      <c r="H61" s="559"/>
      <c r="I61" s="559" t="s">
        <v>1108</v>
      </c>
      <c r="J61" s="559"/>
      <c r="K61" s="559"/>
      <c r="L61" s="559" t="s">
        <v>1108</v>
      </c>
      <c r="M61" s="559"/>
      <c r="N61" s="559"/>
      <c r="O61" s="559"/>
      <c r="P61" s="559"/>
      <c r="Q61" s="540" t="s">
        <v>206</v>
      </c>
      <c r="R61" s="540" t="s">
        <v>206</v>
      </c>
      <c r="S61" s="541" t="s">
        <v>240</v>
      </c>
      <c r="T61" s="544" t="s">
        <v>94</v>
      </c>
      <c r="U61" s="544" t="s">
        <v>206</v>
      </c>
      <c r="V61" s="544" t="s">
        <v>206</v>
      </c>
      <c r="W61" s="541" t="s">
        <v>788</v>
      </c>
      <c r="X61" s="544" t="s">
        <v>740</v>
      </c>
      <c r="Y61" s="554" t="s">
        <v>394</v>
      </c>
      <c r="Z61" s="553">
        <v>1</v>
      </c>
      <c r="AA61" s="541" t="s">
        <v>766</v>
      </c>
      <c r="AB61" s="544" t="s">
        <v>734</v>
      </c>
      <c r="AC61" s="874"/>
      <c r="AD61" s="545">
        <v>1</v>
      </c>
      <c r="AE61" s="544" t="s">
        <v>16</v>
      </c>
      <c r="AF61" s="544" t="s">
        <v>21</v>
      </c>
      <c r="AG61" s="544" t="s">
        <v>206</v>
      </c>
      <c r="AH61" s="544" t="s">
        <v>678</v>
      </c>
      <c r="AI61" s="544" t="s">
        <v>77</v>
      </c>
      <c r="AJ61" s="544" t="s">
        <v>1408</v>
      </c>
      <c r="AK61" s="544" t="s">
        <v>752</v>
      </c>
      <c r="AL61" s="544" t="s">
        <v>43</v>
      </c>
      <c r="AM61" s="553">
        <v>0</v>
      </c>
      <c r="AN61" s="544" t="str">
        <f t="shared" si="95"/>
        <v>Elaborar el programa de manejo de sustancias químicas (Sistema Globalmente armonizado)</v>
      </c>
      <c r="AO61" s="857"/>
      <c r="AP61" s="548" t="s">
        <v>46</v>
      </c>
      <c r="AQ61" s="187">
        <v>0</v>
      </c>
      <c r="AR61" s="544" t="str">
        <f t="shared" si="96"/>
        <v>Elaborar el programa de manejo de sustancias químicas (Sistema Globalmente armonizado)</v>
      </c>
      <c r="AS61" s="874"/>
      <c r="AT61" s="573">
        <v>0</v>
      </c>
      <c r="AU61" s="842"/>
      <c r="AV61" s="543" t="e">
        <f t="shared" si="97"/>
        <v>#DIV/0!</v>
      </c>
      <c r="AW61" s="847"/>
      <c r="AX61" s="543" t="e">
        <f t="shared" si="98"/>
        <v>#DIV/0!</v>
      </c>
      <c r="AY61" s="847"/>
      <c r="AZ61" s="641" t="s">
        <v>1464</v>
      </c>
      <c r="BA61" s="187">
        <v>1</v>
      </c>
      <c r="BB61" s="544" t="str">
        <f t="shared" si="99"/>
        <v>Elaborar el programa de manejo de sustancias químicas (Sistema Globalmente armonizado)</v>
      </c>
      <c r="BC61" s="867"/>
      <c r="BD61" s="73"/>
      <c r="BE61" s="860"/>
      <c r="BF61" s="543">
        <f t="shared" si="100"/>
        <v>0</v>
      </c>
      <c r="BG61" s="847"/>
      <c r="BH61" s="543" t="e">
        <f t="shared" si="101"/>
        <v>#DIV/0!</v>
      </c>
      <c r="BI61" s="847"/>
      <c r="BJ61" s="543"/>
      <c r="BK61" s="187">
        <v>0</v>
      </c>
      <c r="BL61" s="544" t="str">
        <f t="shared" si="102"/>
        <v>Elaborar el programa de manejo de sustancias químicas (Sistema Globalmente armonizado)</v>
      </c>
      <c r="BM61" s="867"/>
      <c r="BN61" s="541"/>
      <c r="BO61" s="851"/>
      <c r="BP61" s="543" t="e">
        <f t="shared" si="103"/>
        <v>#DIV/0!</v>
      </c>
      <c r="BQ61" s="847"/>
      <c r="BR61" s="543" t="e">
        <f t="shared" si="104"/>
        <v>#DIV/0!</v>
      </c>
      <c r="BS61" s="847"/>
      <c r="BT61" s="543"/>
      <c r="BU61" s="187">
        <v>0</v>
      </c>
      <c r="BV61" s="544" t="str">
        <f t="shared" si="105"/>
        <v>Elaborar el programa de manejo de sustancias químicas (Sistema Globalmente armonizado)</v>
      </c>
      <c r="BW61" s="867"/>
      <c r="BX61" s="541"/>
      <c r="BY61" s="851"/>
      <c r="BZ61" s="547" t="e">
        <f t="shared" si="106"/>
        <v>#DIV/0!</v>
      </c>
      <c r="CA61" s="854"/>
      <c r="CB61" s="547" t="e">
        <f t="shared" si="107"/>
        <v>#DIV/0!</v>
      </c>
      <c r="CC61" s="854"/>
      <c r="CD61" s="547"/>
      <c r="CE61" s="546" t="str">
        <f t="shared" si="108"/>
        <v>No Prog ni Ejec</v>
      </c>
      <c r="CF61" s="853"/>
      <c r="CG61" s="546">
        <f t="shared" si="109"/>
        <v>0</v>
      </c>
      <c r="CH61" s="853"/>
      <c r="CI61" s="546" t="str">
        <f t="shared" si="110"/>
        <v>No Prog ni Ejec</v>
      </c>
      <c r="CJ61" s="853"/>
      <c r="CK61" s="546" t="str">
        <f t="shared" si="111"/>
        <v>No Prog ni Ejec</v>
      </c>
      <c r="CL61" s="853"/>
      <c r="CM61" s="157">
        <f t="shared" si="6"/>
        <v>0</v>
      </c>
      <c r="CY61" s="75">
        <v>8</v>
      </c>
      <c r="DB61" s="75">
        <v>11</v>
      </c>
    </row>
    <row r="62" spans="1:106" s="75" customFormat="1" ht="242.25" x14ac:dyDescent="0.2">
      <c r="A62" s="541">
        <v>11700</v>
      </c>
      <c r="B62" s="544" t="s">
        <v>14</v>
      </c>
      <c r="C62" s="559" t="s">
        <v>721</v>
      </c>
      <c r="D62" s="559"/>
      <c r="E62" s="559"/>
      <c r="F62" s="559" t="s">
        <v>1108</v>
      </c>
      <c r="G62" s="559" t="s">
        <v>1108</v>
      </c>
      <c r="H62" s="559"/>
      <c r="I62" s="559" t="s">
        <v>1108</v>
      </c>
      <c r="J62" s="559"/>
      <c r="K62" s="559"/>
      <c r="L62" s="559" t="s">
        <v>1108</v>
      </c>
      <c r="M62" s="559"/>
      <c r="N62" s="559"/>
      <c r="O62" s="559"/>
      <c r="P62" s="559"/>
      <c r="Q62" s="540" t="s">
        <v>206</v>
      </c>
      <c r="R62" s="540" t="s">
        <v>206</v>
      </c>
      <c r="S62" s="541" t="s">
        <v>240</v>
      </c>
      <c r="T62" s="544" t="s">
        <v>94</v>
      </c>
      <c r="U62" s="544" t="s">
        <v>206</v>
      </c>
      <c r="V62" s="544" t="s">
        <v>206</v>
      </c>
      <c r="W62" s="541" t="s">
        <v>789</v>
      </c>
      <c r="X62" s="544" t="s">
        <v>745</v>
      </c>
      <c r="Y62" s="554" t="s">
        <v>394</v>
      </c>
      <c r="Z62" s="553">
        <v>3</v>
      </c>
      <c r="AA62" s="541" t="s">
        <v>767</v>
      </c>
      <c r="AB62" s="544" t="s">
        <v>735</v>
      </c>
      <c r="AC62" s="874"/>
      <c r="AD62" s="545">
        <v>1</v>
      </c>
      <c r="AE62" s="544" t="s">
        <v>16</v>
      </c>
      <c r="AF62" s="544" t="s">
        <v>21</v>
      </c>
      <c r="AG62" s="544" t="s">
        <v>206</v>
      </c>
      <c r="AH62" s="544" t="s">
        <v>678</v>
      </c>
      <c r="AI62" s="544" t="s">
        <v>77</v>
      </c>
      <c r="AJ62" s="544" t="s">
        <v>1409</v>
      </c>
      <c r="AK62" s="544" t="s">
        <v>752</v>
      </c>
      <c r="AL62" s="544" t="s">
        <v>43</v>
      </c>
      <c r="AM62" s="553">
        <v>3</v>
      </c>
      <c r="AN62" s="544" t="str">
        <f t="shared" si="95"/>
        <v>Socializar y divulgar los roles y responsabilidades a todos los servidores públicos y partes interesadas</v>
      </c>
      <c r="AO62" s="857"/>
      <c r="AP62" s="548" t="s">
        <v>46</v>
      </c>
      <c r="AQ62" s="187">
        <v>1</v>
      </c>
      <c r="AR62" s="544" t="str">
        <f t="shared" si="96"/>
        <v>Socializar y divulgar los roles y responsabilidades a todos los servidores públicos y partes interesadas</v>
      </c>
      <c r="AS62" s="874"/>
      <c r="AT62" s="587">
        <v>1</v>
      </c>
      <c r="AU62" s="868"/>
      <c r="AV62" s="543">
        <f t="shared" si="97"/>
        <v>1</v>
      </c>
      <c r="AW62" s="847"/>
      <c r="AX62" s="543">
        <f t="shared" si="98"/>
        <v>0.33333333333333331</v>
      </c>
      <c r="AY62" s="847"/>
      <c r="AZ62" s="642" t="s">
        <v>1468</v>
      </c>
      <c r="BA62" s="187">
        <v>1</v>
      </c>
      <c r="BB62" s="544" t="str">
        <f t="shared" si="99"/>
        <v>Socializar y divulgar los roles y responsabilidades a todos los servidores públicos y partes interesadas</v>
      </c>
      <c r="BC62" s="867"/>
      <c r="BD62" s="73"/>
      <c r="BE62" s="860"/>
      <c r="BF62" s="543">
        <f t="shared" si="100"/>
        <v>0</v>
      </c>
      <c r="BG62" s="847"/>
      <c r="BH62" s="543">
        <f t="shared" si="101"/>
        <v>0.33333333333333331</v>
      </c>
      <c r="BI62" s="847"/>
      <c r="BJ62" s="543"/>
      <c r="BK62" s="187">
        <v>0</v>
      </c>
      <c r="BL62" s="544" t="str">
        <f t="shared" si="102"/>
        <v>Socializar y divulgar los roles y responsabilidades a todos los servidores públicos y partes interesadas</v>
      </c>
      <c r="BM62" s="867"/>
      <c r="BN62" s="541"/>
      <c r="BO62" s="851"/>
      <c r="BP62" s="543" t="e">
        <f t="shared" si="103"/>
        <v>#DIV/0!</v>
      </c>
      <c r="BQ62" s="847"/>
      <c r="BR62" s="543">
        <f t="shared" si="104"/>
        <v>0.33333333333333331</v>
      </c>
      <c r="BS62" s="847"/>
      <c r="BT62" s="543"/>
      <c r="BU62" s="187">
        <v>1</v>
      </c>
      <c r="BV62" s="544" t="str">
        <f t="shared" si="105"/>
        <v>Socializar y divulgar los roles y responsabilidades a todos los servidores públicos y partes interesadas</v>
      </c>
      <c r="BW62" s="867"/>
      <c r="BX62" s="541"/>
      <c r="BY62" s="851"/>
      <c r="BZ62" s="547">
        <f t="shared" si="106"/>
        <v>0</v>
      </c>
      <c r="CA62" s="854"/>
      <c r="CB62" s="547">
        <f t="shared" si="107"/>
        <v>0.33333333333333331</v>
      </c>
      <c r="CC62" s="854"/>
      <c r="CD62" s="547"/>
      <c r="CE62" s="546">
        <f t="shared" si="108"/>
        <v>1</v>
      </c>
      <c r="CF62" s="853"/>
      <c r="CG62" s="546">
        <f t="shared" si="109"/>
        <v>0</v>
      </c>
      <c r="CH62" s="853"/>
      <c r="CI62" s="546" t="str">
        <f t="shared" si="110"/>
        <v>No Prog ni Ejec</v>
      </c>
      <c r="CJ62" s="853"/>
      <c r="CK62" s="546">
        <f t="shared" si="111"/>
        <v>0</v>
      </c>
      <c r="CL62" s="853"/>
      <c r="CM62" s="157">
        <f t="shared" si="6"/>
        <v>0</v>
      </c>
      <c r="CU62" s="75">
        <v>4</v>
      </c>
    </row>
    <row r="63" spans="1:106" s="75" customFormat="1" ht="99" customHeight="1" x14ac:dyDescent="0.2">
      <c r="A63" s="541">
        <v>11700</v>
      </c>
      <c r="B63" s="544" t="s">
        <v>14</v>
      </c>
      <c r="C63" s="559" t="s">
        <v>535</v>
      </c>
      <c r="D63" s="559"/>
      <c r="E63" s="559"/>
      <c r="F63" s="559" t="s">
        <v>1108</v>
      </c>
      <c r="G63" s="559"/>
      <c r="H63" s="559"/>
      <c r="I63" s="559" t="s">
        <v>1108</v>
      </c>
      <c r="J63" s="559"/>
      <c r="K63" s="559"/>
      <c r="L63" s="559" t="s">
        <v>1108</v>
      </c>
      <c r="M63" s="559"/>
      <c r="N63" s="559"/>
      <c r="O63" s="559"/>
      <c r="P63" s="559"/>
      <c r="Q63" s="540" t="s">
        <v>206</v>
      </c>
      <c r="R63" s="540" t="s">
        <v>206</v>
      </c>
      <c r="S63" s="541" t="s">
        <v>240</v>
      </c>
      <c r="T63" s="544" t="s">
        <v>94</v>
      </c>
      <c r="U63" s="544" t="s">
        <v>206</v>
      </c>
      <c r="V63" s="544" t="s">
        <v>206</v>
      </c>
      <c r="W63" s="541" t="s">
        <v>790</v>
      </c>
      <c r="X63" s="544" t="s">
        <v>742</v>
      </c>
      <c r="Y63" s="554" t="s">
        <v>394</v>
      </c>
      <c r="Z63" s="553">
        <v>1</v>
      </c>
      <c r="AA63" s="541" t="s">
        <v>768</v>
      </c>
      <c r="AB63" s="544" t="s">
        <v>741</v>
      </c>
      <c r="AC63" s="874"/>
      <c r="AD63" s="545">
        <v>1</v>
      </c>
      <c r="AE63" s="544" t="s">
        <v>16</v>
      </c>
      <c r="AF63" s="544" t="s">
        <v>21</v>
      </c>
      <c r="AG63" s="544" t="s">
        <v>206</v>
      </c>
      <c r="AH63" s="544" t="s">
        <v>678</v>
      </c>
      <c r="AI63" s="544" t="s">
        <v>77</v>
      </c>
      <c r="AJ63" s="544" t="s">
        <v>1409</v>
      </c>
      <c r="AK63" s="544" t="s">
        <v>752</v>
      </c>
      <c r="AL63" s="544" t="s">
        <v>43</v>
      </c>
      <c r="AM63" s="553">
        <v>1</v>
      </c>
      <c r="AN63" s="544" t="str">
        <f t="shared" si="95"/>
        <v xml:space="preserve">Realizar Rendición de Cuentas  del Sistema de Seguridad y Salud en el Trabajo a todos los niveles de la Entidad </v>
      </c>
      <c r="AO63" s="857"/>
      <c r="AP63" s="548" t="s">
        <v>46</v>
      </c>
      <c r="AQ63" s="187">
        <v>0</v>
      </c>
      <c r="AR63" s="544" t="str">
        <f t="shared" si="96"/>
        <v xml:space="preserve">Realizar Rendición de Cuentas  del Sistema de Seguridad y Salud en el Trabajo a todos los niveles de la Entidad </v>
      </c>
      <c r="AS63" s="874"/>
      <c r="AT63" s="573">
        <v>0</v>
      </c>
      <c r="AU63" s="842"/>
      <c r="AV63" s="543" t="e">
        <f t="shared" si="97"/>
        <v>#DIV/0!</v>
      </c>
      <c r="AW63" s="847"/>
      <c r="AX63" s="543">
        <f t="shared" si="98"/>
        <v>0</v>
      </c>
      <c r="AY63" s="847"/>
      <c r="AZ63" s="641" t="s">
        <v>1464</v>
      </c>
      <c r="BA63" s="187">
        <v>0</v>
      </c>
      <c r="BB63" s="544" t="str">
        <f t="shared" si="99"/>
        <v xml:space="preserve">Realizar Rendición de Cuentas  del Sistema de Seguridad y Salud en el Trabajo a todos los niveles de la Entidad </v>
      </c>
      <c r="BC63" s="867"/>
      <c r="BD63" s="73"/>
      <c r="BE63" s="860"/>
      <c r="BF63" s="543" t="e">
        <f t="shared" si="100"/>
        <v>#DIV/0!</v>
      </c>
      <c r="BG63" s="847"/>
      <c r="BH63" s="543">
        <f t="shared" si="101"/>
        <v>0</v>
      </c>
      <c r="BI63" s="847"/>
      <c r="BJ63" s="543"/>
      <c r="BK63" s="187">
        <v>0</v>
      </c>
      <c r="BL63" s="544" t="str">
        <f t="shared" si="102"/>
        <v xml:space="preserve">Realizar Rendición de Cuentas  del Sistema de Seguridad y Salud en el Trabajo a todos los niveles de la Entidad </v>
      </c>
      <c r="BM63" s="867"/>
      <c r="BN63" s="541"/>
      <c r="BO63" s="851"/>
      <c r="BP63" s="543" t="e">
        <f t="shared" si="103"/>
        <v>#DIV/0!</v>
      </c>
      <c r="BQ63" s="847"/>
      <c r="BR63" s="543">
        <f t="shared" si="104"/>
        <v>0</v>
      </c>
      <c r="BS63" s="847"/>
      <c r="BT63" s="543"/>
      <c r="BU63" s="187">
        <v>1</v>
      </c>
      <c r="BV63" s="544" t="str">
        <f t="shared" si="105"/>
        <v xml:space="preserve">Realizar Rendición de Cuentas  del Sistema de Seguridad y Salud en el Trabajo a todos los niveles de la Entidad </v>
      </c>
      <c r="BW63" s="867"/>
      <c r="BX63" s="541"/>
      <c r="BY63" s="851"/>
      <c r="BZ63" s="547">
        <f t="shared" si="106"/>
        <v>0</v>
      </c>
      <c r="CA63" s="854"/>
      <c r="CB63" s="547">
        <f t="shared" si="107"/>
        <v>0</v>
      </c>
      <c r="CC63" s="854"/>
      <c r="CD63" s="547"/>
      <c r="CE63" s="546" t="str">
        <f t="shared" si="108"/>
        <v>No Prog ni Ejec</v>
      </c>
      <c r="CF63" s="853"/>
      <c r="CG63" s="546" t="str">
        <f t="shared" si="109"/>
        <v>No Prog ni Ejec</v>
      </c>
      <c r="CH63" s="853"/>
      <c r="CI63" s="546" t="str">
        <f t="shared" si="110"/>
        <v>No Prog ni Ejec</v>
      </c>
      <c r="CJ63" s="853"/>
      <c r="CK63" s="546">
        <f t="shared" si="111"/>
        <v>0</v>
      </c>
      <c r="CL63" s="853"/>
      <c r="CM63" s="157">
        <f t="shared" si="6"/>
        <v>0</v>
      </c>
      <c r="CY63" s="75">
        <v>8</v>
      </c>
      <c r="DB63" s="75">
        <v>11</v>
      </c>
    </row>
    <row r="64" spans="1:106" s="75" customFormat="1" ht="103.5" customHeight="1" x14ac:dyDescent="0.2">
      <c r="A64" s="541">
        <v>11700</v>
      </c>
      <c r="B64" s="544" t="s">
        <v>14</v>
      </c>
      <c r="C64" s="559" t="s">
        <v>721</v>
      </c>
      <c r="D64" s="559"/>
      <c r="E64" s="559"/>
      <c r="F64" s="559" t="s">
        <v>1108</v>
      </c>
      <c r="G64" s="559" t="s">
        <v>1108</v>
      </c>
      <c r="H64" s="559"/>
      <c r="I64" s="559" t="s">
        <v>1108</v>
      </c>
      <c r="J64" s="559"/>
      <c r="K64" s="559"/>
      <c r="L64" s="559" t="s">
        <v>1108</v>
      </c>
      <c r="M64" s="559"/>
      <c r="N64" s="559"/>
      <c r="O64" s="559"/>
      <c r="P64" s="559"/>
      <c r="Q64" s="540" t="s">
        <v>206</v>
      </c>
      <c r="R64" s="540" t="s">
        <v>206</v>
      </c>
      <c r="S64" s="541" t="s">
        <v>240</v>
      </c>
      <c r="T64" s="544" t="s">
        <v>94</v>
      </c>
      <c r="U64" s="544" t="s">
        <v>206</v>
      </c>
      <c r="V64" s="544" t="s">
        <v>206</v>
      </c>
      <c r="W64" s="541" t="s">
        <v>791</v>
      </c>
      <c r="X64" s="544" t="s">
        <v>743</v>
      </c>
      <c r="Y64" s="554" t="s">
        <v>394</v>
      </c>
      <c r="Z64" s="553">
        <v>3</v>
      </c>
      <c r="AA64" s="541" t="s">
        <v>769</v>
      </c>
      <c r="AB64" s="544" t="s">
        <v>736</v>
      </c>
      <c r="AC64" s="874"/>
      <c r="AD64" s="545">
        <v>1</v>
      </c>
      <c r="AE64" s="544" t="s">
        <v>16</v>
      </c>
      <c r="AF64" s="544" t="s">
        <v>21</v>
      </c>
      <c r="AG64" s="544" t="s">
        <v>206</v>
      </c>
      <c r="AH64" s="544" t="s">
        <v>678</v>
      </c>
      <c r="AI64" s="544" t="s">
        <v>77</v>
      </c>
      <c r="AJ64" s="544" t="s">
        <v>1409</v>
      </c>
      <c r="AK64" s="544" t="s">
        <v>752</v>
      </c>
      <c r="AL64" s="544" t="s">
        <v>43</v>
      </c>
      <c r="AM64" s="553">
        <v>3</v>
      </c>
      <c r="AN64" s="544" t="str">
        <f t="shared" si="95"/>
        <v>Divulgar el Plan de Emergencias</v>
      </c>
      <c r="AO64" s="857"/>
      <c r="AP64" s="548" t="s">
        <v>46</v>
      </c>
      <c r="AQ64" s="187">
        <v>1</v>
      </c>
      <c r="AR64" s="544" t="str">
        <f t="shared" si="96"/>
        <v>Divulgar el Plan de Emergencias</v>
      </c>
      <c r="AS64" s="874"/>
      <c r="AT64" s="573">
        <v>0</v>
      </c>
      <c r="AU64" s="842"/>
      <c r="AV64" s="543">
        <f t="shared" si="97"/>
        <v>0</v>
      </c>
      <c r="AW64" s="847"/>
      <c r="AX64" s="543">
        <f t="shared" si="98"/>
        <v>0</v>
      </c>
      <c r="AY64" s="847"/>
      <c r="AZ64" s="641"/>
      <c r="BA64" s="187">
        <v>1</v>
      </c>
      <c r="BB64" s="544" t="str">
        <f t="shared" si="99"/>
        <v>Divulgar el Plan de Emergencias</v>
      </c>
      <c r="BC64" s="867"/>
      <c r="BD64" s="73"/>
      <c r="BE64" s="860"/>
      <c r="BF64" s="543">
        <f t="shared" si="100"/>
        <v>0</v>
      </c>
      <c r="BG64" s="847"/>
      <c r="BH64" s="543">
        <f t="shared" si="101"/>
        <v>0</v>
      </c>
      <c r="BI64" s="847"/>
      <c r="BJ64" s="543"/>
      <c r="BK64" s="187">
        <v>0</v>
      </c>
      <c r="BL64" s="544" t="str">
        <f t="shared" si="102"/>
        <v>Divulgar el Plan de Emergencias</v>
      </c>
      <c r="BM64" s="867"/>
      <c r="BN64" s="541"/>
      <c r="BO64" s="851"/>
      <c r="BP64" s="543" t="e">
        <f t="shared" si="103"/>
        <v>#DIV/0!</v>
      </c>
      <c r="BQ64" s="847"/>
      <c r="BR64" s="543">
        <f t="shared" si="104"/>
        <v>0</v>
      </c>
      <c r="BS64" s="847"/>
      <c r="BT64" s="543"/>
      <c r="BU64" s="187">
        <v>1</v>
      </c>
      <c r="BV64" s="544" t="str">
        <f t="shared" si="105"/>
        <v>Divulgar el Plan de Emergencias</v>
      </c>
      <c r="BW64" s="867"/>
      <c r="BX64" s="541"/>
      <c r="BY64" s="851"/>
      <c r="BZ64" s="547">
        <f t="shared" si="106"/>
        <v>0</v>
      </c>
      <c r="CA64" s="854"/>
      <c r="CB64" s="547">
        <f t="shared" si="107"/>
        <v>0</v>
      </c>
      <c r="CC64" s="854"/>
      <c r="CD64" s="547"/>
      <c r="CE64" s="546">
        <f t="shared" si="108"/>
        <v>0</v>
      </c>
      <c r="CF64" s="853"/>
      <c r="CG64" s="546">
        <f t="shared" si="109"/>
        <v>0</v>
      </c>
      <c r="CH64" s="853"/>
      <c r="CI64" s="546" t="str">
        <f t="shared" si="110"/>
        <v>No Prog ni Ejec</v>
      </c>
      <c r="CJ64" s="853"/>
      <c r="CK64" s="546">
        <f t="shared" si="111"/>
        <v>0</v>
      </c>
      <c r="CL64" s="853"/>
      <c r="CM64" s="157">
        <f t="shared" si="6"/>
        <v>0</v>
      </c>
      <c r="CU64" s="75">
        <v>4</v>
      </c>
    </row>
    <row r="65" spans="1:106" s="75" customFormat="1" ht="96" customHeight="1" x14ac:dyDescent="0.2">
      <c r="A65" s="541">
        <v>11700</v>
      </c>
      <c r="B65" s="544" t="s">
        <v>14</v>
      </c>
      <c r="C65" s="559" t="s">
        <v>721</v>
      </c>
      <c r="D65" s="559"/>
      <c r="E65" s="559"/>
      <c r="F65" s="559" t="s">
        <v>1108</v>
      </c>
      <c r="G65" s="559" t="s">
        <v>1108</v>
      </c>
      <c r="H65" s="559"/>
      <c r="I65" s="559" t="s">
        <v>1108</v>
      </c>
      <c r="J65" s="559"/>
      <c r="K65" s="559"/>
      <c r="L65" s="559" t="s">
        <v>1108</v>
      </c>
      <c r="M65" s="559"/>
      <c r="N65" s="559"/>
      <c r="O65" s="559"/>
      <c r="P65" s="559"/>
      <c r="Q65" s="540" t="s">
        <v>206</v>
      </c>
      <c r="R65" s="540" t="s">
        <v>206</v>
      </c>
      <c r="S65" s="541" t="s">
        <v>240</v>
      </c>
      <c r="T65" s="544" t="s">
        <v>94</v>
      </c>
      <c r="U65" s="544" t="s">
        <v>206</v>
      </c>
      <c r="V65" s="544" t="s">
        <v>206</v>
      </c>
      <c r="W65" s="541" t="s">
        <v>792</v>
      </c>
      <c r="X65" s="544" t="s">
        <v>746</v>
      </c>
      <c r="Y65" s="554" t="s">
        <v>394</v>
      </c>
      <c r="Z65" s="553">
        <v>1</v>
      </c>
      <c r="AA65" s="541" t="s">
        <v>770</v>
      </c>
      <c r="AB65" s="544" t="s">
        <v>738</v>
      </c>
      <c r="AC65" s="874"/>
      <c r="AD65" s="545">
        <v>1</v>
      </c>
      <c r="AE65" s="544" t="s">
        <v>16</v>
      </c>
      <c r="AF65" s="544" t="s">
        <v>21</v>
      </c>
      <c r="AG65" s="544" t="s">
        <v>206</v>
      </c>
      <c r="AH65" s="544" t="s">
        <v>678</v>
      </c>
      <c r="AI65" s="544" t="s">
        <v>77</v>
      </c>
      <c r="AJ65" s="544" t="s">
        <v>1409</v>
      </c>
      <c r="AK65" s="544" t="s">
        <v>752</v>
      </c>
      <c r="AL65" s="544" t="s">
        <v>43</v>
      </c>
      <c r="AM65" s="553">
        <v>1</v>
      </c>
      <c r="AN65" s="544" t="str">
        <f t="shared" si="95"/>
        <v>Divulgar el programa de inspecciones</v>
      </c>
      <c r="AO65" s="857"/>
      <c r="AP65" s="548" t="s">
        <v>46</v>
      </c>
      <c r="AQ65" s="187">
        <v>0</v>
      </c>
      <c r="AR65" s="544" t="str">
        <f t="shared" si="96"/>
        <v>Divulgar el programa de inspecciones</v>
      </c>
      <c r="AS65" s="874"/>
      <c r="AT65" s="573">
        <v>0</v>
      </c>
      <c r="AU65" s="842"/>
      <c r="AV65" s="543" t="e">
        <f t="shared" si="97"/>
        <v>#DIV/0!</v>
      </c>
      <c r="AW65" s="847"/>
      <c r="AX65" s="543">
        <f t="shared" si="98"/>
        <v>0</v>
      </c>
      <c r="AY65" s="847"/>
      <c r="AZ65" s="641" t="s">
        <v>1464</v>
      </c>
      <c r="BA65" s="187">
        <v>1</v>
      </c>
      <c r="BB65" s="544" t="str">
        <f t="shared" si="99"/>
        <v>Divulgar el programa de inspecciones</v>
      </c>
      <c r="BC65" s="867"/>
      <c r="BD65" s="73"/>
      <c r="BE65" s="860"/>
      <c r="BF65" s="543">
        <f t="shared" si="100"/>
        <v>0</v>
      </c>
      <c r="BG65" s="847"/>
      <c r="BH65" s="543">
        <f t="shared" si="101"/>
        <v>0</v>
      </c>
      <c r="BI65" s="847"/>
      <c r="BJ65" s="543"/>
      <c r="BK65" s="187">
        <v>0</v>
      </c>
      <c r="BL65" s="544" t="str">
        <f t="shared" si="102"/>
        <v>Divulgar el programa de inspecciones</v>
      </c>
      <c r="BM65" s="867"/>
      <c r="BN65" s="541"/>
      <c r="BO65" s="851"/>
      <c r="BP65" s="543" t="e">
        <f t="shared" si="103"/>
        <v>#DIV/0!</v>
      </c>
      <c r="BQ65" s="847"/>
      <c r="BR65" s="543">
        <f t="shared" si="104"/>
        <v>0</v>
      </c>
      <c r="BS65" s="847"/>
      <c r="BT65" s="543"/>
      <c r="BU65" s="187">
        <v>0</v>
      </c>
      <c r="BV65" s="544" t="str">
        <f t="shared" si="105"/>
        <v>Divulgar el programa de inspecciones</v>
      </c>
      <c r="BW65" s="867"/>
      <c r="BX65" s="541"/>
      <c r="BY65" s="851"/>
      <c r="BZ65" s="547" t="e">
        <f t="shared" si="106"/>
        <v>#DIV/0!</v>
      </c>
      <c r="CA65" s="854"/>
      <c r="CB65" s="547">
        <f t="shared" si="107"/>
        <v>0</v>
      </c>
      <c r="CC65" s="854"/>
      <c r="CD65" s="547"/>
      <c r="CE65" s="546" t="str">
        <f t="shared" si="108"/>
        <v>No Prog ni Ejec</v>
      </c>
      <c r="CF65" s="853"/>
      <c r="CG65" s="546">
        <f t="shared" si="109"/>
        <v>0</v>
      </c>
      <c r="CH65" s="853"/>
      <c r="CI65" s="546" t="str">
        <f t="shared" si="110"/>
        <v>No Prog ni Ejec</v>
      </c>
      <c r="CJ65" s="853"/>
      <c r="CK65" s="546" t="str">
        <f t="shared" si="111"/>
        <v>No Prog ni Ejec</v>
      </c>
      <c r="CL65" s="853"/>
      <c r="CM65" s="157">
        <f t="shared" si="6"/>
        <v>0</v>
      </c>
      <c r="CU65" s="75">
        <v>4</v>
      </c>
    </row>
    <row r="66" spans="1:106" s="75" customFormat="1" ht="89.25" x14ac:dyDescent="0.2">
      <c r="A66" s="541">
        <v>11700</v>
      </c>
      <c r="B66" s="544" t="s">
        <v>14</v>
      </c>
      <c r="C66" s="559" t="s">
        <v>535</v>
      </c>
      <c r="D66" s="559"/>
      <c r="E66" s="559"/>
      <c r="F66" s="559" t="s">
        <v>1108</v>
      </c>
      <c r="G66" s="559"/>
      <c r="H66" s="559"/>
      <c r="I66" s="559" t="s">
        <v>1108</v>
      </c>
      <c r="J66" s="559"/>
      <c r="K66" s="559"/>
      <c r="L66" s="559" t="s">
        <v>1108</v>
      </c>
      <c r="M66" s="559"/>
      <c r="N66" s="559"/>
      <c r="O66" s="559"/>
      <c r="P66" s="559"/>
      <c r="Q66" s="540" t="s">
        <v>206</v>
      </c>
      <c r="R66" s="540" t="s">
        <v>206</v>
      </c>
      <c r="S66" s="541" t="s">
        <v>240</v>
      </c>
      <c r="T66" s="544" t="s">
        <v>94</v>
      </c>
      <c r="U66" s="544" t="s">
        <v>206</v>
      </c>
      <c r="V66" s="544" t="s">
        <v>206</v>
      </c>
      <c r="W66" s="541" t="s">
        <v>793</v>
      </c>
      <c r="X66" s="544" t="s">
        <v>747</v>
      </c>
      <c r="Y66" s="554" t="s">
        <v>394</v>
      </c>
      <c r="Z66" s="553">
        <v>2</v>
      </c>
      <c r="AA66" s="541" t="s">
        <v>771</v>
      </c>
      <c r="AB66" s="544" t="s">
        <v>737</v>
      </c>
      <c r="AC66" s="874"/>
      <c r="AD66" s="545">
        <v>1</v>
      </c>
      <c r="AE66" s="544" t="s">
        <v>16</v>
      </c>
      <c r="AF66" s="544" t="s">
        <v>21</v>
      </c>
      <c r="AG66" s="544" t="s">
        <v>206</v>
      </c>
      <c r="AH66" s="544" t="s">
        <v>678</v>
      </c>
      <c r="AI66" s="544" t="s">
        <v>77</v>
      </c>
      <c r="AJ66" s="544" t="s">
        <v>1409</v>
      </c>
      <c r="AK66" s="544" t="s">
        <v>752</v>
      </c>
      <c r="AL66" s="544" t="s">
        <v>43</v>
      </c>
      <c r="AM66" s="553">
        <v>2</v>
      </c>
      <c r="AN66" s="544" t="str">
        <f t="shared" si="95"/>
        <v>Divulgar el programa de mantenimiento</v>
      </c>
      <c r="AO66" s="857"/>
      <c r="AP66" s="548" t="s">
        <v>46</v>
      </c>
      <c r="AQ66" s="187">
        <v>0</v>
      </c>
      <c r="AR66" s="544" t="str">
        <f t="shared" si="96"/>
        <v>Divulgar el programa de mantenimiento</v>
      </c>
      <c r="AS66" s="874"/>
      <c r="AT66" s="573">
        <v>0</v>
      </c>
      <c r="AU66" s="842"/>
      <c r="AV66" s="543" t="e">
        <f t="shared" si="97"/>
        <v>#DIV/0!</v>
      </c>
      <c r="AW66" s="847"/>
      <c r="AX66" s="543">
        <f t="shared" si="98"/>
        <v>0</v>
      </c>
      <c r="AY66" s="847"/>
      <c r="AZ66" s="641" t="s">
        <v>1464</v>
      </c>
      <c r="BA66" s="187">
        <v>1</v>
      </c>
      <c r="BB66" s="544" t="str">
        <f t="shared" si="99"/>
        <v>Divulgar el programa de mantenimiento</v>
      </c>
      <c r="BC66" s="867"/>
      <c r="BD66" s="73"/>
      <c r="BE66" s="860"/>
      <c r="BF66" s="543">
        <f t="shared" si="100"/>
        <v>0</v>
      </c>
      <c r="BG66" s="847"/>
      <c r="BH66" s="543">
        <f t="shared" si="101"/>
        <v>0</v>
      </c>
      <c r="BI66" s="847"/>
      <c r="BJ66" s="543"/>
      <c r="BK66" s="187">
        <v>0</v>
      </c>
      <c r="BL66" s="544" t="str">
        <f t="shared" si="102"/>
        <v>Divulgar el programa de mantenimiento</v>
      </c>
      <c r="BM66" s="867"/>
      <c r="BN66" s="541"/>
      <c r="BO66" s="851"/>
      <c r="BP66" s="543" t="e">
        <f t="shared" si="103"/>
        <v>#DIV/0!</v>
      </c>
      <c r="BQ66" s="847"/>
      <c r="BR66" s="543">
        <f t="shared" si="104"/>
        <v>0</v>
      </c>
      <c r="BS66" s="847"/>
      <c r="BT66" s="543"/>
      <c r="BU66" s="187">
        <v>1</v>
      </c>
      <c r="BV66" s="544" t="str">
        <f t="shared" si="105"/>
        <v>Divulgar el programa de mantenimiento</v>
      </c>
      <c r="BW66" s="867"/>
      <c r="BX66" s="541"/>
      <c r="BY66" s="851"/>
      <c r="BZ66" s="547">
        <f t="shared" si="106"/>
        <v>0</v>
      </c>
      <c r="CA66" s="854"/>
      <c r="CB66" s="547">
        <f t="shared" si="107"/>
        <v>0</v>
      </c>
      <c r="CC66" s="854"/>
      <c r="CD66" s="547"/>
      <c r="CE66" s="546" t="str">
        <f t="shared" si="108"/>
        <v>No Prog ni Ejec</v>
      </c>
      <c r="CF66" s="853"/>
      <c r="CG66" s="546">
        <f t="shared" si="109"/>
        <v>0</v>
      </c>
      <c r="CH66" s="853"/>
      <c r="CI66" s="546" t="str">
        <f t="shared" si="110"/>
        <v>No Prog ni Ejec</v>
      </c>
      <c r="CJ66" s="853"/>
      <c r="CK66" s="546">
        <f t="shared" si="111"/>
        <v>0</v>
      </c>
      <c r="CL66" s="853"/>
      <c r="CM66" s="157">
        <f t="shared" si="6"/>
        <v>0</v>
      </c>
      <c r="CY66" s="75">
        <v>8</v>
      </c>
      <c r="DB66" s="75">
        <v>11</v>
      </c>
    </row>
    <row r="67" spans="1:106" s="75" customFormat="1" ht="178.5" x14ac:dyDescent="0.2">
      <c r="A67" s="541">
        <v>11700</v>
      </c>
      <c r="B67" s="544" t="s">
        <v>14</v>
      </c>
      <c r="C67" s="559" t="s">
        <v>535</v>
      </c>
      <c r="D67" s="559"/>
      <c r="E67" s="559"/>
      <c r="F67" s="559" t="s">
        <v>1108</v>
      </c>
      <c r="G67" s="559"/>
      <c r="H67" s="559"/>
      <c r="I67" s="559" t="s">
        <v>1108</v>
      </c>
      <c r="J67" s="559"/>
      <c r="K67" s="559"/>
      <c r="L67" s="559" t="s">
        <v>1108</v>
      </c>
      <c r="M67" s="559"/>
      <c r="N67" s="559"/>
      <c r="O67" s="559"/>
      <c r="P67" s="559"/>
      <c r="Q67" s="540" t="s">
        <v>206</v>
      </c>
      <c r="R67" s="540" t="s">
        <v>206</v>
      </c>
      <c r="S67" s="541" t="s">
        <v>240</v>
      </c>
      <c r="T67" s="544" t="s">
        <v>94</v>
      </c>
      <c r="U67" s="544" t="s">
        <v>206</v>
      </c>
      <c r="V67" s="544" t="s">
        <v>206</v>
      </c>
      <c r="W67" s="541" t="s">
        <v>794</v>
      </c>
      <c r="X67" s="544" t="s">
        <v>748</v>
      </c>
      <c r="Y67" s="554" t="s">
        <v>171</v>
      </c>
      <c r="Z67" s="543">
        <v>1</v>
      </c>
      <c r="AA67" s="541" t="s">
        <v>772</v>
      </c>
      <c r="AB67" s="544" t="s">
        <v>749</v>
      </c>
      <c r="AC67" s="874"/>
      <c r="AD67" s="545">
        <v>1</v>
      </c>
      <c r="AE67" s="544" t="s">
        <v>16</v>
      </c>
      <c r="AF67" s="544" t="s">
        <v>21</v>
      </c>
      <c r="AG67" s="544" t="s">
        <v>206</v>
      </c>
      <c r="AH67" s="544" t="s">
        <v>678</v>
      </c>
      <c r="AI67" s="544" t="s">
        <v>77</v>
      </c>
      <c r="AJ67" s="544" t="s">
        <v>1408</v>
      </c>
      <c r="AK67" s="544" t="s">
        <v>750</v>
      </c>
      <c r="AL67" s="544" t="s">
        <v>43</v>
      </c>
      <c r="AM67" s="545">
        <v>1</v>
      </c>
      <c r="AN67" s="544" t="str">
        <f t="shared" si="95"/>
        <v>Investigar los eventos de incidentes, accidentes de trabajo  y/o enfermedades laborales que se presenten</v>
      </c>
      <c r="AO67" s="857"/>
      <c r="AP67" s="548" t="s">
        <v>46</v>
      </c>
      <c r="AQ67" s="545">
        <v>0.25</v>
      </c>
      <c r="AR67" s="544" t="str">
        <f t="shared" ref="AR67:AR75" si="112">+AN67</f>
        <v>Investigar los eventos de incidentes, accidentes de trabajo  y/o enfermedades laborales que se presenten</v>
      </c>
      <c r="AS67" s="874"/>
      <c r="AT67" s="593">
        <v>0.25</v>
      </c>
      <c r="AU67" s="868"/>
      <c r="AV67" s="543">
        <f t="shared" ref="AV67:AV75" si="113">+(AT67/AQ67)</f>
        <v>1</v>
      </c>
      <c r="AW67" s="847"/>
      <c r="AX67" s="543">
        <f t="shared" ref="AX67:AX75" si="114">+(AT67/AM67)</f>
        <v>0.25</v>
      </c>
      <c r="AY67" s="847"/>
      <c r="AZ67" s="586" t="s">
        <v>1469</v>
      </c>
      <c r="BA67" s="545">
        <v>0.25</v>
      </c>
      <c r="BB67" s="544" t="str">
        <f t="shared" ref="BB67:BB75" si="115">+AN67</f>
        <v>Investigar los eventos de incidentes, accidentes de trabajo  y/o enfermedades laborales que se presenten</v>
      </c>
      <c r="BC67" s="867"/>
      <c r="BD67" s="73"/>
      <c r="BE67" s="860"/>
      <c r="BF67" s="543">
        <f t="shared" ref="BF67:BF75" si="116">+(BD67/BA67)</f>
        <v>0</v>
      </c>
      <c r="BG67" s="847"/>
      <c r="BH67" s="543">
        <f t="shared" ref="BH67:BH75" si="117">+(BD67+AT67)/AM67</f>
        <v>0.25</v>
      </c>
      <c r="BI67" s="847"/>
      <c r="BJ67" s="543"/>
      <c r="BK67" s="545">
        <v>0.25</v>
      </c>
      <c r="BL67" s="544" t="str">
        <f t="shared" ref="BL67:BL75" si="118">+AN67</f>
        <v>Investigar los eventos de incidentes, accidentes de trabajo  y/o enfermedades laborales que se presenten</v>
      </c>
      <c r="BM67" s="867"/>
      <c r="BN67" s="541"/>
      <c r="BO67" s="851"/>
      <c r="BP67" s="543">
        <f t="shared" ref="BP67:BP75" si="119">+(BN67/BK67)</f>
        <v>0</v>
      </c>
      <c r="BQ67" s="847"/>
      <c r="BR67" s="543">
        <f t="shared" ref="BR67:BR75" si="120">+(BD67+AT67+BN67)/AM67</f>
        <v>0.25</v>
      </c>
      <c r="BS67" s="847"/>
      <c r="BT67" s="543"/>
      <c r="BU67" s="545">
        <v>0.25</v>
      </c>
      <c r="BV67" s="544" t="str">
        <f t="shared" ref="BV67:BV75" si="121">+AN67</f>
        <v>Investigar los eventos de incidentes, accidentes de trabajo  y/o enfermedades laborales que se presenten</v>
      </c>
      <c r="BW67" s="867"/>
      <c r="BX67" s="541"/>
      <c r="BY67" s="851"/>
      <c r="BZ67" s="547">
        <f t="shared" ref="BZ67:BZ75" si="122">+(BX67/BU67)</f>
        <v>0</v>
      </c>
      <c r="CA67" s="854"/>
      <c r="CB67" s="547">
        <f t="shared" ref="CB67:CB75" si="123">+(BD67+AT67+BN67+BX67)/AM67</f>
        <v>0.25</v>
      </c>
      <c r="CC67" s="854"/>
      <c r="CD67" s="547"/>
      <c r="CE67" s="546">
        <f t="shared" ref="CE67:CE75" si="124">IF(AND(AQ67=0,AT67=0),"No Prog ni Ejec",IF(AQ67=0,CONCATENATE("No Prog, Ejec=  ",AT67),AT67/AQ67))</f>
        <v>1</v>
      </c>
      <c r="CF67" s="853"/>
      <c r="CG67" s="546">
        <f t="shared" ref="CG67:CG75" si="125">IF(AND(BA67=0,BD67=0),"No Prog ni Ejec",IF(BA67=0,CONCATENATE("No Prog, Ejec=  ",BD67),BD67/BA67))</f>
        <v>0</v>
      </c>
      <c r="CH67" s="853"/>
      <c r="CI67" s="546">
        <f t="shared" ref="CI67:CI75" si="126">IF(AND(BK67=0,BN67=0),"No Prog ni Ejec",IF(BK67=0,CONCATENATE("No Prog, Ejec=  ",BN67),BN67/BK67))</f>
        <v>0</v>
      </c>
      <c r="CJ67" s="853"/>
      <c r="CK67" s="546">
        <f t="shared" ref="CK67:CK75" si="127">IF(AND(BU67=0,BX67=0),"No Prog ni Ejec",IF(BU67=0,CONCATENATE("No Prog, Ejec=  ",BX67),BX67/BU67))</f>
        <v>0</v>
      </c>
      <c r="CL67" s="853"/>
      <c r="CM67" s="157">
        <f t="shared" si="6"/>
        <v>0</v>
      </c>
      <c r="CY67" s="75">
        <v>8</v>
      </c>
      <c r="DB67" s="75">
        <v>11</v>
      </c>
    </row>
    <row r="68" spans="1:106" s="75" customFormat="1" ht="99.75" customHeight="1" x14ac:dyDescent="0.2">
      <c r="A68" s="541">
        <v>11700</v>
      </c>
      <c r="B68" s="544" t="s">
        <v>14</v>
      </c>
      <c r="C68" s="559" t="s">
        <v>535</v>
      </c>
      <c r="D68" s="559"/>
      <c r="E68" s="559"/>
      <c r="F68" s="559" t="s">
        <v>1108</v>
      </c>
      <c r="G68" s="559"/>
      <c r="H68" s="559"/>
      <c r="I68" s="559" t="s">
        <v>1108</v>
      </c>
      <c r="J68" s="559"/>
      <c r="K68" s="559"/>
      <c r="L68" s="559" t="s">
        <v>1108</v>
      </c>
      <c r="M68" s="559"/>
      <c r="N68" s="559"/>
      <c r="O68" s="559"/>
      <c r="P68" s="559"/>
      <c r="Q68" s="540" t="s">
        <v>206</v>
      </c>
      <c r="R68" s="540" t="s">
        <v>206</v>
      </c>
      <c r="S68" s="541" t="s">
        <v>240</v>
      </c>
      <c r="T68" s="544" t="s">
        <v>94</v>
      </c>
      <c r="U68" s="544" t="s">
        <v>206</v>
      </c>
      <c r="V68" s="544" t="s">
        <v>206</v>
      </c>
      <c r="W68" s="541" t="s">
        <v>795</v>
      </c>
      <c r="X68" s="544" t="s">
        <v>718</v>
      </c>
      <c r="Y68" s="554" t="s">
        <v>394</v>
      </c>
      <c r="Z68" s="553">
        <v>4</v>
      </c>
      <c r="AA68" s="541" t="s">
        <v>773</v>
      </c>
      <c r="AB68" s="544" t="s">
        <v>724</v>
      </c>
      <c r="AC68" s="874"/>
      <c r="AD68" s="545">
        <v>1</v>
      </c>
      <c r="AE68" s="544" t="s">
        <v>16</v>
      </c>
      <c r="AF68" s="544" t="s">
        <v>21</v>
      </c>
      <c r="AG68" s="544" t="s">
        <v>206</v>
      </c>
      <c r="AH68" s="544" t="s">
        <v>678</v>
      </c>
      <c r="AI68" s="544" t="s">
        <v>77</v>
      </c>
      <c r="AJ68" s="544" t="s">
        <v>1408</v>
      </c>
      <c r="AK68" s="544" t="s">
        <v>752</v>
      </c>
      <c r="AL68" s="544" t="s">
        <v>43</v>
      </c>
      <c r="AM68" s="553">
        <v>4</v>
      </c>
      <c r="AN68" s="544" t="str">
        <f t="shared" si="95"/>
        <v>Realizar Reuniones - Inspecciones - Acompañamiento y seguimiento en el desarrollo del Comité paritario de seguridad y Salud en el trabajo</v>
      </c>
      <c r="AO68" s="857"/>
      <c r="AP68" s="548" t="s">
        <v>46</v>
      </c>
      <c r="AQ68" s="187">
        <v>1</v>
      </c>
      <c r="AR68" s="544" t="str">
        <f t="shared" si="112"/>
        <v>Realizar Reuniones - Inspecciones - Acompañamiento y seguimiento en el desarrollo del Comité paritario de seguridad y Salud en el trabajo</v>
      </c>
      <c r="AS68" s="874"/>
      <c r="AT68" s="587">
        <v>1</v>
      </c>
      <c r="AU68" s="868"/>
      <c r="AV68" s="543">
        <f t="shared" si="113"/>
        <v>1</v>
      </c>
      <c r="AW68" s="847"/>
      <c r="AX68" s="543">
        <f t="shared" si="114"/>
        <v>0.25</v>
      </c>
      <c r="AY68" s="847"/>
      <c r="AZ68" s="586" t="s">
        <v>1470</v>
      </c>
      <c r="BA68" s="187">
        <v>1</v>
      </c>
      <c r="BB68" s="544" t="str">
        <f t="shared" si="115"/>
        <v>Realizar Reuniones - Inspecciones - Acompañamiento y seguimiento en el desarrollo del Comité paritario de seguridad y Salud en el trabajo</v>
      </c>
      <c r="BC68" s="867"/>
      <c r="BD68" s="73"/>
      <c r="BE68" s="860"/>
      <c r="BF68" s="543">
        <f t="shared" si="116"/>
        <v>0</v>
      </c>
      <c r="BG68" s="847"/>
      <c r="BH68" s="543">
        <f t="shared" si="117"/>
        <v>0.25</v>
      </c>
      <c r="BI68" s="847"/>
      <c r="BJ68" s="543"/>
      <c r="BK68" s="187">
        <v>1</v>
      </c>
      <c r="BL68" s="544" t="str">
        <f t="shared" si="118"/>
        <v>Realizar Reuniones - Inspecciones - Acompañamiento y seguimiento en el desarrollo del Comité paritario de seguridad y Salud en el trabajo</v>
      </c>
      <c r="BM68" s="867"/>
      <c r="BN68" s="541"/>
      <c r="BO68" s="851"/>
      <c r="BP68" s="543">
        <f t="shared" si="119"/>
        <v>0</v>
      </c>
      <c r="BQ68" s="847"/>
      <c r="BR68" s="543">
        <f t="shared" si="120"/>
        <v>0.25</v>
      </c>
      <c r="BS68" s="847"/>
      <c r="BT68" s="543"/>
      <c r="BU68" s="187">
        <v>1</v>
      </c>
      <c r="BV68" s="544" t="str">
        <f t="shared" si="121"/>
        <v>Realizar Reuniones - Inspecciones - Acompañamiento y seguimiento en el desarrollo del Comité paritario de seguridad y Salud en el trabajo</v>
      </c>
      <c r="BW68" s="867"/>
      <c r="BX68" s="541"/>
      <c r="BY68" s="851"/>
      <c r="BZ68" s="547">
        <f t="shared" si="122"/>
        <v>0</v>
      </c>
      <c r="CA68" s="854"/>
      <c r="CB68" s="547">
        <f t="shared" si="123"/>
        <v>0.25</v>
      </c>
      <c r="CC68" s="854"/>
      <c r="CD68" s="547"/>
      <c r="CE68" s="546">
        <f t="shared" si="124"/>
        <v>1</v>
      </c>
      <c r="CF68" s="853"/>
      <c r="CG68" s="546">
        <f t="shared" si="125"/>
        <v>0</v>
      </c>
      <c r="CH68" s="853"/>
      <c r="CI68" s="546">
        <f t="shared" si="126"/>
        <v>0</v>
      </c>
      <c r="CJ68" s="853"/>
      <c r="CK68" s="546">
        <f t="shared" si="127"/>
        <v>0</v>
      </c>
      <c r="CL68" s="853"/>
      <c r="CM68" s="157">
        <f t="shared" si="6"/>
        <v>0</v>
      </c>
      <c r="CY68" s="75">
        <v>8</v>
      </c>
      <c r="DB68" s="75">
        <v>11</v>
      </c>
    </row>
    <row r="69" spans="1:106" s="75" customFormat="1" ht="101.25" customHeight="1" x14ac:dyDescent="0.2">
      <c r="A69" s="541">
        <v>11700</v>
      </c>
      <c r="B69" s="544" t="s">
        <v>14</v>
      </c>
      <c r="C69" s="559" t="s">
        <v>535</v>
      </c>
      <c r="D69" s="559"/>
      <c r="E69" s="559"/>
      <c r="F69" s="559" t="s">
        <v>1108</v>
      </c>
      <c r="G69" s="559"/>
      <c r="H69" s="559"/>
      <c r="I69" s="559" t="s">
        <v>1108</v>
      </c>
      <c r="J69" s="559"/>
      <c r="K69" s="559"/>
      <c r="L69" s="559" t="s">
        <v>1108</v>
      </c>
      <c r="M69" s="559"/>
      <c r="N69" s="559"/>
      <c r="O69" s="559"/>
      <c r="P69" s="559"/>
      <c r="Q69" s="540" t="s">
        <v>206</v>
      </c>
      <c r="R69" s="540" t="s">
        <v>206</v>
      </c>
      <c r="S69" s="541" t="s">
        <v>240</v>
      </c>
      <c r="T69" s="544" t="s">
        <v>94</v>
      </c>
      <c r="U69" s="544" t="s">
        <v>206</v>
      </c>
      <c r="V69" s="544" t="s">
        <v>206</v>
      </c>
      <c r="W69" s="541" t="s">
        <v>796</v>
      </c>
      <c r="X69" s="544" t="s">
        <v>719</v>
      </c>
      <c r="Y69" s="554" t="s">
        <v>394</v>
      </c>
      <c r="Z69" s="553">
        <v>1</v>
      </c>
      <c r="AA69" s="541" t="s">
        <v>774</v>
      </c>
      <c r="AB69" s="544" t="s">
        <v>725</v>
      </c>
      <c r="AC69" s="874"/>
      <c r="AD69" s="545">
        <v>1</v>
      </c>
      <c r="AE69" s="544" t="s">
        <v>16</v>
      </c>
      <c r="AF69" s="544" t="s">
        <v>21</v>
      </c>
      <c r="AG69" s="544" t="s">
        <v>206</v>
      </c>
      <c r="AH69" s="544" t="s">
        <v>678</v>
      </c>
      <c r="AI69" s="544" t="s">
        <v>77</v>
      </c>
      <c r="AJ69" s="544" t="s">
        <v>1408</v>
      </c>
      <c r="AK69" s="544" t="s">
        <v>752</v>
      </c>
      <c r="AL69" s="544" t="s">
        <v>43</v>
      </c>
      <c r="AM69" s="553">
        <v>2</v>
      </c>
      <c r="AN69" s="544" t="str">
        <f t="shared" si="95"/>
        <v>Realizar evaluación de cumplimiento del SG-SST de proveedores y contratistas "de personería jurídica"</v>
      </c>
      <c r="AO69" s="857"/>
      <c r="AP69" s="548" t="s">
        <v>46</v>
      </c>
      <c r="AQ69" s="187">
        <v>0</v>
      </c>
      <c r="AR69" s="544" t="str">
        <f t="shared" si="112"/>
        <v>Realizar evaluación de cumplimiento del SG-SST de proveedores y contratistas "de personería jurídica"</v>
      </c>
      <c r="AS69" s="874"/>
      <c r="AT69" s="573">
        <v>0</v>
      </c>
      <c r="AU69" s="842"/>
      <c r="AV69" s="543" t="e">
        <f t="shared" si="113"/>
        <v>#DIV/0!</v>
      </c>
      <c r="AW69" s="847"/>
      <c r="AX69" s="543">
        <f t="shared" si="114"/>
        <v>0</v>
      </c>
      <c r="AY69" s="847"/>
      <c r="AZ69" s="641" t="s">
        <v>1464</v>
      </c>
      <c r="BA69" s="187">
        <v>1</v>
      </c>
      <c r="BB69" s="544" t="str">
        <f t="shared" si="115"/>
        <v>Realizar evaluación de cumplimiento del SG-SST de proveedores y contratistas "de personería jurídica"</v>
      </c>
      <c r="BC69" s="867"/>
      <c r="BD69" s="73"/>
      <c r="BE69" s="860"/>
      <c r="BF69" s="543">
        <f t="shared" si="116"/>
        <v>0</v>
      </c>
      <c r="BG69" s="847"/>
      <c r="BH69" s="543">
        <f t="shared" si="117"/>
        <v>0</v>
      </c>
      <c r="BI69" s="847"/>
      <c r="BJ69" s="543"/>
      <c r="BK69" s="187">
        <v>0</v>
      </c>
      <c r="BL69" s="544" t="str">
        <f t="shared" si="118"/>
        <v>Realizar evaluación de cumplimiento del SG-SST de proveedores y contratistas "de personería jurídica"</v>
      </c>
      <c r="BM69" s="867"/>
      <c r="BN69" s="541"/>
      <c r="BO69" s="851"/>
      <c r="BP69" s="543" t="e">
        <f t="shared" si="119"/>
        <v>#DIV/0!</v>
      </c>
      <c r="BQ69" s="847"/>
      <c r="BR69" s="543">
        <f t="shared" si="120"/>
        <v>0</v>
      </c>
      <c r="BS69" s="847"/>
      <c r="BT69" s="543"/>
      <c r="BU69" s="187">
        <v>1</v>
      </c>
      <c r="BV69" s="544" t="str">
        <f t="shared" si="121"/>
        <v>Realizar evaluación de cumplimiento del SG-SST de proveedores y contratistas "de personería jurídica"</v>
      </c>
      <c r="BW69" s="867"/>
      <c r="BX69" s="541"/>
      <c r="BY69" s="851"/>
      <c r="BZ69" s="547">
        <f t="shared" si="122"/>
        <v>0</v>
      </c>
      <c r="CA69" s="854"/>
      <c r="CB69" s="547">
        <f t="shared" si="123"/>
        <v>0</v>
      </c>
      <c r="CC69" s="854"/>
      <c r="CD69" s="547"/>
      <c r="CE69" s="546" t="str">
        <f t="shared" si="124"/>
        <v>No Prog ni Ejec</v>
      </c>
      <c r="CF69" s="853"/>
      <c r="CG69" s="546">
        <f t="shared" si="125"/>
        <v>0</v>
      </c>
      <c r="CH69" s="853"/>
      <c r="CI69" s="546" t="str">
        <f t="shared" si="126"/>
        <v>No Prog ni Ejec</v>
      </c>
      <c r="CJ69" s="853"/>
      <c r="CK69" s="546">
        <f t="shared" si="127"/>
        <v>0</v>
      </c>
      <c r="CL69" s="853"/>
      <c r="CM69" s="157">
        <f t="shared" si="6"/>
        <v>0</v>
      </c>
      <c r="CY69" s="75">
        <v>8</v>
      </c>
      <c r="DB69" s="75">
        <v>11</v>
      </c>
    </row>
    <row r="70" spans="1:106" s="75" customFormat="1" ht="106.5" customHeight="1" x14ac:dyDescent="0.2">
      <c r="A70" s="541">
        <v>11700</v>
      </c>
      <c r="B70" s="544" t="s">
        <v>14</v>
      </c>
      <c r="C70" s="559" t="s">
        <v>535</v>
      </c>
      <c r="D70" s="559"/>
      <c r="E70" s="559"/>
      <c r="F70" s="559" t="s">
        <v>1108</v>
      </c>
      <c r="G70" s="559"/>
      <c r="H70" s="559"/>
      <c r="I70" s="559" t="s">
        <v>1108</v>
      </c>
      <c r="J70" s="559"/>
      <c r="K70" s="559"/>
      <c r="L70" s="559" t="s">
        <v>1108</v>
      </c>
      <c r="M70" s="559"/>
      <c r="N70" s="559"/>
      <c r="O70" s="559"/>
      <c r="P70" s="559"/>
      <c r="Q70" s="540" t="s">
        <v>206</v>
      </c>
      <c r="R70" s="540" t="s">
        <v>206</v>
      </c>
      <c r="S70" s="541" t="s">
        <v>240</v>
      </c>
      <c r="T70" s="544" t="s">
        <v>94</v>
      </c>
      <c r="U70" s="544" t="s">
        <v>206</v>
      </c>
      <c r="V70" s="544" t="s">
        <v>206</v>
      </c>
      <c r="W70" s="541" t="s">
        <v>797</v>
      </c>
      <c r="X70" s="544" t="s">
        <v>720</v>
      </c>
      <c r="Y70" s="554" t="s">
        <v>394</v>
      </c>
      <c r="Z70" s="553">
        <v>1</v>
      </c>
      <c r="AA70" s="541" t="s">
        <v>775</v>
      </c>
      <c r="AB70" s="544" t="s">
        <v>726</v>
      </c>
      <c r="AC70" s="874"/>
      <c r="AD70" s="545">
        <v>1</v>
      </c>
      <c r="AE70" s="544" t="s">
        <v>16</v>
      </c>
      <c r="AF70" s="544" t="s">
        <v>21</v>
      </c>
      <c r="AG70" s="544" t="s">
        <v>206</v>
      </c>
      <c r="AH70" s="544" t="s">
        <v>678</v>
      </c>
      <c r="AI70" s="544" t="s">
        <v>77</v>
      </c>
      <c r="AJ70" s="544" t="s">
        <v>1408</v>
      </c>
      <c r="AK70" s="544" t="s">
        <v>752</v>
      </c>
      <c r="AL70" s="544" t="s">
        <v>43</v>
      </c>
      <c r="AM70" s="553">
        <v>1</v>
      </c>
      <c r="AN70" s="544" t="str">
        <f t="shared" si="95"/>
        <v>Realizar auditoria interna del SG-SST</v>
      </c>
      <c r="AO70" s="857"/>
      <c r="AP70" s="548" t="s">
        <v>46</v>
      </c>
      <c r="AQ70" s="187">
        <v>0</v>
      </c>
      <c r="AR70" s="544" t="str">
        <f t="shared" si="112"/>
        <v>Realizar auditoria interna del SG-SST</v>
      </c>
      <c r="AS70" s="874"/>
      <c r="AT70" s="573">
        <v>0</v>
      </c>
      <c r="AU70" s="842"/>
      <c r="AV70" s="543" t="e">
        <f t="shared" si="113"/>
        <v>#DIV/0!</v>
      </c>
      <c r="AW70" s="847"/>
      <c r="AX70" s="543">
        <f t="shared" si="114"/>
        <v>0</v>
      </c>
      <c r="AY70" s="847"/>
      <c r="AZ70" s="641" t="s">
        <v>1464</v>
      </c>
      <c r="BA70" s="187">
        <v>0</v>
      </c>
      <c r="BB70" s="544" t="str">
        <f t="shared" si="115"/>
        <v>Realizar auditoria interna del SG-SST</v>
      </c>
      <c r="BC70" s="867"/>
      <c r="BD70" s="73"/>
      <c r="BE70" s="860"/>
      <c r="BF70" s="543" t="e">
        <f t="shared" si="116"/>
        <v>#DIV/0!</v>
      </c>
      <c r="BG70" s="847"/>
      <c r="BH70" s="543">
        <f t="shared" si="117"/>
        <v>0</v>
      </c>
      <c r="BI70" s="847"/>
      <c r="BJ70" s="543"/>
      <c r="BK70" s="187">
        <v>0</v>
      </c>
      <c r="BL70" s="544" t="str">
        <f t="shared" si="118"/>
        <v>Realizar auditoria interna del SG-SST</v>
      </c>
      <c r="BM70" s="867"/>
      <c r="BN70" s="541"/>
      <c r="BO70" s="851"/>
      <c r="BP70" s="543" t="e">
        <f t="shared" si="119"/>
        <v>#DIV/0!</v>
      </c>
      <c r="BQ70" s="847"/>
      <c r="BR70" s="543">
        <f t="shared" si="120"/>
        <v>0</v>
      </c>
      <c r="BS70" s="847"/>
      <c r="BT70" s="543"/>
      <c r="BU70" s="187">
        <v>1</v>
      </c>
      <c r="BV70" s="544" t="str">
        <f t="shared" si="121"/>
        <v>Realizar auditoria interna del SG-SST</v>
      </c>
      <c r="BW70" s="867"/>
      <c r="BX70" s="541"/>
      <c r="BY70" s="851"/>
      <c r="BZ70" s="547">
        <f t="shared" si="122"/>
        <v>0</v>
      </c>
      <c r="CA70" s="854"/>
      <c r="CB70" s="547">
        <f t="shared" si="123"/>
        <v>0</v>
      </c>
      <c r="CC70" s="854"/>
      <c r="CD70" s="547"/>
      <c r="CE70" s="546" t="str">
        <f t="shared" si="124"/>
        <v>No Prog ni Ejec</v>
      </c>
      <c r="CF70" s="853"/>
      <c r="CG70" s="546" t="str">
        <f t="shared" si="125"/>
        <v>No Prog ni Ejec</v>
      </c>
      <c r="CH70" s="853"/>
      <c r="CI70" s="546" t="str">
        <f t="shared" si="126"/>
        <v>No Prog ni Ejec</v>
      </c>
      <c r="CJ70" s="853"/>
      <c r="CK70" s="546">
        <f t="shared" si="127"/>
        <v>0</v>
      </c>
      <c r="CL70" s="853"/>
      <c r="CM70" s="157">
        <f t="shared" si="6"/>
        <v>0</v>
      </c>
      <c r="CY70" s="75">
        <v>8</v>
      </c>
      <c r="DB70" s="75">
        <v>11</v>
      </c>
    </row>
    <row r="71" spans="1:106" s="75" customFormat="1" ht="102.75" customHeight="1" x14ac:dyDescent="0.2">
      <c r="A71" s="541">
        <v>11700</v>
      </c>
      <c r="B71" s="544" t="s">
        <v>14</v>
      </c>
      <c r="C71" s="559" t="s">
        <v>535</v>
      </c>
      <c r="D71" s="559"/>
      <c r="E71" s="559"/>
      <c r="F71" s="559" t="s">
        <v>1108</v>
      </c>
      <c r="G71" s="559"/>
      <c r="H71" s="559"/>
      <c r="I71" s="559" t="s">
        <v>1108</v>
      </c>
      <c r="J71" s="559"/>
      <c r="K71" s="559"/>
      <c r="L71" s="559" t="s">
        <v>1108</v>
      </c>
      <c r="M71" s="559"/>
      <c r="N71" s="559"/>
      <c r="O71" s="559"/>
      <c r="P71" s="559"/>
      <c r="Q71" s="540" t="s">
        <v>206</v>
      </c>
      <c r="R71" s="540" t="s">
        <v>206</v>
      </c>
      <c r="S71" s="541" t="s">
        <v>240</v>
      </c>
      <c r="T71" s="544" t="s">
        <v>94</v>
      </c>
      <c r="U71" s="544" t="s">
        <v>206</v>
      </c>
      <c r="V71" s="544" t="s">
        <v>206</v>
      </c>
      <c r="W71" s="541" t="s">
        <v>798</v>
      </c>
      <c r="X71" s="544" t="s">
        <v>751</v>
      </c>
      <c r="Y71" s="554" t="s">
        <v>394</v>
      </c>
      <c r="Z71" s="553">
        <v>1</v>
      </c>
      <c r="AA71" s="541" t="s">
        <v>776</v>
      </c>
      <c r="AB71" s="544" t="s">
        <v>727</v>
      </c>
      <c r="AC71" s="874"/>
      <c r="AD71" s="545">
        <v>1</v>
      </c>
      <c r="AE71" s="544" t="s">
        <v>16</v>
      </c>
      <c r="AF71" s="544" t="s">
        <v>21</v>
      </c>
      <c r="AG71" s="544" t="s">
        <v>206</v>
      </c>
      <c r="AH71" s="544" t="s">
        <v>678</v>
      </c>
      <c r="AI71" s="544" t="s">
        <v>77</v>
      </c>
      <c r="AJ71" s="544" t="s">
        <v>1408</v>
      </c>
      <c r="AK71" s="544" t="s">
        <v>752</v>
      </c>
      <c r="AL71" s="544" t="s">
        <v>43</v>
      </c>
      <c r="AM71" s="553">
        <v>1</v>
      </c>
      <c r="AN71" s="544" t="str">
        <f t="shared" si="95"/>
        <v>Realizar plan de acción de los hallazgos generados por auditoria interna o entes de control.</v>
      </c>
      <c r="AO71" s="857"/>
      <c r="AP71" s="548" t="s">
        <v>46</v>
      </c>
      <c r="AQ71" s="187">
        <v>0</v>
      </c>
      <c r="AR71" s="544" t="str">
        <f t="shared" si="112"/>
        <v>Realizar plan de acción de los hallazgos generados por auditoria interna o entes de control.</v>
      </c>
      <c r="AS71" s="874"/>
      <c r="AT71" s="573">
        <v>0</v>
      </c>
      <c r="AU71" s="842"/>
      <c r="AV71" s="543" t="e">
        <f t="shared" si="113"/>
        <v>#DIV/0!</v>
      </c>
      <c r="AW71" s="847"/>
      <c r="AX71" s="543">
        <f t="shared" si="114"/>
        <v>0</v>
      </c>
      <c r="AY71" s="847"/>
      <c r="AZ71" s="641" t="s">
        <v>1464</v>
      </c>
      <c r="BA71" s="187">
        <v>0</v>
      </c>
      <c r="BB71" s="544" t="str">
        <f t="shared" si="115"/>
        <v>Realizar plan de acción de los hallazgos generados por auditoria interna o entes de control.</v>
      </c>
      <c r="BC71" s="867"/>
      <c r="BD71" s="73"/>
      <c r="BE71" s="860"/>
      <c r="BF71" s="543" t="e">
        <f t="shared" si="116"/>
        <v>#DIV/0!</v>
      </c>
      <c r="BG71" s="847"/>
      <c r="BH71" s="543">
        <f t="shared" si="117"/>
        <v>0</v>
      </c>
      <c r="BI71" s="847"/>
      <c r="BJ71" s="543"/>
      <c r="BK71" s="187">
        <v>0</v>
      </c>
      <c r="BL71" s="544" t="str">
        <f t="shared" si="118"/>
        <v>Realizar plan de acción de los hallazgos generados por auditoria interna o entes de control.</v>
      </c>
      <c r="BM71" s="867"/>
      <c r="BN71" s="541"/>
      <c r="BO71" s="851"/>
      <c r="BP71" s="543" t="e">
        <f t="shared" si="119"/>
        <v>#DIV/0!</v>
      </c>
      <c r="BQ71" s="847"/>
      <c r="BR71" s="543">
        <f t="shared" si="120"/>
        <v>0</v>
      </c>
      <c r="BS71" s="847"/>
      <c r="BT71" s="543"/>
      <c r="BU71" s="187">
        <v>1</v>
      </c>
      <c r="BV71" s="544" t="str">
        <f t="shared" si="121"/>
        <v>Realizar plan de acción de los hallazgos generados por auditoria interna o entes de control.</v>
      </c>
      <c r="BW71" s="867"/>
      <c r="BX71" s="541"/>
      <c r="BY71" s="851"/>
      <c r="BZ71" s="547">
        <f t="shared" si="122"/>
        <v>0</v>
      </c>
      <c r="CA71" s="854"/>
      <c r="CB71" s="547">
        <f t="shared" si="123"/>
        <v>0</v>
      </c>
      <c r="CC71" s="854"/>
      <c r="CD71" s="547"/>
      <c r="CE71" s="546" t="str">
        <f t="shared" si="124"/>
        <v>No Prog ni Ejec</v>
      </c>
      <c r="CF71" s="853"/>
      <c r="CG71" s="546" t="str">
        <f t="shared" si="125"/>
        <v>No Prog ni Ejec</v>
      </c>
      <c r="CH71" s="853"/>
      <c r="CI71" s="546" t="str">
        <f t="shared" si="126"/>
        <v>No Prog ni Ejec</v>
      </c>
      <c r="CJ71" s="853"/>
      <c r="CK71" s="546">
        <f t="shared" si="127"/>
        <v>0</v>
      </c>
      <c r="CL71" s="853"/>
      <c r="CM71" s="157">
        <f t="shared" ref="CM71:CM134" si="128">+AC71-AS71-BC71-BM71-BW71</f>
        <v>0</v>
      </c>
      <c r="CY71" s="75">
        <v>8</v>
      </c>
      <c r="DB71" s="75">
        <v>11</v>
      </c>
    </row>
    <row r="72" spans="1:106" s="75" customFormat="1" ht="103.5" customHeight="1" x14ac:dyDescent="0.2">
      <c r="A72" s="541">
        <v>11700</v>
      </c>
      <c r="B72" s="544" t="s">
        <v>14</v>
      </c>
      <c r="C72" s="559" t="s">
        <v>535</v>
      </c>
      <c r="D72" s="559"/>
      <c r="E72" s="559"/>
      <c r="F72" s="559" t="s">
        <v>1108</v>
      </c>
      <c r="G72" s="559"/>
      <c r="H72" s="559"/>
      <c r="I72" s="559" t="s">
        <v>1108</v>
      </c>
      <c r="J72" s="559"/>
      <c r="K72" s="559"/>
      <c r="L72" s="559" t="s">
        <v>1108</v>
      </c>
      <c r="M72" s="559"/>
      <c r="N72" s="559"/>
      <c r="O72" s="559"/>
      <c r="P72" s="559"/>
      <c r="Q72" s="540" t="s">
        <v>206</v>
      </c>
      <c r="R72" s="540" t="s">
        <v>206</v>
      </c>
      <c r="S72" s="541" t="s">
        <v>240</v>
      </c>
      <c r="T72" s="544" t="s">
        <v>94</v>
      </c>
      <c r="U72" s="544" t="s">
        <v>206</v>
      </c>
      <c r="V72" s="544" t="s">
        <v>206</v>
      </c>
      <c r="W72" s="541" t="s">
        <v>823</v>
      </c>
      <c r="X72" s="544" t="s">
        <v>531</v>
      </c>
      <c r="Y72" s="189" t="s">
        <v>411</v>
      </c>
      <c r="Z72" s="66">
        <v>1</v>
      </c>
      <c r="AA72" s="541" t="s">
        <v>820</v>
      </c>
      <c r="AB72" s="544" t="s">
        <v>799</v>
      </c>
      <c r="AC72" s="557">
        <v>20000000</v>
      </c>
      <c r="AD72" s="545">
        <v>1</v>
      </c>
      <c r="AE72" s="544" t="s">
        <v>16</v>
      </c>
      <c r="AF72" s="544" t="s">
        <v>21</v>
      </c>
      <c r="AG72" s="544" t="s">
        <v>206</v>
      </c>
      <c r="AH72" s="544" t="s">
        <v>678</v>
      </c>
      <c r="AI72" s="544" t="s">
        <v>77</v>
      </c>
      <c r="AJ72" s="544" t="s">
        <v>1408</v>
      </c>
      <c r="AK72" s="544" t="s">
        <v>532</v>
      </c>
      <c r="AL72" s="544" t="s">
        <v>43</v>
      </c>
      <c r="AM72" s="553">
        <v>1</v>
      </c>
      <c r="AN72" s="544" t="str">
        <f t="shared" si="95"/>
        <v>Elaborar el profesiograma de los servidores públicos de ADRES</v>
      </c>
      <c r="AO72" s="550">
        <f>+AC72</f>
        <v>20000000</v>
      </c>
      <c r="AP72" s="548" t="s">
        <v>46</v>
      </c>
      <c r="AQ72" s="78">
        <v>0</v>
      </c>
      <c r="AR72" s="544" t="str">
        <f t="shared" si="112"/>
        <v>Elaborar el profesiograma de los servidores públicos de ADRES</v>
      </c>
      <c r="AS72" s="558">
        <v>0</v>
      </c>
      <c r="AT72" s="573">
        <v>0</v>
      </c>
      <c r="AU72" s="608">
        <v>0</v>
      </c>
      <c r="AV72" s="543" t="e">
        <f t="shared" si="113"/>
        <v>#DIV/0!</v>
      </c>
      <c r="AW72" s="543" t="e">
        <f>+(AU72/AS72)</f>
        <v>#DIV/0!</v>
      </c>
      <c r="AX72" s="543">
        <f t="shared" si="114"/>
        <v>0</v>
      </c>
      <c r="AY72" s="543">
        <f>+(AU72/AO72)</f>
        <v>0</v>
      </c>
      <c r="AZ72" s="641" t="s">
        <v>1464</v>
      </c>
      <c r="BA72" s="78">
        <v>0</v>
      </c>
      <c r="BB72" s="544" t="str">
        <f t="shared" si="115"/>
        <v>Elaborar el profesiograma de los servidores públicos de ADRES</v>
      </c>
      <c r="BC72" s="542">
        <v>0</v>
      </c>
      <c r="BD72" s="73"/>
      <c r="BE72" s="73"/>
      <c r="BF72" s="543" t="e">
        <f t="shared" si="116"/>
        <v>#DIV/0!</v>
      </c>
      <c r="BG72" s="543" t="e">
        <f>+(BE72/BC72)</f>
        <v>#DIV/0!</v>
      </c>
      <c r="BH72" s="543">
        <f t="shared" si="117"/>
        <v>0</v>
      </c>
      <c r="BI72" s="543">
        <f>+(BE72+AU72)/AO72</f>
        <v>0</v>
      </c>
      <c r="BJ72" s="543"/>
      <c r="BK72" s="78">
        <v>0</v>
      </c>
      <c r="BL72" s="544" t="str">
        <f t="shared" si="118"/>
        <v>Elaborar el profesiograma de los servidores públicos de ADRES</v>
      </c>
      <c r="BM72" s="542">
        <v>0</v>
      </c>
      <c r="BN72" s="541"/>
      <c r="BO72" s="541"/>
      <c r="BP72" s="543" t="e">
        <f t="shared" si="119"/>
        <v>#DIV/0!</v>
      </c>
      <c r="BQ72" s="543" t="e">
        <f>+(BO72/BM72)</f>
        <v>#DIV/0!</v>
      </c>
      <c r="BR72" s="543">
        <f t="shared" si="120"/>
        <v>0</v>
      </c>
      <c r="BS72" s="543">
        <f>+(BE72+AU72+BO72)/AO72</f>
        <v>0</v>
      </c>
      <c r="BT72" s="543"/>
      <c r="BU72" s="66">
        <v>1</v>
      </c>
      <c r="BV72" s="544" t="str">
        <f t="shared" si="121"/>
        <v>Elaborar el profesiograma de los servidores públicos de ADRES</v>
      </c>
      <c r="BW72" s="542">
        <f>+AO72</f>
        <v>20000000</v>
      </c>
      <c r="BX72" s="541"/>
      <c r="BY72" s="541"/>
      <c r="BZ72" s="547">
        <f t="shared" si="122"/>
        <v>0</v>
      </c>
      <c r="CA72" s="547">
        <f>+(BY72/BW72)</f>
        <v>0</v>
      </c>
      <c r="CB72" s="547">
        <f t="shared" si="123"/>
        <v>0</v>
      </c>
      <c r="CC72" s="547">
        <f>+(BE72+AU72+BO72+BY72)/AO72</f>
        <v>0</v>
      </c>
      <c r="CD72" s="547"/>
      <c r="CE72" s="546" t="str">
        <f t="shared" si="124"/>
        <v>No Prog ni Ejec</v>
      </c>
      <c r="CF72" s="546" t="str">
        <f>IF(AND(AS72=0,AU72=0),"No Prog ni Ejec",IF(AS72=0,CONCATENATE("No Prog, Ejec=  ",AU72),AU72/AS72))</f>
        <v>No Prog ni Ejec</v>
      </c>
      <c r="CG72" s="546" t="str">
        <f t="shared" si="125"/>
        <v>No Prog ni Ejec</v>
      </c>
      <c r="CH72" s="546" t="str">
        <f>IF(AND(BC72=0,BE72=0),"No Prog ni Ejec",IF(BC72=0,CONCATENATE("No Prog, Ejec=  ",BE72),BE72/BC72))</f>
        <v>No Prog ni Ejec</v>
      </c>
      <c r="CI72" s="546" t="str">
        <f t="shared" si="126"/>
        <v>No Prog ni Ejec</v>
      </c>
      <c r="CJ72" s="546" t="str">
        <f>IF(AND(BM72=0,BO72=0),"No Prog ni Ejec",IF(BM72=0,CONCATENATE("No Prog, Ejec=  ",BO72),BO72/BM72))</f>
        <v>No Prog ni Ejec</v>
      </c>
      <c r="CK72" s="546">
        <f t="shared" si="127"/>
        <v>0</v>
      </c>
      <c r="CL72" s="546">
        <f>IF(AND(BW72=0,BY72=0),"No Prog ni Ejec",IF(BW72=0,CONCATENATE("No Prog, Ejec=  ",BY72),BY72/BW72))</f>
        <v>0</v>
      </c>
      <c r="CM72" s="157">
        <f t="shared" si="128"/>
        <v>0</v>
      </c>
      <c r="CY72" s="75">
        <v>8</v>
      </c>
      <c r="DB72" s="75">
        <v>11</v>
      </c>
    </row>
    <row r="73" spans="1:106" s="75" customFormat="1" ht="98.25" customHeight="1" x14ac:dyDescent="0.2">
      <c r="A73" s="541">
        <v>11700</v>
      </c>
      <c r="B73" s="544" t="s">
        <v>14</v>
      </c>
      <c r="C73" s="559" t="s">
        <v>535</v>
      </c>
      <c r="D73" s="559"/>
      <c r="E73" s="559"/>
      <c r="F73" s="559" t="s">
        <v>1108</v>
      </c>
      <c r="G73" s="559"/>
      <c r="H73" s="559"/>
      <c r="I73" s="559" t="s">
        <v>1108</v>
      </c>
      <c r="J73" s="559"/>
      <c r="K73" s="559"/>
      <c r="L73" s="559" t="s">
        <v>1108</v>
      </c>
      <c r="M73" s="559"/>
      <c r="N73" s="559"/>
      <c r="O73" s="559"/>
      <c r="P73" s="559"/>
      <c r="Q73" s="540" t="s">
        <v>206</v>
      </c>
      <c r="R73" s="540" t="s">
        <v>206</v>
      </c>
      <c r="S73" s="541" t="s">
        <v>240</v>
      </c>
      <c r="T73" s="544" t="s">
        <v>94</v>
      </c>
      <c r="U73" s="544" t="s">
        <v>206</v>
      </c>
      <c r="V73" s="544" t="s">
        <v>206</v>
      </c>
      <c r="W73" s="541" t="s">
        <v>824</v>
      </c>
      <c r="X73" s="544" t="s">
        <v>800</v>
      </c>
      <c r="Y73" s="60" t="s">
        <v>411</v>
      </c>
      <c r="Z73" s="66">
        <v>2</v>
      </c>
      <c r="AA73" s="541" t="s">
        <v>821</v>
      </c>
      <c r="AB73" s="559" t="s">
        <v>537</v>
      </c>
      <c r="AC73" s="557">
        <v>60000000</v>
      </c>
      <c r="AD73" s="545">
        <v>1</v>
      </c>
      <c r="AE73" s="544" t="s">
        <v>16</v>
      </c>
      <c r="AF73" s="544" t="s">
        <v>21</v>
      </c>
      <c r="AG73" s="544" t="s">
        <v>206</v>
      </c>
      <c r="AH73" s="544" t="s">
        <v>678</v>
      </c>
      <c r="AI73" s="544" t="s">
        <v>77</v>
      </c>
      <c r="AJ73" s="544" t="s">
        <v>1408</v>
      </c>
      <c r="AK73" s="544" t="s">
        <v>536</v>
      </c>
      <c r="AL73" s="544" t="s">
        <v>43</v>
      </c>
      <c r="AM73" s="78">
        <v>2</v>
      </c>
      <c r="AN73" s="544" t="str">
        <f>+AB73</f>
        <v>Realizar estudios ambientales y ergonómicos en salud ocupacional</v>
      </c>
      <c r="AO73" s="550">
        <f>+AC73</f>
        <v>60000000</v>
      </c>
      <c r="AP73" s="548" t="s">
        <v>46</v>
      </c>
      <c r="AQ73" s="78">
        <v>0</v>
      </c>
      <c r="AR73" s="544" t="str">
        <f t="shared" si="112"/>
        <v>Realizar estudios ambientales y ergonómicos en salud ocupacional</v>
      </c>
      <c r="AS73" s="558">
        <v>0</v>
      </c>
      <c r="AT73" s="573">
        <v>0</v>
      </c>
      <c r="AU73" s="608">
        <v>0</v>
      </c>
      <c r="AV73" s="543" t="e">
        <f t="shared" si="113"/>
        <v>#DIV/0!</v>
      </c>
      <c r="AW73" s="543" t="e">
        <f>+(AU73/AS73)</f>
        <v>#DIV/0!</v>
      </c>
      <c r="AX73" s="543">
        <f t="shared" si="114"/>
        <v>0</v>
      </c>
      <c r="AY73" s="543">
        <f>+(AU73/AO73)</f>
        <v>0</v>
      </c>
      <c r="AZ73" s="641" t="s">
        <v>1464</v>
      </c>
      <c r="BA73" s="78">
        <v>0</v>
      </c>
      <c r="BB73" s="544" t="str">
        <f t="shared" si="115"/>
        <v>Realizar estudios ambientales y ergonómicos en salud ocupacional</v>
      </c>
      <c r="BC73" s="542">
        <v>0</v>
      </c>
      <c r="BD73" s="73"/>
      <c r="BE73" s="73"/>
      <c r="BF73" s="543" t="e">
        <f t="shared" si="116"/>
        <v>#DIV/0!</v>
      </c>
      <c r="BG73" s="543" t="e">
        <f>+(BE73/BC73)</f>
        <v>#DIV/0!</v>
      </c>
      <c r="BH73" s="543">
        <f t="shared" si="117"/>
        <v>0</v>
      </c>
      <c r="BI73" s="543">
        <f>+(BE73+AU73)/AO73</f>
        <v>0</v>
      </c>
      <c r="BJ73" s="543"/>
      <c r="BK73" s="78">
        <v>2</v>
      </c>
      <c r="BL73" s="544" t="str">
        <f t="shared" si="118"/>
        <v>Realizar estudios ambientales y ergonómicos en salud ocupacional</v>
      </c>
      <c r="BM73" s="542">
        <f>+AO73</f>
        <v>60000000</v>
      </c>
      <c r="BN73" s="541"/>
      <c r="BO73" s="541"/>
      <c r="BP73" s="543">
        <f t="shared" si="119"/>
        <v>0</v>
      </c>
      <c r="BQ73" s="543">
        <f>+(BO73/BM73)</f>
        <v>0</v>
      </c>
      <c r="BR73" s="543">
        <f t="shared" si="120"/>
        <v>0</v>
      </c>
      <c r="BS73" s="543">
        <f>+(BE73+AU73+BO73)/AO73</f>
        <v>0</v>
      </c>
      <c r="BT73" s="543"/>
      <c r="BU73" s="66">
        <v>0</v>
      </c>
      <c r="BV73" s="544" t="str">
        <f t="shared" si="121"/>
        <v>Realizar estudios ambientales y ergonómicos en salud ocupacional</v>
      </c>
      <c r="BW73" s="542">
        <v>0</v>
      </c>
      <c r="BX73" s="541"/>
      <c r="BY73" s="541"/>
      <c r="BZ73" s="547" t="e">
        <f t="shared" si="122"/>
        <v>#DIV/0!</v>
      </c>
      <c r="CA73" s="547" t="e">
        <f>+(BY73/BW73)</f>
        <v>#DIV/0!</v>
      </c>
      <c r="CB73" s="547">
        <f t="shared" si="123"/>
        <v>0</v>
      </c>
      <c r="CC73" s="547">
        <f>+(BE73+AU73+BO73+BY73)/AO73</f>
        <v>0</v>
      </c>
      <c r="CD73" s="547"/>
      <c r="CE73" s="546" t="str">
        <f t="shared" si="124"/>
        <v>No Prog ni Ejec</v>
      </c>
      <c r="CF73" s="546" t="str">
        <f>IF(AND(AS73=0,AU73=0),"No Prog ni Ejec",IF(AS73=0,CONCATENATE("No Prog, Ejec=  ",AU73),AU73/AS73))</f>
        <v>No Prog ni Ejec</v>
      </c>
      <c r="CG73" s="546" t="str">
        <f t="shared" si="125"/>
        <v>No Prog ni Ejec</v>
      </c>
      <c r="CH73" s="546" t="str">
        <f>IF(AND(BC73=0,BE73=0),"No Prog ni Ejec",IF(BC73=0,CONCATENATE("No Prog, Ejec=  ",BE73),BE73/BC73))</f>
        <v>No Prog ni Ejec</v>
      </c>
      <c r="CI73" s="546">
        <f t="shared" si="126"/>
        <v>0</v>
      </c>
      <c r="CJ73" s="546">
        <f>IF(AND(BM73=0,BO73=0),"No Prog ni Ejec",IF(BM73=0,CONCATENATE("No Prog, Ejec=  ",BO73),BO73/BM73))</f>
        <v>0</v>
      </c>
      <c r="CK73" s="546" t="str">
        <f t="shared" si="127"/>
        <v>No Prog ni Ejec</v>
      </c>
      <c r="CL73" s="546" t="str">
        <f>IF(AND(BW73=0,BY73=0),"No Prog ni Ejec",IF(BW73=0,CONCATENATE("No Prog, Ejec=  ",BY73),BY73/BW73))</f>
        <v>No Prog ni Ejec</v>
      </c>
      <c r="CM73" s="157">
        <f t="shared" si="128"/>
        <v>0</v>
      </c>
      <c r="CY73" s="75">
        <v>8</v>
      </c>
      <c r="DB73" s="75">
        <v>11</v>
      </c>
    </row>
    <row r="74" spans="1:106" s="75" customFormat="1" ht="110.25" customHeight="1" x14ac:dyDescent="0.2">
      <c r="A74" s="541">
        <v>11700</v>
      </c>
      <c r="B74" s="544" t="s">
        <v>14</v>
      </c>
      <c r="C74" s="559" t="s">
        <v>535</v>
      </c>
      <c r="D74" s="559"/>
      <c r="E74" s="559"/>
      <c r="F74" s="559" t="s">
        <v>1108</v>
      </c>
      <c r="G74" s="559"/>
      <c r="H74" s="559"/>
      <c r="I74" s="559" t="s">
        <v>1108</v>
      </c>
      <c r="J74" s="559"/>
      <c r="K74" s="559"/>
      <c r="L74" s="559" t="s">
        <v>1108</v>
      </c>
      <c r="M74" s="559"/>
      <c r="N74" s="559"/>
      <c r="O74" s="559"/>
      <c r="P74" s="559"/>
      <c r="Q74" s="540" t="s">
        <v>206</v>
      </c>
      <c r="R74" s="540" t="s">
        <v>206</v>
      </c>
      <c r="S74" s="541" t="s">
        <v>240</v>
      </c>
      <c r="T74" s="544" t="s">
        <v>94</v>
      </c>
      <c r="U74" s="544" t="s">
        <v>206</v>
      </c>
      <c r="V74" s="544" t="s">
        <v>206</v>
      </c>
      <c r="W74" s="541" t="s">
        <v>825</v>
      </c>
      <c r="X74" s="544" t="s">
        <v>533</v>
      </c>
      <c r="Y74" s="554" t="s">
        <v>51</v>
      </c>
      <c r="Z74" s="547">
        <v>1</v>
      </c>
      <c r="AA74" s="541" t="s">
        <v>822</v>
      </c>
      <c r="AB74" s="559" t="s">
        <v>801</v>
      </c>
      <c r="AC74" s="557">
        <v>40000000</v>
      </c>
      <c r="AD74" s="545">
        <v>1</v>
      </c>
      <c r="AE74" s="544" t="s">
        <v>16</v>
      </c>
      <c r="AF74" s="544" t="s">
        <v>21</v>
      </c>
      <c r="AG74" s="544" t="s">
        <v>206</v>
      </c>
      <c r="AH74" s="544" t="s">
        <v>678</v>
      </c>
      <c r="AI74" s="544" t="s">
        <v>77</v>
      </c>
      <c r="AJ74" s="544" t="s">
        <v>1408</v>
      </c>
      <c r="AK74" s="544" t="s">
        <v>534</v>
      </c>
      <c r="AL74" s="544" t="s">
        <v>43</v>
      </c>
      <c r="AM74" s="561">
        <v>1</v>
      </c>
      <c r="AN74" s="544" t="str">
        <f>+AB74</f>
        <v>Poner a disposición de los funcionarios de la ADRES, elementos ergonómicos</v>
      </c>
      <c r="AO74" s="550">
        <f>+AC74</f>
        <v>40000000</v>
      </c>
      <c r="AP74" s="548" t="s">
        <v>46</v>
      </c>
      <c r="AQ74" s="140">
        <v>0</v>
      </c>
      <c r="AR74" s="544" t="str">
        <f t="shared" si="112"/>
        <v>Poner a disposición de los funcionarios de la ADRES, elementos ergonómicos</v>
      </c>
      <c r="AS74" s="558">
        <v>0</v>
      </c>
      <c r="AT74" s="574">
        <v>0</v>
      </c>
      <c r="AU74" s="608">
        <v>0</v>
      </c>
      <c r="AV74" s="543" t="e">
        <f t="shared" si="113"/>
        <v>#DIV/0!</v>
      </c>
      <c r="AW74" s="543" t="e">
        <f>+(AU74/AS74)</f>
        <v>#DIV/0!</v>
      </c>
      <c r="AX74" s="543">
        <f t="shared" si="114"/>
        <v>0</v>
      </c>
      <c r="AY74" s="543">
        <f>+(AU74/AO74)</f>
        <v>0</v>
      </c>
      <c r="AZ74" s="641" t="s">
        <v>1464</v>
      </c>
      <c r="BA74" s="140">
        <v>0</v>
      </c>
      <c r="BB74" s="544" t="str">
        <f t="shared" si="115"/>
        <v>Poner a disposición de los funcionarios de la ADRES, elementos ergonómicos</v>
      </c>
      <c r="BC74" s="542">
        <v>0</v>
      </c>
      <c r="BD74" s="73"/>
      <c r="BE74" s="73"/>
      <c r="BF74" s="543" t="e">
        <f t="shared" si="116"/>
        <v>#DIV/0!</v>
      </c>
      <c r="BG74" s="543" t="e">
        <f>+(BE74/BC74)</f>
        <v>#DIV/0!</v>
      </c>
      <c r="BH74" s="543">
        <f t="shared" si="117"/>
        <v>0</v>
      </c>
      <c r="BI74" s="543">
        <f>+(BE74+AU74)/AO74</f>
        <v>0</v>
      </c>
      <c r="BJ74" s="543"/>
      <c r="BK74" s="545">
        <v>0</v>
      </c>
      <c r="BL74" s="544" t="str">
        <f t="shared" si="118"/>
        <v>Poner a disposición de los funcionarios de la ADRES, elementos ergonómicos</v>
      </c>
      <c r="BM74" s="542">
        <v>0</v>
      </c>
      <c r="BN74" s="541"/>
      <c r="BO74" s="541"/>
      <c r="BP74" s="543" t="e">
        <f t="shared" si="119"/>
        <v>#DIV/0!</v>
      </c>
      <c r="BQ74" s="543" t="e">
        <f>+(BO74/BM74)</f>
        <v>#DIV/0!</v>
      </c>
      <c r="BR74" s="543">
        <f t="shared" si="120"/>
        <v>0</v>
      </c>
      <c r="BS74" s="543">
        <f>+(BE74+AU74+BO74)/AO74</f>
        <v>0</v>
      </c>
      <c r="BT74" s="545"/>
      <c r="BU74" s="545">
        <v>1</v>
      </c>
      <c r="BV74" s="544" t="str">
        <f t="shared" si="121"/>
        <v>Poner a disposición de los funcionarios de la ADRES, elementos ergonómicos</v>
      </c>
      <c r="BW74" s="542">
        <f>+AO74</f>
        <v>40000000</v>
      </c>
      <c r="BX74" s="541"/>
      <c r="BY74" s="541"/>
      <c r="BZ74" s="547">
        <f t="shared" si="122"/>
        <v>0</v>
      </c>
      <c r="CA74" s="547">
        <f>+(BY74/BW74)</f>
        <v>0</v>
      </c>
      <c r="CB74" s="547">
        <f t="shared" si="123"/>
        <v>0</v>
      </c>
      <c r="CC74" s="547">
        <f>+(BE74+AU74+BO74+BY74)/AO74</f>
        <v>0</v>
      </c>
      <c r="CD74" s="547"/>
      <c r="CE74" s="546" t="str">
        <f t="shared" si="124"/>
        <v>No Prog ni Ejec</v>
      </c>
      <c r="CF74" s="546" t="str">
        <f>IF(AND(AS74=0,AU74=0),"No Prog ni Ejec",IF(AS74=0,CONCATENATE("No Prog, Ejec=  ",AU74),AU74/AS74))</f>
        <v>No Prog ni Ejec</v>
      </c>
      <c r="CG74" s="546" t="str">
        <f t="shared" si="125"/>
        <v>No Prog ni Ejec</v>
      </c>
      <c r="CH74" s="546" t="str">
        <f>IF(AND(BC74=0,BE74=0),"No Prog ni Ejec",IF(BC74=0,CONCATENATE("No Prog, Ejec=  ",BE74),BE74/BC74))</f>
        <v>No Prog ni Ejec</v>
      </c>
      <c r="CI74" s="546" t="str">
        <f t="shared" si="126"/>
        <v>No Prog ni Ejec</v>
      </c>
      <c r="CJ74" s="546" t="str">
        <f>IF(AND(BM74=0,BO74=0),"No Prog ni Ejec",IF(BM74=0,CONCATENATE("No Prog, Ejec=  ",BO74),BO74/BM74))</f>
        <v>No Prog ni Ejec</v>
      </c>
      <c r="CK74" s="546">
        <f t="shared" si="127"/>
        <v>0</v>
      </c>
      <c r="CL74" s="546">
        <f>IF(AND(BW74=0,BY74=0),"No Prog ni Ejec",IF(BW74=0,CONCATENATE("No Prog, Ejec=  ",BY74),BY74/BW74))</f>
        <v>0</v>
      </c>
      <c r="CM74" s="157">
        <f t="shared" si="128"/>
        <v>0</v>
      </c>
      <c r="CY74" s="75">
        <v>8</v>
      </c>
      <c r="DB74" s="75">
        <v>11</v>
      </c>
    </row>
    <row r="75" spans="1:106" s="75" customFormat="1" ht="105.75" customHeight="1" x14ac:dyDescent="0.2">
      <c r="A75" s="541">
        <v>11700</v>
      </c>
      <c r="B75" s="544" t="s">
        <v>14</v>
      </c>
      <c r="C75" s="559" t="s">
        <v>530</v>
      </c>
      <c r="D75" s="559"/>
      <c r="E75" s="559"/>
      <c r="F75" s="559" t="s">
        <v>1108</v>
      </c>
      <c r="G75" s="559" t="s">
        <v>1108</v>
      </c>
      <c r="H75" s="559"/>
      <c r="I75" s="559"/>
      <c r="J75" s="559"/>
      <c r="K75" s="559"/>
      <c r="L75" s="559" t="s">
        <v>1108</v>
      </c>
      <c r="M75" s="559"/>
      <c r="N75" s="559"/>
      <c r="O75" s="559"/>
      <c r="P75" s="559"/>
      <c r="Q75" s="540" t="s">
        <v>206</v>
      </c>
      <c r="R75" s="540" t="s">
        <v>206</v>
      </c>
      <c r="S75" s="541" t="s">
        <v>240</v>
      </c>
      <c r="T75" s="544" t="s">
        <v>94</v>
      </c>
      <c r="U75" s="544" t="s">
        <v>206</v>
      </c>
      <c r="V75" s="544" t="s">
        <v>206</v>
      </c>
      <c r="W75" s="541" t="s">
        <v>858</v>
      </c>
      <c r="X75" s="544" t="s">
        <v>802</v>
      </c>
      <c r="Y75" s="60" t="s">
        <v>411</v>
      </c>
      <c r="Z75" s="553">
        <v>1</v>
      </c>
      <c r="AA75" s="541" t="s">
        <v>840</v>
      </c>
      <c r="AB75" s="544" t="s">
        <v>826</v>
      </c>
      <c r="AC75" s="550">
        <v>46745300</v>
      </c>
      <c r="AD75" s="545">
        <v>1</v>
      </c>
      <c r="AE75" s="544" t="s">
        <v>16</v>
      </c>
      <c r="AF75" s="544" t="s">
        <v>21</v>
      </c>
      <c r="AG75" s="544" t="s">
        <v>206</v>
      </c>
      <c r="AH75" s="544" t="s">
        <v>678</v>
      </c>
      <c r="AI75" s="544" t="s">
        <v>77</v>
      </c>
      <c r="AJ75" s="544" t="s">
        <v>1409</v>
      </c>
      <c r="AK75" s="544" t="s">
        <v>837</v>
      </c>
      <c r="AL75" s="544" t="s">
        <v>43</v>
      </c>
      <c r="AM75" s="553">
        <v>1</v>
      </c>
      <c r="AN75" s="544" t="str">
        <f t="shared" ref="AN75:AN84" si="129">+AB75</f>
        <v>Actualizar a los funcionarios en la normatividad vigente, referente a las reglas de cada subsistema y sus interrelaciones en el sistema de seguridad social, para dar cumplimiento a la misión de la entidad</v>
      </c>
      <c r="AO75" s="550">
        <f>+AC75</f>
        <v>46745300</v>
      </c>
      <c r="AP75" s="548" t="s">
        <v>46</v>
      </c>
      <c r="AQ75" s="553">
        <v>0</v>
      </c>
      <c r="AR75" s="544" t="str">
        <f t="shared" si="112"/>
        <v>Actualizar a los funcionarios en la normatividad vigente, referente a las reglas de cada subsistema y sus interrelaciones en el sistema de seguridad social, para dar cumplimiento a la misión de la entidad</v>
      </c>
      <c r="AS75" s="557">
        <v>0</v>
      </c>
      <c r="AT75" s="573">
        <v>0</v>
      </c>
      <c r="AU75" s="608">
        <v>0</v>
      </c>
      <c r="AV75" s="543" t="e">
        <f t="shared" si="113"/>
        <v>#DIV/0!</v>
      </c>
      <c r="AW75" s="543" t="e">
        <f>+(AU75/AS75)</f>
        <v>#DIV/0!</v>
      </c>
      <c r="AX75" s="543">
        <f t="shared" si="114"/>
        <v>0</v>
      </c>
      <c r="AY75" s="543">
        <f>+(AU75/AO75)</f>
        <v>0</v>
      </c>
      <c r="AZ75" s="641" t="s">
        <v>1464</v>
      </c>
      <c r="BA75" s="188">
        <v>1</v>
      </c>
      <c r="BB75" s="544" t="str">
        <f t="shared" si="115"/>
        <v>Actualizar a los funcionarios en la normatividad vigente, referente a las reglas de cada subsistema y sus interrelaciones en el sistema de seguridad social, para dar cumplimiento a la misión de la entidad</v>
      </c>
      <c r="BC75" s="542">
        <f>+AO75</f>
        <v>46745300</v>
      </c>
      <c r="BD75" s="70"/>
      <c r="BE75" s="70"/>
      <c r="BF75" s="543">
        <f t="shared" si="116"/>
        <v>0</v>
      </c>
      <c r="BG75" s="543">
        <f>+(BE75/BC75)</f>
        <v>0</v>
      </c>
      <c r="BH75" s="543">
        <f t="shared" si="117"/>
        <v>0</v>
      </c>
      <c r="BI75" s="543">
        <f>+(BE75+AU75)/AO75</f>
        <v>0</v>
      </c>
      <c r="BJ75" s="543"/>
      <c r="BK75" s="188">
        <v>0</v>
      </c>
      <c r="BL75" s="544" t="str">
        <f t="shared" si="118"/>
        <v>Actualizar a los funcionarios en la normatividad vigente, referente a las reglas de cada subsistema y sus interrelaciones en el sistema de seguridad social, para dar cumplimiento a la misión de la entidad</v>
      </c>
      <c r="BM75" s="542">
        <v>0</v>
      </c>
      <c r="BN75" s="541"/>
      <c r="BO75" s="541"/>
      <c r="BP75" s="543" t="e">
        <f t="shared" si="119"/>
        <v>#DIV/0!</v>
      </c>
      <c r="BQ75" s="543" t="e">
        <f>+(BO75/BM75)</f>
        <v>#DIV/0!</v>
      </c>
      <c r="BR75" s="543">
        <f t="shared" si="120"/>
        <v>0</v>
      </c>
      <c r="BS75" s="543">
        <f>+(BE75+AU75+BO75)/AO75</f>
        <v>0</v>
      </c>
      <c r="BT75" s="543"/>
      <c r="BU75" s="188">
        <v>0</v>
      </c>
      <c r="BV75" s="544" t="str">
        <f t="shared" si="121"/>
        <v>Actualizar a los funcionarios en la normatividad vigente, referente a las reglas de cada subsistema y sus interrelaciones en el sistema de seguridad social, para dar cumplimiento a la misión de la entidad</v>
      </c>
      <c r="BW75" s="542">
        <v>0</v>
      </c>
      <c r="BX75" s="541"/>
      <c r="BY75" s="541"/>
      <c r="BZ75" s="547" t="e">
        <f t="shared" si="122"/>
        <v>#DIV/0!</v>
      </c>
      <c r="CA75" s="547" t="e">
        <f>+(BY75/BW75)</f>
        <v>#DIV/0!</v>
      </c>
      <c r="CB75" s="547">
        <f t="shared" si="123"/>
        <v>0</v>
      </c>
      <c r="CC75" s="547">
        <f>+(BE75+AU75+BO75+BY75)/AO75</f>
        <v>0</v>
      </c>
      <c r="CD75" s="547"/>
      <c r="CE75" s="546" t="str">
        <f t="shared" si="124"/>
        <v>No Prog ni Ejec</v>
      </c>
      <c r="CF75" s="546" t="str">
        <f>IF(AND(AS75=0,AU75=0),"No Prog ni Ejec",IF(AS75=0,CONCATENATE("No Prog, Ejec=  ",AU75),AU75/AS75))</f>
        <v>No Prog ni Ejec</v>
      </c>
      <c r="CG75" s="546">
        <f t="shared" si="125"/>
        <v>0</v>
      </c>
      <c r="CH75" s="546">
        <f>IF(AND(BC75=0,BE75=0),"No Prog ni Ejec",IF(BC75=0,CONCATENATE("No Prog, Ejec=  ",BE75),BE75/BC75))</f>
        <v>0</v>
      </c>
      <c r="CI75" s="546" t="str">
        <f t="shared" si="126"/>
        <v>No Prog ni Ejec</v>
      </c>
      <c r="CJ75" s="546" t="str">
        <f>IF(AND(BM75=0,BO75=0),"No Prog ni Ejec",IF(BM75=0,CONCATENATE("No Prog, Ejec=  ",BO75),BO75/BM75))</f>
        <v>No Prog ni Ejec</v>
      </c>
      <c r="CK75" s="546" t="str">
        <f t="shared" si="127"/>
        <v>No Prog ni Ejec</v>
      </c>
      <c r="CL75" s="546" t="str">
        <f>IF(AND(BW75=0,BY75=0),"No Prog ni Ejec",IF(BW75=0,CONCATENATE("No Prog, Ejec=  ",BY75),BY75/BW75))</f>
        <v>No Prog ni Ejec</v>
      </c>
      <c r="CM75" s="157">
        <f t="shared" si="128"/>
        <v>0</v>
      </c>
      <c r="CU75" s="75">
        <v>4</v>
      </c>
    </row>
    <row r="76" spans="1:106" s="75" customFormat="1" ht="112.5" customHeight="1" x14ac:dyDescent="0.2">
      <c r="A76" s="541">
        <v>11700</v>
      </c>
      <c r="B76" s="544" t="s">
        <v>14</v>
      </c>
      <c r="C76" s="559" t="s">
        <v>530</v>
      </c>
      <c r="D76" s="559"/>
      <c r="E76" s="559"/>
      <c r="F76" s="559" t="s">
        <v>1108</v>
      </c>
      <c r="G76" s="559" t="s">
        <v>1108</v>
      </c>
      <c r="H76" s="559"/>
      <c r="I76" s="559"/>
      <c r="J76" s="559"/>
      <c r="K76" s="559"/>
      <c r="L76" s="559" t="s">
        <v>1108</v>
      </c>
      <c r="M76" s="559"/>
      <c r="N76" s="559"/>
      <c r="O76" s="559"/>
      <c r="P76" s="559"/>
      <c r="Q76" s="540" t="s">
        <v>206</v>
      </c>
      <c r="R76" s="540" t="s">
        <v>206</v>
      </c>
      <c r="S76" s="541" t="s">
        <v>240</v>
      </c>
      <c r="T76" s="544" t="s">
        <v>94</v>
      </c>
      <c r="U76" s="544" t="s">
        <v>206</v>
      </c>
      <c r="V76" s="544" t="s">
        <v>206</v>
      </c>
      <c r="W76" s="541" t="s">
        <v>859</v>
      </c>
      <c r="X76" s="544" t="s">
        <v>803</v>
      </c>
      <c r="Y76" s="60" t="s">
        <v>411</v>
      </c>
      <c r="Z76" s="553">
        <v>1</v>
      </c>
      <c r="AA76" s="541" t="s">
        <v>841</v>
      </c>
      <c r="AB76" s="544" t="s">
        <v>827</v>
      </c>
      <c r="AC76" s="550">
        <v>46745300</v>
      </c>
      <c r="AD76" s="545"/>
      <c r="AE76" s="544" t="s">
        <v>16</v>
      </c>
      <c r="AF76" s="544" t="s">
        <v>21</v>
      </c>
      <c r="AG76" s="544" t="s">
        <v>206</v>
      </c>
      <c r="AH76" s="544" t="s">
        <v>678</v>
      </c>
      <c r="AI76" s="544" t="s">
        <v>77</v>
      </c>
      <c r="AJ76" s="544" t="s">
        <v>1409</v>
      </c>
      <c r="AK76" s="544" t="s">
        <v>837</v>
      </c>
      <c r="AL76" s="544" t="s">
        <v>43</v>
      </c>
      <c r="AM76" s="553">
        <v>1</v>
      </c>
      <c r="AN76" s="544" t="str">
        <f t="shared" si="129"/>
        <v>Fortalecer los conocimientos de los funcionarios referente a los beneficios  económicos y legales al ser servidores públicos.</v>
      </c>
      <c r="AO76" s="550">
        <f>+AC76</f>
        <v>46745300</v>
      </c>
      <c r="AP76" s="548" t="s">
        <v>46</v>
      </c>
      <c r="AQ76" s="553">
        <v>0</v>
      </c>
      <c r="AR76" s="544" t="str">
        <f t="shared" ref="AR76:AR91" si="130">+AN76</f>
        <v>Fortalecer los conocimientos de los funcionarios referente a los beneficios  económicos y legales al ser servidores públicos.</v>
      </c>
      <c r="AS76" s="557">
        <v>0</v>
      </c>
      <c r="AT76" s="573">
        <v>0</v>
      </c>
      <c r="AU76" s="608">
        <v>0</v>
      </c>
      <c r="AV76" s="543" t="e">
        <f t="shared" ref="AV76:AV92" si="131">+(AT76/AQ76)</f>
        <v>#DIV/0!</v>
      </c>
      <c r="AW76" s="543" t="e">
        <f t="shared" ref="AW76:AW92" si="132">+(AU76/AS76)</f>
        <v>#DIV/0!</v>
      </c>
      <c r="AX76" s="543">
        <f t="shared" ref="AX76:AX92" si="133">+(AT76/AM76)</f>
        <v>0</v>
      </c>
      <c r="AY76" s="543">
        <f t="shared" ref="AY76:AY92" si="134">+(AU76/AO76)</f>
        <v>0</v>
      </c>
      <c r="AZ76" s="641" t="s">
        <v>1464</v>
      </c>
      <c r="BA76" s="188">
        <v>0</v>
      </c>
      <c r="BB76" s="544" t="str">
        <f t="shared" ref="BB76:BB91" si="135">+AN76</f>
        <v>Fortalecer los conocimientos de los funcionarios referente a los beneficios  económicos y legales al ser servidores públicos.</v>
      </c>
      <c r="BC76" s="542">
        <v>0</v>
      </c>
      <c r="BD76" s="70"/>
      <c r="BE76" s="70"/>
      <c r="BF76" s="543" t="e">
        <f t="shared" ref="BF76:BF92" si="136">+(BD76/BA76)</f>
        <v>#DIV/0!</v>
      </c>
      <c r="BG76" s="543" t="e">
        <f t="shared" ref="BG76:BG92" si="137">+(BE76/BC76)</f>
        <v>#DIV/0!</v>
      </c>
      <c r="BH76" s="543">
        <f t="shared" ref="BH76:BH92" si="138">+(BD76+AT76)/AM76</f>
        <v>0</v>
      </c>
      <c r="BI76" s="543">
        <f t="shared" ref="BI76:BI92" si="139">+(BE76+AU76)/AO76</f>
        <v>0</v>
      </c>
      <c r="BJ76" s="543"/>
      <c r="BK76" s="188">
        <v>1</v>
      </c>
      <c r="BL76" s="544" t="str">
        <f t="shared" ref="BL76:BL91" si="140">+AN76</f>
        <v>Fortalecer los conocimientos de los funcionarios referente a los beneficios  económicos y legales al ser servidores públicos.</v>
      </c>
      <c r="BM76" s="542">
        <f>+AO76</f>
        <v>46745300</v>
      </c>
      <c r="BN76" s="541"/>
      <c r="BO76" s="541"/>
      <c r="BP76" s="543">
        <f t="shared" ref="BP76:BP92" si="141">+(BN76/BK76)</f>
        <v>0</v>
      </c>
      <c r="BQ76" s="543">
        <f t="shared" ref="BQ76:BQ92" si="142">+(BO76/BM76)</f>
        <v>0</v>
      </c>
      <c r="BR76" s="543">
        <f t="shared" ref="BR76:BR92" si="143">+(BD76+AT76+BN76)/AM76</f>
        <v>0</v>
      </c>
      <c r="BS76" s="543">
        <f t="shared" ref="BS76:BS92" si="144">+(BE76+AU76+BO76)/AO76</f>
        <v>0</v>
      </c>
      <c r="BT76" s="543"/>
      <c r="BU76" s="188">
        <v>0</v>
      </c>
      <c r="BV76" s="544" t="str">
        <f t="shared" ref="BV76:BV91" si="145">+AN76</f>
        <v>Fortalecer los conocimientos de los funcionarios referente a los beneficios  económicos y legales al ser servidores públicos.</v>
      </c>
      <c r="BW76" s="542">
        <v>0</v>
      </c>
      <c r="BX76" s="541"/>
      <c r="BY76" s="541"/>
      <c r="BZ76" s="547" t="e">
        <f t="shared" ref="BZ76:BZ92" si="146">+(BX76/BU76)</f>
        <v>#DIV/0!</v>
      </c>
      <c r="CA76" s="547" t="e">
        <f t="shared" ref="CA76:CA92" si="147">+(BY76/BW76)</f>
        <v>#DIV/0!</v>
      </c>
      <c r="CB76" s="547">
        <f t="shared" ref="CB76:CB92" si="148">+(BD76+AT76+BN76+BX76)/AM76</f>
        <v>0</v>
      </c>
      <c r="CC76" s="547">
        <f t="shared" ref="CC76:CC92" si="149">+(BE76+AU76+BO76+BY76)/AO76</f>
        <v>0</v>
      </c>
      <c r="CD76" s="547"/>
      <c r="CE76" s="546" t="str">
        <f t="shared" ref="CE76:CE115" si="150">IF(AND(AQ76=0,AT76=0),"No Prog ni Ejec",IF(AQ76=0,CONCATENATE("No Prog, Ejec=  ",AT76),AT76/AQ76))</f>
        <v>No Prog ni Ejec</v>
      </c>
      <c r="CF76" s="546" t="str">
        <f t="shared" ref="CF76:CF115" si="151">IF(AND(AS76=0,AU76=0),"No Prog ni Ejec",IF(AS76=0,CONCATENATE("No Prog, Ejec=  ",AU76),AU76/AS76))</f>
        <v>No Prog ni Ejec</v>
      </c>
      <c r="CG76" s="546" t="str">
        <f t="shared" ref="CG76:CG115" si="152">IF(AND(BA76=0,BD76=0),"No Prog ni Ejec",IF(BA76=0,CONCATENATE("No Prog, Ejec=  ",BD76),BD76/BA76))</f>
        <v>No Prog ni Ejec</v>
      </c>
      <c r="CH76" s="546" t="str">
        <f t="shared" ref="CH76:CH115" si="153">IF(AND(BC76=0,BE76=0),"No Prog ni Ejec",IF(BC76=0,CONCATENATE("No Prog, Ejec=  ",BE76),BE76/BC76))</f>
        <v>No Prog ni Ejec</v>
      </c>
      <c r="CI76" s="546">
        <f t="shared" ref="CI76:CI115" si="154">IF(AND(BK76=0,BN76=0),"No Prog ni Ejec",IF(BK76=0,CONCATENATE("No Prog, Ejec=  ",BN76),BN76/BK76))</f>
        <v>0</v>
      </c>
      <c r="CJ76" s="546">
        <f t="shared" ref="CJ76:CJ115" si="155">IF(AND(BM76=0,BO76=0),"No Prog ni Ejec",IF(BM76=0,CONCATENATE("No Prog, Ejec=  ",BO76),BO76/BM76))</f>
        <v>0</v>
      </c>
      <c r="CK76" s="546" t="str">
        <f t="shared" ref="CK76:CK115" si="156">IF(AND(BU76=0,BX76=0),"No Prog ni Ejec",IF(BU76=0,CONCATENATE("No Prog, Ejec=  ",BX76),BX76/BU76))</f>
        <v>No Prog ni Ejec</v>
      </c>
      <c r="CL76" s="546" t="str">
        <f t="shared" ref="CL76:CL115" si="157">IF(AND(BW76=0,BY76=0),"No Prog ni Ejec",IF(BW76=0,CONCATENATE("No Prog, Ejec=  ",BY76),BY76/BW76))</f>
        <v>No Prog ni Ejec</v>
      </c>
      <c r="CM76" s="157">
        <f t="shared" si="128"/>
        <v>0</v>
      </c>
      <c r="CU76" s="75">
        <v>4</v>
      </c>
    </row>
    <row r="77" spans="1:106" s="75" customFormat="1" ht="89.25" customHeight="1" x14ac:dyDescent="0.2">
      <c r="A77" s="541">
        <v>11700</v>
      </c>
      <c r="B77" s="544" t="s">
        <v>14</v>
      </c>
      <c r="C77" s="559" t="s">
        <v>530</v>
      </c>
      <c r="D77" s="559"/>
      <c r="E77" s="559"/>
      <c r="F77" s="559" t="s">
        <v>1108</v>
      </c>
      <c r="G77" s="559" t="s">
        <v>1108</v>
      </c>
      <c r="H77" s="559"/>
      <c r="I77" s="559"/>
      <c r="J77" s="559"/>
      <c r="K77" s="559"/>
      <c r="L77" s="559" t="s">
        <v>1108</v>
      </c>
      <c r="M77" s="559"/>
      <c r="N77" s="559"/>
      <c r="O77" s="559"/>
      <c r="P77" s="559"/>
      <c r="Q77" s="540" t="s">
        <v>206</v>
      </c>
      <c r="R77" s="540" t="s">
        <v>206</v>
      </c>
      <c r="S77" s="541" t="s">
        <v>240</v>
      </c>
      <c r="T77" s="544" t="s">
        <v>94</v>
      </c>
      <c r="U77" s="544" t="s">
        <v>206</v>
      </c>
      <c r="V77" s="544" t="s">
        <v>206</v>
      </c>
      <c r="W77" s="541" t="s">
        <v>860</v>
      </c>
      <c r="X77" s="544" t="s">
        <v>804</v>
      </c>
      <c r="Y77" s="60" t="s">
        <v>411</v>
      </c>
      <c r="Z77" s="553">
        <v>1</v>
      </c>
      <c r="AA77" s="541" t="s">
        <v>842</v>
      </c>
      <c r="AB77" s="544" t="s">
        <v>828</v>
      </c>
      <c r="AC77" s="550">
        <v>46745300</v>
      </c>
      <c r="AD77" s="545"/>
      <c r="AE77" s="544" t="s">
        <v>16</v>
      </c>
      <c r="AF77" s="544" t="s">
        <v>21</v>
      </c>
      <c r="AG77" s="544" t="s">
        <v>206</v>
      </c>
      <c r="AH77" s="544" t="s">
        <v>678</v>
      </c>
      <c r="AI77" s="544" t="s">
        <v>77</v>
      </c>
      <c r="AJ77" s="544" t="s">
        <v>1409</v>
      </c>
      <c r="AK77" s="544" t="s">
        <v>837</v>
      </c>
      <c r="AL77" s="544" t="s">
        <v>43</v>
      </c>
      <c r="AM77" s="553">
        <v>1</v>
      </c>
      <c r="AN77" s="544" t="str">
        <f t="shared" si="129"/>
        <v>Facilitar el proceso de consolidación de la información y los procesos de las áreas de la entidad que manejan volúmenes grandes de información</v>
      </c>
      <c r="AO77" s="550">
        <f t="shared" ref="AO77:AO92" si="158">+AC77</f>
        <v>46745300</v>
      </c>
      <c r="AP77" s="548" t="s">
        <v>46</v>
      </c>
      <c r="AQ77" s="553">
        <v>0</v>
      </c>
      <c r="AR77" s="544" t="str">
        <f t="shared" si="130"/>
        <v>Facilitar el proceso de consolidación de la información y los procesos de las áreas de la entidad que manejan volúmenes grandes de información</v>
      </c>
      <c r="AS77" s="557">
        <v>0</v>
      </c>
      <c r="AT77" s="573">
        <v>0</v>
      </c>
      <c r="AU77" s="608">
        <v>0</v>
      </c>
      <c r="AV77" s="543" t="e">
        <f t="shared" si="131"/>
        <v>#DIV/0!</v>
      </c>
      <c r="AW77" s="543" t="e">
        <f t="shared" si="132"/>
        <v>#DIV/0!</v>
      </c>
      <c r="AX77" s="543">
        <f t="shared" si="133"/>
        <v>0</v>
      </c>
      <c r="AY77" s="543">
        <f t="shared" si="134"/>
        <v>0</v>
      </c>
      <c r="AZ77" s="641" t="s">
        <v>1464</v>
      </c>
      <c r="BA77" s="188">
        <v>1</v>
      </c>
      <c r="BB77" s="544" t="str">
        <f t="shared" si="135"/>
        <v>Facilitar el proceso de consolidación de la información y los procesos de las áreas de la entidad que manejan volúmenes grandes de información</v>
      </c>
      <c r="BC77" s="542">
        <f>+AO77</f>
        <v>46745300</v>
      </c>
      <c r="BD77" s="70"/>
      <c r="BE77" s="70"/>
      <c r="BF77" s="543">
        <f t="shared" si="136"/>
        <v>0</v>
      </c>
      <c r="BG77" s="543">
        <f t="shared" si="137"/>
        <v>0</v>
      </c>
      <c r="BH77" s="543">
        <f t="shared" si="138"/>
        <v>0</v>
      </c>
      <c r="BI77" s="543">
        <f t="shared" si="139"/>
        <v>0</v>
      </c>
      <c r="BJ77" s="543"/>
      <c r="BK77" s="188">
        <v>0</v>
      </c>
      <c r="BL77" s="544" t="str">
        <f t="shared" si="140"/>
        <v>Facilitar el proceso de consolidación de la información y los procesos de las áreas de la entidad que manejan volúmenes grandes de información</v>
      </c>
      <c r="BM77" s="542">
        <v>0</v>
      </c>
      <c r="BN77" s="541"/>
      <c r="BO77" s="541"/>
      <c r="BP77" s="543" t="e">
        <f t="shared" si="141"/>
        <v>#DIV/0!</v>
      </c>
      <c r="BQ77" s="543" t="e">
        <f t="shared" si="142"/>
        <v>#DIV/0!</v>
      </c>
      <c r="BR77" s="543">
        <f t="shared" si="143"/>
        <v>0</v>
      </c>
      <c r="BS77" s="543">
        <f t="shared" si="144"/>
        <v>0</v>
      </c>
      <c r="BT77" s="543"/>
      <c r="BU77" s="188">
        <v>0</v>
      </c>
      <c r="BV77" s="544" t="str">
        <f t="shared" si="145"/>
        <v>Facilitar el proceso de consolidación de la información y los procesos de las áreas de la entidad que manejan volúmenes grandes de información</v>
      </c>
      <c r="BW77" s="542">
        <v>0</v>
      </c>
      <c r="BX77" s="541"/>
      <c r="BY77" s="541"/>
      <c r="BZ77" s="547" t="e">
        <f t="shared" si="146"/>
        <v>#DIV/0!</v>
      </c>
      <c r="CA77" s="547" t="e">
        <f t="shared" si="147"/>
        <v>#DIV/0!</v>
      </c>
      <c r="CB77" s="547">
        <f t="shared" si="148"/>
        <v>0</v>
      </c>
      <c r="CC77" s="547">
        <f t="shared" si="149"/>
        <v>0</v>
      </c>
      <c r="CD77" s="547"/>
      <c r="CE77" s="546" t="str">
        <f t="shared" si="150"/>
        <v>No Prog ni Ejec</v>
      </c>
      <c r="CF77" s="546" t="str">
        <f t="shared" si="151"/>
        <v>No Prog ni Ejec</v>
      </c>
      <c r="CG77" s="546">
        <f t="shared" si="152"/>
        <v>0</v>
      </c>
      <c r="CH77" s="546">
        <f t="shared" si="153"/>
        <v>0</v>
      </c>
      <c r="CI77" s="546" t="str">
        <f t="shared" si="154"/>
        <v>No Prog ni Ejec</v>
      </c>
      <c r="CJ77" s="546" t="str">
        <f t="shared" si="155"/>
        <v>No Prog ni Ejec</v>
      </c>
      <c r="CK77" s="546" t="str">
        <f t="shared" si="156"/>
        <v>No Prog ni Ejec</v>
      </c>
      <c r="CL77" s="546" t="str">
        <f t="shared" si="157"/>
        <v>No Prog ni Ejec</v>
      </c>
      <c r="CM77" s="157">
        <f t="shared" si="128"/>
        <v>0</v>
      </c>
      <c r="CU77" s="75">
        <v>4</v>
      </c>
    </row>
    <row r="78" spans="1:106" s="75" customFormat="1" ht="101.25" customHeight="1" x14ac:dyDescent="0.2">
      <c r="A78" s="541">
        <v>11700</v>
      </c>
      <c r="B78" s="544" t="s">
        <v>14</v>
      </c>
      <c r="C78" s="559" t="s">
        <v>530</v>
      </c>
      <c r="D78" s="559"/>
      <c r="E78" s="559"/>
      <c r="F78" s="559" t="s">
        <v>1108</v>
      </c>
      <c r="G78" s="559" t="s">
        <v>1108</v>
      </c>
      <c r="H78" s="559"/>
      <c r="I78" s="559"/>
      <c r="J78" s="559"/>
      <c r="K78" s="559"/>
      <c r="L78" s="559" t="s">
        <v>1108</v>
      </c>
      <c r="M78" s="559"/>
      <c r="N78" s="559"/>
      <c r="O78" s="559"/>
      <c r="P78" s="559"/>
      <c r="Q78" s="540" t="s">
        <v>206</v>
      </c>
      <c r="R78" s="540" t="s">
        <v>206</v>
      </c>
      <c r="S78" s="541" t="s">
        <v>240</v>
      </c>
      <c r="T78" s="544" t="s">
        <v>94</v>
      </c>
      <c r="U78" s="544" t="s">
        <v>206</v>
      </c>
      <c r="V78" s="544" t="s">
        <v>206</v>
      </c>
      <c r="W78" s="541" t="s">
        <v>861</v>
      </c>
      <c r="X78" s="544" t="s">
        <v>805</v>
      </c>
      <c r="Y78" s="60" t="s">
        <v>411</v>
      </c>
      <c r="Z78" s="553">
        <v>1</v>
      </c>
      <c r="AA78" s="541" t="s">
        <v>843</v>
      </c>
      <c r="AB78" s="544" t="s">
        <v>829</v>
      </c>
      <c r="AC78" s="550">
        <v>46745300</v>
      </c>
      <c r="AD78" s="545"/>
      <c r="AE78" s="544" t="s">
        <v>16</v>
      </c>
      <c r="AF78" s="544" t="s">
        <v>21</v>
      </c>
      <c r="AG78" s="544" t="s">
        <v>206</v>
      </c>
      <c r="AH78" s="544" t="s">
        <v>678</v>
      </c>
      <c r="AI78" s="544" t="s">
        <v>77</v>
      </c>
      <c r="AJ78" s="544" t="s">
        <v>1409</v>
      </c>
      <c r="AK78" s="544" t="s">
        <v>837</v>
      </c>
      <c r="AL78" s="544" t="s">
        <v>43</v>
      </c>
      <c r="AM78" s="553">
        <v>1</v>
      </c>
      <c r="AN78" s="544" t="str">
        <f t="shared" si="129"/>
        <v>Adquirir conocimientos  de acuerdo a la norma vigente que permitan establecer bases para la fundamentación de criterios y análisis en el desarrollo financiero de acuerdo a la naturaleza jurídica de la entidad</v>
      </c>
      <c r="AO78" s="550">
        <f t="shared" si="158"/>
        <v>46745300</v>
      </c>
      <c r="AP78" s="548" t="s">
        <v>46</v>
      </c>
      <c r="AQ78" s="553">
        <v>0</v>
      </c>
      <c r="AR78" s="544" t="str">
        <f t="shared" si="130"/>
        <v>Adquirir conocimientos  de acuerdo a la norma vigente que permitan establecer bases para la fundamentación de criterios y análisis en el desarrollo financiero de acuerdo a la naturaleza jurídica de la entidad</v>
      </c>
      <c r="AS78" s="557">
        <v>0</v>
      </c>
      <c r="AT78" s="573">
        <v>0</v>
      </c>
      <c r="AU78" s="608">
        <v>0</v>
      </c>
      <c r="AV78" s="543" t="e">
        <f t="shared" si="131"/>
        <v>#DIV/0!</v>
      </c>
      <c r="AW78" s="543" t="e">
        <f t="shared" si="132"/>
        <v>#DIV/0!</v>
      </c>
      <c r="AX78" s="543">
        <f t="shared" si="133"/>
        <v>0</v>
      </c>
      <c r="AY78" s="543">
        <f t="shared" si="134"/>
        <v>0</v>
      </c>
      <c r="AZ78" s="641" t="s">
        <v>1464</v>
      </c>
      <c r="BA78" s="188">
        <v>0</v>
      </c>
      <c r="BB78" s="544" t="str">
        <f t="shared" si="135"/>
        <v>Adquirir conocimientos  de acuerdo a la norma vigente que permitan establecer bases para la fundamentación de criterios y análisis en el desarrollo financiero de acuerdo a la naturaleza jurídica de la entidad</v>
      </c>
      <c r="BC78" s="542">
        <v>0</v>
      </c>
      <c r="BD78" s="70"/>
      <c r="BE78" s="70"/>
      <c r="BF78" s="543" t="e">
        <f t="shared" si="136"/>
        <v>#DIV/0!</v>
      </c>
      <c r="BG78" s="543" t="e">
        <f t="shared" si="137"/>
        <v>#DIV/0!</v>
      </c>
      <c r="BH78" s="543">
        <f t="shared" si="138"/>
        <v>0</v>
      </c>
      <c r="BI78" s="543">
        <f t="shared" si="139"/>
        <v>0</v>
      </c>
      <c r="BJ78" s="543"/>
      <c r="BK78" s="188">
        <v>1</v>
      </c>
      <c r="BL78" s="544" t="str">
        <f t="shared" si="140"/>
        <v>Adquirir conocimientos  de acuerdo a la norma vigente que permitan establecer bases para la fundamentación de criterios y análisis en el desarrollo financiero de acuerdo a la naturaleza jurídica de la entidad</v>
      </c>
      <c r="BM78" s="542">
        <f>+AO78</f>
        <v>46745300</v>
      </c>
      <c r="BN78" s="541"/>
      <c r="BO78" s="541"/>
      <c r="BP78" s="543">
        <f t="shared" si="141"/>
        <v>0</v>
      </c>
      <c r="BQ78" s="543">
        <f t="shared" si="142"/>
        <v>0</v>
      </c>
      <c r="BR78" s="543">
        <f t="shared" si="143"/>
        <v>0</v>
      </c>
      <c r="BS78" s="543">
        <f t="shared" si="144"/>
        <v>0</v>
      </c>
      <c r="BT78" s="543"/>
      <c r="BU78" s="188">
        <v>0</v>
      </c>
      <c r="BV78" s="544" t="str">
        <f t="shared" si="145"/>
        <v>Adquirir conocimientos  de acuerdo a la norma vigente que permitan establecer bases para la fundamentación de criterios y análisis en el desarrollo financiero de acuerdo a la naturaleza jurídica de la entidad</v>
      </c>
      <c r="BW78" s="542">
        <v>0</v>
      </c>
      <c r="BX78" s="541"/>
      <c r="BY78" s="541"/>
      <c r="BZ78" s="547" t="e">
        <f t="shared" si="146"/>
        <v>#DIV/0!</v>
      </c>
      <c r="CA78" s="547" t="e">
        <f t="shared" si="147"/>
        <v>#DIV/0!</v>
      </c>
      <c r="CB78" s="547">
        <f t="shared" si="148"/>
        <v>0</v>
      </c>
      <c r="CC78" s="547">
        <f t="shared" si="149"/>
        <v>0</v>
      </c>
      <c r="CD78" s="547"/>
      <c r="CE78" s="546" t="str">
        <f t="shared" si="150"/>
        <v>No Prog ni Ejec</v>
      </c>
      <c r="CF78" s="546" t="str">
        <f t="shared" si="151"/>
        <v>No Prog ni Ejec</v>
      </c>
      <c r="CG78" s="546" t="str">
        <f t="shared" si="152"/>
        <v>No Prog ni Ejec</v>
      </c>
      <c r="CH78" s="546" t="str">
        <f t="shared" si="153"/>
        <v>No Prog ni Ejec</v>
      </c>
      <c r="CI78" s="546">
        <f t="shared" si="154"/>
        <v>0</v>
      </c>
      <c r="CJ78" s="546">
        <f t="shared" si="155"/>
        <v>0</v>
      </c>
      <c r="CK78" s="546" t="str">
        <f t="shared" si="156"/>
        <v>No Prog ni Ejec</v>
      </c>
      <c r="CL78" s="546" t="str">
        <f t="shared" si="157"/>
        <v>No Prog ni Ejec</v>
      </c>
      <c r="CM78" s="157">
        <f t="shared" si="128"/>
        <v>0</v>
      </c>
      <c r="CU78" s="75">
        <v>4</v>
      </c>
    </row>
    <row r="79" spans="1:106" s="75" customFormat="1" ht="108.75" customHeight="1" x14ac:dyDescent="0.2">
      <c r="A79" s="541">
        <v>11700</v>
      </c>
      <c r="B79" s="544" t="s">
        <v>14</v>
      </c>
      <c r="C79" s="559" t="s">
        <v>530</v>
      </c>
      <c r="D79" s="559"/>
      <c r="E79" s="559"/>
      <c r="F79" s="559" t="s">
        <v>1108</v>
      </c>
      <c r="G79" s="559" t="s">
        <v>1108</v>
      </c>
      <c r="H79" s="559"/>
      <c r="I79" s="559"/>
      <c r="J79" s="559"/>
      <c r="K79" s="559"/>
      <c r="L79" s="559" t="s">
        <v>1108</v>
      </c>
      <c r="M79" s="559"/>
      <c r="N79" s="559"/>
      <c r="O79" s="559"/>
      <c r="P79" s="559"/>
      <c r="Q79" s="540" t="s">
        <v>206</v>
      </c>
      <c r="R79" s="540" t="s">
        <v>206</v>
      </c>
      <c r="S79" s="541" t="s">
        <v>240</v>
      </c>
      <c r="T79" s="544" t="s">
        <v>94</v>
      </c>
      <c r="U79" s="544" t="s">
        <v>206</v>
      </c>
      <c r="V79" s="544" t="s">
        <v>206</v>
      </c>
      <c r="W79" s="541" t="s">
        <v>862</v>
      </c>
      <c r="X79" s="544" t="s">
        <v>806</v>
      </c>
      <c r="Y79" s="60" t="s">
        <v>411</v>
      </c>
      <c r="Z79" s="553">
        <v>1</v>
      </c>
      <c r="AA79" s="541" t="s">
        <v>844</v>
      </c>
      <c r="AB79" s="544" t="s">
        <v>830</v>
      </c>
      <c r="AC79" s="550">
        <v>46745300</v>
      </c>
      <c r="AD79" s="545"/>
      <c r="AE79" s="544" t="s">
        <v>16</v>
      </c>
      <c r="AF79" s="544" t="s">
        <v>21</v>
      </c>
      <c r="AG79" s="544" t="s">
        <v>206</v>
      </c>
      <c r="AH79" s="544" t="s">
        <v>678</v>
      </c>
      <c r="AI79" s="544" t="s">
        <v>77</v>
      </c>
      <c r="AJ79" s="544" t="s">
        <v>1409</v>
      </c>
      <c r="AK79" s="544" t="s">
        <v>837</v>
      </c>
      <c r="AL79" s="544" t="s">
        <v>43</v>
      </c>
      <c r="AM79" s="553">
        <v>1</v>
      </c>
      <c r="AN79" s="544" t="str">
        <f t="shared" si="129"/>
        <v>Mejorar la presentación de la información en las áreas de la entidad que manejan volúmenes altos de datos, y se logre una adecuada recolección, información e interpretación de los datos</v>
      </c>
      <c r="AO79" s="550">
        <f t="shared" si="158"/>
        <v>46745300</v>
      </c>
      <c r="AP79" s="548" t="s">
        <v>46</v>
      </c>
      <c r="AQ79" s="553">
        <v>0</v>
      </c>
      <c r="AR79" s="544" t="str">
        <f t="shared" si="130"/>
        <v>Mejorar la presentación de la información en las áreas de la entidad que manejan volúmenes altos de datos, y se logre una adecuada recolección, información e interpretación de los datos</v>
      </c>
      <c r="AS79" s="557">
        <v>0</v>
      </c>
      <c r="AT79" s="573">
        <v>0</v>
      </c>
      <c r="AU79" s="608">
        <v>0</v>
      </c>
      <c r="AV79" s="543" t="e">
        <f t="shared" si="131"/>
        <v>#DIV/0!</v>
      </c>
      <c r="AW79" s="543" t="e">
        <f t="shared" si="132"/>
        <v>#DIV/0!</v>
      </c>
      <c r="AX79" s="543">
        <f t="shared" si="133"/>
        <v>0</v>
      </c>
      <c r="AY79" s="543">
        <f t="shared" si="134"/>
        <v>0</v>
      </c>
      <c r="AZ79" s="641" t="s">
        <v>1464</v>
      </c>
      <c r="BA79" s="188">
        <v>0</v>
      </c>
      <c r="BB79" s="544" t="str">
        <f t="shared" si="135"/>
        <v>Mejorar la presentación de la información en las áreas de la entidad que manejan volúmenes altos de datos, y se logre una adecuada recolección, información e interpretación de los datos</v>
      </c>
      <c r="BC79" s="542">
        <v>0</v>
      </c>
      <c r="BD79" s="70"/>
      <c r="BE79" s="70"/>
      <c r="BF79" s="543" t="e">
        <f t="shared" si="136"/>
        <v>#DIV/0!</v>
      </c>
      <c r="BG79" s="543" t="e">
        <f t="shared" si="137"/>
        <v>#DIV/0!</v>
      </c>
      <c r="BH79" s="543">
        <f t="shared" si="138"/>
        <v>0</v>
      </c>
      <c r="BI79" s="543">
        <f t="shared" si="139"/>
        <v>0</v>
      </c>
      <c r="BJ79" s="543"/>
      <c r="BK79" s="188">
        <v>0</v>
      </c>
      <c r="BL79" s="544" t="str">
        <f t="shared" si="140"/>
        <v>Mejorar la presentación de la información en las áreas de la entidad que manejan volúmenes altos de datos, y se logre una adecuada recolección, información e interpretación de los datos</v>
      </c>
      <c r="BM79" s="542">
        <v>0</v>
      </c>
      <c r="BN79" s="541"/>
      <c r="BO79" s="541"/>
      <c r="BP79" s="543" t="e">
        <f t="shared" si="141"/>
        <v>#DIV/0!</v>
      </c>
      <c r="BQ79" s="543" t="e">
        <f t="shared" si="142"/>
        <v>#DIV/0!</v>
      </c>
      <c r="BR79" s="543">
        <f t="shared" si="143"/>
        <v>0</v>
      </c>
      <c r="BS79" s="543">
        <f t="shared" si="144"/>
        <v>0</v>
      </c>
      <c r="BT79" s="543"/>
      <c r="BU79" s="188">
        <v>1</v>
      </c>
      <c r="BV79" s="544" t="str">
        <f t="shared" si="145"/>
        <v>Mejorar la presentación de la información en las áreas de la entidad que manejan volúmenes altos de datos, y se logre una adecuada recolección, información e interpretación de los datos</v>
      </c>
      <c r="BW79" s="542">
        <f>+AO79</f>
        <v>46745300</v>
      </c>
      <c r="BX79" s="541"/>
      <c r="BY79" s="541"/>
      <c r="BZ79" s="547">
        <f t="shared" si="146"/>
        <v>0</v>
      </c>
      <c r="CA79" s="547">
        <f t="shared" si="147"/>
        <v>0</v>
      </c>
      <c r="CB79" s="547">
        <f t="shared" si="148"/>
        <v>0</v>
      </c>
      <c r="CC79" s="547">
        <f t="shared" si="149"/>
        <v>0</v>
      </c>
      <c r="CD79" s="547"/>
      <c r="CE79" s="546" t="str">
        <f t="shared" si="150"/>
        <v>No Prog ni Ejec</v>
      </c>
      <c r="CF79" s="546" t="str">
        <f t="shared" si="151"/>
        <v>No Prog ni Ejec</v>
      </c>
      <c r="CG79" s="546" t="str">
        <f t="shared" si="152"/>
        <v>No Prog ni Ejec</v>
      </c>
      <c r="CH79" s="546" t="str">
        <f t="shared" si="153"/>
        <v>No Prog ni Ejec</v>
      </c>
      <c r="CI79" s="546" t="str">
        <f t="shared" si="154"/>
        <v>No Prog ni Ejec</v>
      </c>
      <c r="CJ79" s="546" t="str">
        <f t="shared" si="155"/>
        <v>No Prog ni Ejec</v>
      </c>
      <c r="CK79" s="546">
        <f t="shared" si="156"/>
        <v>0</v>
      </c>
      <c r="CL79" s="546">
        <f t="shared" si="157"/>
        <v>0</v>
      </c>
      <c r="CM79" s="157">
        <f t="shared" si="128"/>
        <v>0</v>
      </c>
      <c r="CU79" s="75">
        <v>4</v>
      </c>
    </row>
    <row r="80" spans="1:106" s="75" customFormat="1" ht="106.5" customHeight="1" x14ac:dyDescent="0.2">
      <c r="A80" s="541">
        <v>11700</v>
      </c>
      <c r="B80" s="544" t="s">
        <v>14</v>
      </c>
      <c r="C80" s="559" t="s">
        <v>530</v>
      </c>
      <c r="D80" s="559"/>
      <c r="E80" s="559"/>
      <c r="F80" s="559" t="s">
        <v>1108</v>
      </c>
      <c r="G80" s="559" t="s">
        <v>1108</v>
      </c>
      <c r="H80" s="559"/>
      <c r="I80" s="559"/>
      <c r="J80" s="559"/>
      <c r="K80" s="559"/>
      <c r="L80" s="559" t="s">
        <v>1108</v>
      </c>
      <c r="M80" s="559"/>
      <c r="N80" s="559"/>
      <c r="O80" s="559"/>
      <c r="P80" s="559"/>
      <c r="Q80" s="540" t="s">
        <v>206</v>
      </c>
      <c r="R80" s="540" t="s">
        <v>206</v>
      </c>
      <c r="S80" s="541" t="s">
        <v>240</v>
      </c>
      <c r="T80" s="544" t="s">
        <v>94</v>
      </c>
      <c r="U80" s="544" t="s">
        <v>206</v>
      </c>
      <c r="V80" s="544" t="s">
        <v>206</v>
      </c>
      <c r="W80" s="541" t="s">
        <v>863</v>
      </c>
      <c r="X80" s="544" t="s">
        <v>807</v>
      </c>
      <c r="Y80" s="60" t="s">
        <v>411</v>
      </c>
      <c r="Z80" s="553">
        <v>1</v>
      </c>
      <c r="AA80" s="541" t="s">
        <v>845</v>
      </c>
      <c r="AB80" s="544" t="s">
        <v>831</v>
      </c>
      <c r="AC80" s="550">
        <v>46745300</v>
      </c>
      <c r="AD80" s="545"/>
      <c r="AE80" s="544" t="s">
        <v>16</v>
      </c>
      <c r="AF80" s="544" t="s">
        <v>21</v>
      </c>
      <c r="AG80" s="544" t="s">
        <v>206</v>
      </c>
      <c r="AH80" s="544" t="s">
        <v>678</v>
      </c>
      <c r="AI80" s="544" t="s">
        <v>77</v>
      </c>
      <c r="AJ80" s="544" t="s">
        <v>1409</v>
      </c>
      <c r="AK80" s="544" t="s">
        <v>837</v>
      </c>
      <c r="AL80" s="544" t="s">
        <v>43</v>
      </c>
      <c r="AM80" s="553">
        <v>1</v>
      </c>
      <c r="AN80" s="544" t="str">
        <f t="shared" si="129"/>
        <v>Lograr que los funcionarios identifiquen los lineamientos esenciales, para construir una oferta favorable, que conlleve a los resultados esperados  en cada contratación y les facilite el desarrollo de  cada proceso de la entidad</v>
      </c>
      <c r="AO80" s="550">
        <f t="shared" si="158"/>
        <v>46745300</v>
      </c>
      <c r="AP80" s="548" t="s">
        <v>46</v>
      </c>
      <c r="AQ80" s="553">
        <v>0</v>
      </c>
      <c r="AR80" s="544" t="str">
        <f t="shared" si="130"/>
        <v>Lograr que los funcionarios identifiquen los lineamientos esenciales, para construir una oferta favorable, que conlleve a los resultados esperados  en cada contratación y les facilite el desarrollo de  cada proceso de la entidad</v>
      </c>
      <c r="AS80" s="557">
        <v>0</v>
      </c>
      <c r="AT80" s="573">
        <v>0</v>
      </c>
      <c r="AU80" s="608">
        <v>0</v>
      </c>
      <c r="AV80" s="543" t="e">
        <f t="shared" si="131"/>
        <v>#DIV/0!</v>
      </c>
      <c r="AW80" s="543" t="e">
        <f t="shared" si="132"/>
        <v>#DIV/0!</v>
      </c>
      <c r="AX80" s="543">
        <f t="shared" si="133"/>
        <v>0</v>
      </c>
      <c r="AY80" s="543">
        <f t="shared" si="134"/>
        <v>0</v>
      </c>
      <c r="AZ80" s="641" t="s">
        <v>1464</v>
      </c>
      <c r="BA80" s="188">
        <v>0</v>
      </c>
      <c r="BB80" s="544" t="str">
        <f t="shared" si="135"/>
        <v>Lograr que los funcionarios identifiquen los lineamientos esenciales, para construir una oferta favorable, que conlleve a los resultados esperados  en cada contratación y les facilite el desarrollo de  cada proceso de la entidad</v>
      </c>
      <c r="BC80" s="542">
        <v>0</v>
      </c>
      <c r="BD80" s="70"/>
      <c r="BE80" s="70"/>
      <c r="BF80" s="543" t="e">
        <f t="shared" si="136"/>
        <v>#DIV/0!</v>
      </c>
      <c r="BG80" s="543" t="e">
        <f t="shared" si="137"/>
        <v>#DIV/0!</v>
      </c>
      <c r="BH80" s="543">
        <f t="shared" si="138"/>
        <v>0</v>
      </c>
      <c r="BI80" s="543">
        <f t="shared" si="139"/>
        <v>0</v>
      </c>
      <c r="BJ80" s="543"/>
      <c r="BK80" s="188">
        <v>1</v>
      </c>
      <c r="BL80" s="544" t="str">
        <f t="shared" si="140"/>
        <v>Lograr que los funcionarios identifiquen los lineamientos esenciales, para construir una oferta favorable, que conlleve a los resultados esperados  en cada contratación y les facilite el desarrollo de  cada proceso de la entidad</v>
      </c>
      <c r="BM80" s="542">
        <f>+AO80</f>
        <v>46745300</v>
      </c>
      <c r="BN80" s="541"/>
      <c r="BO80" s="541"/>
      <c r="BP80" s="543">
        <f t="shared" si="141"/>
        <v>0</v>
      </c>
      <c r="BQ80" s="543">
        <f t="shared" si="142"/>
        <v>0</v>
      </c>
      <c r="BR80" s="543">
        <f t="shared" si="143"/>
        <v>0</v>
      </c>
      <c r="BS80" s="543">
        <f t="shared" si="144"/>
        <v>0</v>
      </c>
      <c r="BT80" s="543"/>
      <c r="BU80" s="188">
        <v>0</v>
      </c>
      <c r="BV80" s="544" t="str">
        <f t="shared" si="145"/>
        <v>Lograr que los funcionarios identifiquen los lineamientos esenciales, para construir una oferta favorable, que conlleve a los resultados esperados  en cada contratación y les facilite el desarrollo de  cada proceso de la entidad</v>
      </c>
      <c r="BW80" s="542">
        <v>0</v>
      </c>
      <c r="BX80" s="541"/>
      <c r="BY80" s="541"/>
      <c r="BZ80" s="547" t="e">
        <f t="shared" si="146"/>
        <v>#DIV/0!</v>
      </c>
      <c r="CA80" s="547" t="e">
        <f t="shared" si="147"/>
        <v>#DIV/0!</v>
      </c>
      <c r="CB80" s="547">
        <f t="shared" si="148"/>
        <v>0</v>
      </c>
      <c r="CC80" s="547">
        <f t="shared" si="149"/>
        <v>0</v>
      </c>
      <c r="CD80" s="547"/>
      <c r="CE80" s="546" t="str">
        <f t="shared" si="150"/>
        <v>No Prog ni Ejec</v>
      </c>
      <c r="CF80" s="546" t="str">
        <f t="shared" si="151"/>
        <v>No Prog ni Ejec</v>
      </c>
      <c r="CG80" s="546" t="str">
        <f t="shared" si="152"/>
        <v>No Prog ni Ejec</v>
      </c>
      <c r="CH80" s="546" t="str">
        <f t="shared" si="153"/>
        <v>No Prog ni Ejec</v>
      </c>
      <c r="CI80" s="546">
        <f t="shared" si="154"/>
        <v>0</v>
      </c>
      <c r="CJ80" s="546">
        <f t="shared" si="155"/>
        <v>0</v>
      </c>
      <c r="CK80" s="546" t="str">
        <f t="shared" si="156"/>
        <v>No Prog ni Ejec</v>
      </c>
      <c r="CL80" s="546" t="str">
        <f t="shared" si="157"/>
        <v>No Prog ni Ejec</v>
      </c>
      <c r="CM80" s="157">
        <f t="shared" si="128"/>
        <v>0</v>
      </c>
      <c r="CU80" s="75">
        <v>4</v>
      </c>
    </row>
    <row r="81" spans="1:106" s="75" customFormat="1" ht="89.25" customHeight="1" x14ac:dyDescent="0.2">
      <c r="A81" s="541">
        <v>11700</v>
      </c>
      <c r="B81" s="544" t="s">
        <v>14</v>
      </c>
      <c r="C81" s="559" t="s">
        <v>530</v>
      </c>
      <c r="D81" s="559"/>
      <c r="E81" s="559"/>
      <c r="F81" s="559" t="s">
        <v>1108</v>
      </c>
      <c r="G81" s="559" t="s">
        <v>1108</v>
      </c>
      <c r="H81" s="559"/>
      <c r="I81" s="559"/>
      <c r="J81" s="559"/>
      <c r="K81" s="559"/>
      <c r="L81" s="559" t="s">
        <v>1108</v>
      </c>
      <c r="M81" s="559"/>
      <c r="N81" s="559"/>
      <c r="O81" s="559"/>
      <c r="P81" s="559"/>
      <c r="Q81" s="540" t="s">
        <v>206</v>
      </c>
      <c r="R81" s="540" t="s">
        <v>206</v>
      </c>
      <c r="S81" s="541" t="s">
        <v>240</v>
      </c>
      <c r="T81" s="544" t="s">
        <v>94</v>
      </c>
      <c r="U81" s="544" t="s">
        <v>206</v>
      </c>
      <c r="V81" s="544" t="s">
        <v>206</v>
      </c>
      <c r="W81" s="541" t="s">
        <v>864</v>
      </c>
      <c r="X81" s="544" t="s">
        <v>808</v>
      </c>
      <c r="Y81" s="60" t="s">
        <v>411</v>
      </c>
      <c r="Z81" s="553">
        <v>1</v>
      </c>
      <c r="AA81" s="541" t="s">
        <v>846</v>
      </c>
      <c r="AB81" s="544" t="s">
        <v>832</v>
      </c>
      <c r="AC81" s="550">
        <v>46745300</v>
      </c>
      <c r="AD81" s="545"/>
      <c r="AE81" s="544" t="s">
        <v>16</v>
      </c>
      <c r="AF81" s="544" t="s">
        <v>21</v>
      </c>
      <c r="AG81" s="544" t="s">
        <v>206</v>
      </c>
      <c r="AH81" s="544" t="s">
        <v>678</v>
      </c>
      <c r="AI81" s="544" t="s">
        <v>77</v>
      </c>
      <c r="AJ81" s="544" t="s">
        <v>1409</v>
      </c>
      <c r="AK81" s="544" t="s">
        <v>837</v>
      </c>
      <c r="AL81" s="544" t="s">
        <v>43</v>
      </c>
      <c r="AM81" s="553">
        <v>1</v>
      </c>
      <c r="AN81" s="544" t="str">
        <f t="shared" si="129"/>
        <v>Dar cumplimiento al Decreto 1072 de 2015, relacionado con el programa de seguridad y salud en el trabajo.</v>
      </c>
      <c r="AO81" s="550">
        <f t="shared" si="158"/>
        <v>46745300</v>
      </c>
      <c r="AP81" s="548" t="s">
        <v>46</v>
      </c>
      <c r="AQ81" s="553">
        <v>0</v>
      </c>
      <c r="AR81" s="544" t="str">
        <f t="shared" si="130"/>
        <v>Dar cumplimiento al Decreto 1072 de 2015, relacionado con el programa de seguridad y salud en el trabajo.</v>
      </c>
      <c r="AS81" s="557">
        <v>0</v>
      </c>
      <c r="AT81" s="573">
        <v>0</v>
      </c>
      <c r="AU81" s="608">
        <v>0</v>
      </c>
      <c r="AV81" s="543" t="e">
        <f t="shared" si="131"/>
        <v>#DIV/0!</v>
      </c>
      <c r="AW81" s="543" t="e">
        <f t="shared" si="132"/>
        <v>#DIV/0!</v>
      </c>
      <c r="AX81" s="543">
        <f t="shared" si="133"/>
        <v>0</v>
      </c>
      <c r="AY81" s="543">
        <f t="shared" si="134"/>
        <v>0</v>
      </c>
      <c r="AZ81" s="641" t="s">
        <v>1464</v>
      </c>
      <c r="BA81" s="188">
        <v>0</v>
      </c>
      <c r="BB81" s="544" t="str">
        <f t="shared" si="135"/>
        <v>Dar cumplimiento al Decreto 1072 de 2015, relacionado con el programa de seguridad y salud en el trabajo.</v>
      </c>
      <c r="BC81" s="542">
        <v>0</v>
      </c>
      <c r="BD81" s="70"/>
      <c r="BE81" s="70"/>
      <c r="BF81" s="543" t="e">
        <f t="shared" si="136"/>
        <v>#DIV/0!</v>
      </c>
      <c r="BG81" s="543" t="e">
        <f t="shared" si="137"/>
        <v>#DIV/0!</v>
      </c>
      <c r="BH81" s="543">
        <f t="shared" si="138"/>
        <v>0</v>
      </c>
      <c r="BI81" s="543">
        <f t="shared" si="139"/>
        <v>0</v>
      </c>
      <c r="BJ81" s="543"/>
      <c r="BK81" s="188">
        <v>0</v>
      </c>
      <c r="BL81" s="544" t="str">
        <f t="shared" si="140"/>
        <v>Dar cumplimiento al Decreto 1072 de 2015, relacionado con el programa de seguridad y salud en el trabajo.</v>
      </c>
      <c r="BM81" s="542">
        <v>0</v>
      </c>
      <c r="BN81" s="541"/>
      <c r="BO81" s="541"/>
      <c r="BP81" s="543" t="e">
        <f t="shared" si="141"/>
        <v>#DIV/0!</v>
      </c>
      <c r="BQ81" s="543" t="e">
        <f t="shared" si="142"/>
        <v>#DIV/0!</v>
      </c>
      <c r="BR81" s="543">
        <f t="shared" si="143"/>
        <v>0</v>
      </c>
      <c r="BS81" s="543">
        <f t="shared" si="144"/>
        <v>0</v>
      </c>
      <c r="BT81" s="543"/>
      <c r="BU81" s="188">
        <v>1</v>
      </c>
      <c r="BV81" s="544" t="str">
        <f t="shared" si="145"/>
        <v>Dar cumplimiento al Decreto 1072 de 2015, relacionado con el programa de seguridad y salud en el trabajo.</v>
      </c>
      <c r="BW81" s="542">
        <f>+AO81</f>
        <v>46745300</v>
      </c>
      <c r="BX81" s="541"/>
      <c r="BY81" s="541"/>
      <c r="BZ81" s="547">
        <f t="shared" si="146"/>
        <v>0</v>
      </c>
      <c r="CA81" s="547">
        <f t="shared" si="147"/>
        <v>0</v>
      </c>
      <c r="CB81" s="547">
        <f t="shared" si="148"/>
        <v>0</v>
      </c>
      <c r="CC81" s="547">
        <f t="shared" si="149"/>
        <v>0</v>
      </c>
      <c r="CD81" s="547"/>
      <c r="CE81" s="546" t="str">
        <f t="shared" si="150"/>
        <v>No Prog ni Ejec</v>
      </c>
      <c r="CF81" s="546" t="str">
        <f t="shared" si="151"/>
        <v>No Prog ni Ejec</v>
      </c>
      <c r="CG81" s="546" t="str">
        <f t="shared" si="152"/>
        <v>No Prog ni Ejec</v>
      </c>
      <c r="CH81" s="546" t="str">
        <f t="shared" si="153"/>
        <v>No Prog ni Ejec</v>
      </c>
      <c r="CI81" s="546" t="str">
        <f t="shared" si="154"/>
        <v>No Prog ni Ejec</v>
      </c>
      <c r="CJ81" s="546" t="str">
        <f t="shared" si="155"/>
        <v>No Prog ni Ejec</v>
      </c>
      <c r="CK81" s="546">
        <f t="shared" si="156"/>
        <v>0</v>
      </c>
      <c r="CL81" s="546">
        <f t="shared" si="157"/>
        <v>0</v>
      </c>
      <c r="CM81" s="157">
        <f t="shared" si="128"/>
        <v>0</v>
      </c>
      <c r="CU81" s="75">
        <v>4</v>
      </c>
    </row>
    <row r="82" spans="1:106" s="75" customFormat="1" ht="99.75" customHeight="1" x14ac:dyDescent="0.2">
      <c r="A82" s="541">
        <v>11700</v>
      </c>
      <c r="B82" s="544" t="s">
        <v>14</v>
      </c>
      <c r="C82" s="559" t="s">
        <v>530</v>
      </c>
      <c r="D82" s="559"/>
      <c r="E82" s="559"/>
      <c r="F82" s="559" t="s">
        <v>1108</v>
      </c>
      <c r="G82" s="559" t="s">
        <v>1108</v>
      </c>
      <c r="H82" s="559"/>
      <c r="I82" s="559"/>
      <c r="J82" s="559"/>
      <c r="K82" s="559"/>
      <c r="L82" s="559" t="s">
        <v>1108</v>
      </c>
      <c r="M82" s="559"/>
      <c r="N82" s="559"/>
      <c r="O82" s="559"/>
      <c r="P82" s="559"/>
      <c r="Q82" s="540" t="s">
        <v>206</v>
      </c>
      <c r="R82" s="540" t="s">
        <v>206</v>
      </c>
      <c r="S82" s="541" t="s">
        <v>240</v>
      </c>
      <c r="T82" s="544" t="s">
        <v>94</v>
      </c>
      <c r="U82" s="544" t="s">
        <v>206</v>
      </c>
      <c r="V82" s="544" t="s">
        <v>206</v>
      </c>
      <c r="W82" s="541" t="s">
        <v>865</v>
      </c>
      <c r="X82" s="544" t="s">
        <v>809</v>
      </c>
      <c r="Y82" s="60" t="s">
        <v>411</v>
      </c>
      <c r="Z82" s="553">
        <v>1</v>
      </c>
      <c r="AA82" s="541" t="s">
        <v>847</v>
      </c>
      <c r="AB82" s="544" t="s">
        <v>833</v>
      </c>
      <c r="AC82" s="550">
        <v>46745300</v>
      </c>
      <c r="AD82" s="545"/>
      <c r="AE82" s="544" t="s">
        <v>16</v>
      </c>
      <c r="AF82" s="544" t="s">
        <v>283</v>
      </c>
      <c r="AG82" s="544" t="s">
        <v>206</v>
      </c>
      <c r="AH82" s="544" t="s">
        <v>678</v>
      </c>
      <c r="AI82" s="544" t="s">
        <v>77</v>
      </c>
      <c r="AJ82" s="544" t="s">
        <v>1409</v>
      </c>
      <c r="AK82" s="544" t="s">
        <v>837</v>
      </c>
      <c r="AL82" s="544" t="s">
        <v>43</v>
      </c>
      <c r="AM82" s="553">
        <v>1</v>
      </c>
      <c r="AN82" s="544" t="str">
        <f t="shared" si="129"/>
        <v>Fortalecer  las habilidades, competencias, comportamientos de los funcionarios en el desarrollo de sus funciones que permitan el cumplimiento de los objetivos organizacionales de la entidad</v>
      </c>
      <c r="AO82" s="550">
        <f t="shared" si="158"/>
        <v>46745300</v>
      </c>
      <c r="AP82" s="548" t="s">
        <v>46</v>
      </c>
      <c r="AQ82" s="553">
        <v>0</v>
      </c>
      <c r="AR82" s="544" t="str">
        <f t="shared" si="130"/>
        <v>Fortalecer  las habilidades, competencias, comportamientos de los funcionarios en el desarrollo de sus funciones que permitan el cumplimiento de los objetivos organizacionales de la entidad</v>
      </c>
      <c r="AS82" s="557">
        <v>0</v>
      </c>
      <c r="AT82" s="573">
        <v>0</v>
      </c>
      <c r="AU82" s="608">
        <v>0</v>
      </c>
      <c r="AV82" s="543" t="e">
        <f t="shared" si="131"/>
        <v>#DIV/0!</v>
      </c>
      <c r="AW82" s="543" t="e">
        <f t="shared" si="132"/>
        <v>#DIV/0!</v>
      </c>
      <c r="AX82" s="543">
        <f t="shared" si="133"/>
        <v>0</v>
      </c>
      <c r="AY82" s="543">
        <f t="shared" si="134"/>
        <v>0</v>
      </c>
      <c r="AZ82" s="641" t="s">
        <v>1464</v>
      </c>
      <c r="BA82" s="188">
        <v>1</v>
      </c>
      <c r="BB82" s="544" t="str">
        <f t="shared" si="135"/>
        <v>Fortalecer  las habilidades, competencias, comportamientos de los funcionarios en el desarrollo de sus funciones que permitan el cumplimiento de los objetivos organizacionales de la entidad</v>
      </c>
      <c r="BC82" s="542">
        <f>+AO82</f>
        <v>46745300</v>
      </c>
      <c r="BD82" s="70"/>
      <c r="BE82" s="70"/>
      <c r="BF82" s="543">
        <f t="shared" si="136"/>
        <v>0</v>
      </c>
      <c r="BG82" s="543">
        <f t="shared" si="137"/>
        <v>0</v>
      </c>
      <c r="BH82" s="543">
        <f t="shared" si="138"/>
        <v>0</v>
      </c>
      <c r="BI82" s="543">
        <f t="shared" si="139"/>
        <v>0</v>
      </c>
      <c r="BJ82" s="543"/>
      <c r="BK82" s="188">
        <v>0</v>
      </c>
      <c r="BL82" s="544" t="str">
        <f t="shared" si="140"/>
        <v>Fortalecer  las habilidades, competencias, comportamientos de los funcionarios en el desarrollo de sus funciones que permitan el cumplimiento de los objetivos organizacionales de la entidad</v>
      </c>
      <c r="BM82" s="542">
        <v>0</v>
      </c>
      <c r="BN82" s="541"/>
      <c r="BO82" s="541"/>
      <c r="BP82" s="543" t="e">
        <f t="shared" si="141"/>
        <v>#DIV/0!</v>
      </c>
      <c r="BQ82" s="543" t="e">
        <f t="shared" si="142"/>
        <v>#DIV/0!</v>
      </c>
      <c r="BR82" s="543">
        <f t="shared" si="143"/>
        <v>0</v>
      </c>
      <c r="BS82" s="543">
        <f t="shared" si="144"/>
        <v>0</v>
      </c>
      <c r="BT82" s="543"/>
      <c r="BU82" s="188">
        <v>0</v>
      </c>
      <c r="BV82" s="544" t="str">
        <f t="shared" si="145"/>
        <v>Fortalecer  las habilidades, competencias, comportamientos de los funcionarios en el desarrollo de sus funciones que permitan el cumplimiento de los objetivos organizacionales de la entidad</v>
      </c>
      <c r="BW82" s="542">
        <v>0</v>
      </c>
      <c r="BX82" s="541"/>
      <c r="BY82" s="541"/>
      <c r="BZ82" s="547" t="e">
        <f t="shared" si="146"/>
        <v>#DIV/0!</v>
      </c>
      <c r="CA82" s="547" t="e">
        <f t="shared" si="147"/>
        <v>#DIV/0!</v>
      </c>
      <c r="CB82" s="547">
        <f t="shared" si="148"/>
        <v>0</v>
      </c>
      <c r="CC82" s="547">
        <f t="shared" si="149"/>
        <v>0</v>
      </c>
      <c r="CD82" s="547"/>
      <c r="CE82" s="546" t="str">
        <f t="shared" si="150"/>
        <v>No Prog ni Ejec</v>
      </c>
      <c r="CF82" s="546" t="str">
        <f t="shared" si="151"/>
        <v>No Prog ni Ejec</v>
      </c>
      <c r="CG82" s="546">
        <f t="shared" si="152"/>
        <v>0</v>
      </c>
      <c r="CH82" s="546">
        <f t="shared" si="153"/>
        <v>0</v>
      </c>
      <c r="CI82" s="546" t="str">
        <f t="shared" si="154"/>
        <v>No Prog ni Ejec</v>
      </c>
      <c r="CJ82" s="546" t="str">
        <f t="shared" si="155"/>
        <v>No Prog ni Ejec</v>
      </c>
      <c r="CK82" s="546" t="str">
        <f t="shared" si="156"/>
        <v>No Prog ni Ejec</v>
      </c>
      <c r="CL82" s="546" t="str">
        <f t="shared" si="157"/>
        <v>No Prog ni Ejec</v>
      </c>
      <c r="CM82" s="157">
        <f t="shared" si="128"/>
        <v>0</v>
      </c>
      <c r="CU82" s="75">
        <v>4</v>
      </c>
    </row>
    <row r="83" spans="1:106" s="75" customFormat="1" ht="102" customHeight="1" x14ac:dyDescent="0.2">
      <c r="A83" s="541">
        <v>11700</v>
      </c>
      <c r="B83" s="544" t="s">
        <v>14</v>
      </c>
      <c r="C83" s="559" t="s">
        <v>530</v>
      </c>
      <c r="D83" s="559"/>
      <c r="E83" s="559"/>
      <c r="F83" s="559" t="s">
        <v>1108</v>
      </c>
      <c r="G83" s="559" t="s">
        <v>1108</v>
      </c>
      <c r="H83" s="559"/>
      <c r="I83" s="559"/>
      <c r="J83" s="559"/>
      <c r="K83" s="559"/>
      <c r="L83" s="559" t="s">
        <v>1108</v>
      </c>
      <c r="M83" s="559"/>
      <c r="N83" s="559"/>
      <c r="O83" s="559"/>
      <c r="P83" s="559"/>
      <c r="Q83" s="540" t="s">
        <v>206</v>
      </c>
      <c r="R83" s="540" t="s">
        <v>206</v>
      </c>
      <c r="S83" s="541" t="s">
        <v>240</v>
      </c>
      <c r="T83" s="544" t="s">
        <v>94</v>
      </c>
      <c r="U83" s="544" t="s">
        <v>206</v>
      </c>
      <c r="V83" s="544" t="s">
        <v>206</v>
      </c>
      <c r="W83" s="541" t="s">
        <v>866</v>
      </c>
      <c r="X83" s="544" t="s">
        <v>810</v>
      </c>
      <c r="Y83" s="60" t="s">
        <v>411</v>
      </c>
      <c r="Z83" s="553">
        <v>1</v>
      </c>
      <c r="AA83" s="541" t="s">
        <v>848</v>
      </c>
      <c r="AB83" s="544" t="s">
        <v>834</v>
      </c>
      <c r="AC83" s="550">
        <v>46745300</v>
      </c>
      <c r="AD83" s="545"/>
      <c r="AE83" s="544" t="s">
        <v>16</v>
      </c>
      <c r="AF83" s="544" t="s">
        <v>21</v>
      </c>
      <c r="AG83" s="544" t="s">
        <v>206</v>
      </c>
      <c r="AH83" s="544" t="s">
        <v>678</v>
      </c>
      <c r="AI83" s="544" t="s">
        <v>77</v>
      </c>
      <c r="AJ83" s="544" t="s">
        <v>1409</v>
      </c>
      <c r="AK83" s="544" t="s">
        <v>837</v>
      </c>
      <c r="AL83" s="544" t="s">
        <v>43</v>
      </c>
      <c r="AM83" s="553">
        <v>1</v>
      </c>
      <c r="AN83" s="544" t="str">
        <f t="shared" si="129"/>
        <v>Profundizar elementos gramaticales, y prácticos que permitan fortalecer la comunicación escrita generada en la entidad</v>
      </c>
      <c r="AO83" s="550">
        <f t="shared" si="158"/>
        <v>46745300</v>
      </c>
      <c r="AP83" s="548" t="s">
        <v>46</v>
      </c>
      <c r="AQ83" s="553">
        <v>0</v>
      </c>
      <c r="AR83" s="544" t="str">
        <f t="shared" si="130"/>
        <v>Profundizar elementos gramaticales, y prácticos que permitan fortalecer la comunicación escrita generada en la entidad</v>
      </c>
      <c r="AS83" s="557">
        <v>0</v>
      </c>
      <c r="AT83" s="573">
        <v>0</v>
      </c>
      <c r="AU83" s="608">
        <v>0</v>
      </c>
      <c r="AV83" s="543" t="e">
        <f t="shared" si="131"/>
        <v>#DIV/0!</v>
      </c>
      <c r="AW83" s="543" t="e">
        <f t="shared" si="132"/>
        <v>#DIV/0!</v>
      </c>
      <c r="AX83" s="543">
        <f t="shared" si="133"/>
        <v>0</v>
      </c>
      <c r="AY83" s="543">
        <f t="shared" si="134"/>
        <v>0</v>
      </c>
      <c r="AZ83" s="641" t="s">
        <v>1464</v>
      </c>
      <c r="BA83" s="188">
        <v>1</v>
      </c>
      <c r="BB83" s="544" t="str">
        <f t="shared" si="135"/>
        <v>Profundizar elementos gramaticales, y prácticos que permitan fortalecer la comunicación escrita generada en la entidad</v>
      </c>
      <c r="BC83" s="542">
        <f>+AO83</f>
        <v>46745300</v>
      </c>
      <c r="BD83" s="70"/>
      <c r="BE83" s="70"/>
      <c r="BF83" s="543">
        <f t="shared" si="136"/>
        <v>0</v>
      </c>
      <c r="BG83" s="543">
        <f t="shared" si="137"/>
        <v>0</v>
      </c>
      <c r="BH83" s="543">
        <f t="shared" si="138"/>
        <v>0</v>
      </c>
      <c r="BI83" s="543">
        <f t="shared" si="139"/>
        <v>0</v>
      </c>
      <c r="BJ83" s="543"/>
      <c r="BK83" s="188">
        <v>0</v>
      </c>
      <c r="BL83" s="544" t="str">
        <f t="shared" si="140"/>
        <v>Profundizar elementos gramaticales, y prácticos que permitan fortalecer la comunicación escrita generada en la entidad</v>
      </c>
      <c r="BM83" s="542">
        <v>0</v>
      </c>
      <c r="BN83" s="541"/>
      <c r="BO83" s="541"/>
      <c r="BP83" s="543" t="e">
        <f t="shared" si="141"/>
        <v>#DIV/0!</v>
      </c>
      <c r="BQ83" s="543" t="e">
        <f t="shared" si="142"/>
        <v>#DIV/0!</v>
      </c>
      <c r="BR83" s="543">
        <f t="shared" si="143"/>
        <v>0</v>
      </c>
      <c r="BS83" s="543">
        <f t="shared" si="144"/>
        <v>0</v>
      </c>
      <c r="BT83" s="543"/>
      <c r="BU83" s="188">
        <v>0</v>
      </c>
      <c r="BV83" s="544" t="str">
        <f t="shared" si="145"/>
        <v>Profundizar elementos gramaticales, y prácticos que permitan fortalecer la comunicación escrita generada en la entidad</v>
      </c>
      <c r="BW83" s="542">
        <v>0</v>
      </c>
      <c r="BX83" s="541"/>
      <c r="BY83" s="541"/>
      <c r="BZ83" s="547" t="e">
        <f t="shared" si="146"/>
        <v>#DIV/0!</v>
      </c>
      <c r="CA83" s="547" t="e">
        <f t="shared" si="147"/>
        <v>#DIV/0!</v>
      </c>
      <c r="CB83" s="547">
        <f t="shared" si="148"/>
        <v>0</v>
      </c>
      <c r="CC83" s="547">
        <f t="shared" si="149"/>
        <v>0</v>
      </c>
      <c r="CD83" s="547"/>
      <c r="CE83" s="546" t="str">
        <f t="shared" si="150"/>
        <v>No Prog ni Ejec</v>
      </c>
      <c r="CF83" s="546" t="str">
        <f t="shared" si="151"/>
        <v>No Prog ni Ejec</v>
      </c>
      <c r="CG83" s="546">
        <f t="shared" si="152"/>
        <v>0</v>
      </c>
      <c r="CH83" s="546">
        <f t="shared" si="153"/>
        <v>0</v>
      </c>
      <c r="CI83" s="546" t="str">
        <f t="shared" si="154"/>
        <v>No Prog ni Ejec</v>
      </c>
      <c r="CJ83" s="546" t="str">
        <f t="shared" si="155"/>
        <v>No Prog ni Ejec</v>
      </c>
      <c r="CK83" s="546" t="str">
        <f t="shared" si="156"/>
        <v>No Prog ni Ejec</v>
      </c>
      <c r="CL83" s="546" t="str">
        <f t="shared" si="157"/>
        <v>No Prog ni Ejec</v>
      </c>
      <c r="CM83" s="157">
        <f t="shared" si="128"/>
        <v>0</v>
      </c>
      <c r="CU83" s="75">
        <v>4</v>
      </c>
    </row>
    <row r="84" spans="1:106" s="75" customFormat="1" ht="89.25" customHeight="1" x14ac:dyDescent="0.2">
      <c r="A84" s="541">
        <v>11700</v>
      </c>
      <c r="B84" s="544" t="s">
        <v>14</v>
      </c>
      <c r="C84" s="559" t="s">
        <v>530</v>
      </c>
      <c r="D84" s="559"/>
      <c r="E84" s="559"/>
      <c r="F84" s="559" t="s">
        <v>1108</v>
      </c>
      <c r="G84" s="559" t="s">
        <v>1108</v>
      </c>
      <c r="H84" s="559"/>
      <c r="I84" s="559"/>
      <c r="J84" s="559"/>
      <c r="K84" s="559"/>
      <c r="L84" s="559" t="s">
        <v>1108</v>
      </c>
      <c r="M84" s="559"/>
      <c r="N84" s="559"/>
      <c r="O84" s="559"/>
      <c r="P84" s="559"/>
      <c r="Q84" s="540" t="s">
        <v>206</v>
      </c>
      <c r="R84" s="540" t="s">
        <v>206</v>
      </c>
      <c r="S84" s="541" t="s">
        <v>240</v>
      </c>
      <c r="T84" s="544" t="s">
        <v>94</v>
      </c>
      <c r="U84" s="544" t="s">
        <v>206</v>
      </c>
      <c r="V84" s="544" t="s">
        <v>206</v>
      </c>
      <c r="W84" s="541" t="s">
        <v>867</v>
      </c>
      <c r="X84" s="544" t="s">
        <v>811</v>
      </c>
      <c r="Y84" s="60" t="s">
        <v>411</v>
      </c>
      <c r="Z84" s="553">
        <v>1</v>
      </c>
      <c r="AA84" s="851" t="s">
        <v>849</v>
      </c>
      <c r="AB84" s="846" t="s">
        <v>835</v>
      </c>
      <c r="AC84" s="550">
        <v>46745300</v>
      </c>
      <c r="AD84" s="545"/>
      <c r="AE84" s="544" t="s">
        <v>16</v>
      </c>
      <c r="AF84" s="544" t="s">
        <v>21</v>
      </c>
      <c r="AG84" s="544" t="s">
        <v>206</v>
      </c>
      <c r="AH84" s="544" t="s">
        <v>678</v>
      </c>
      <c r="AI84" s="544" t="s">
        <v>77</v>
      </c>
      <c r="AJ84" s="544" t="s">
        <v>1409</v>
      </c>
      <c r="AK84" s="544" t="s">
        <v>837</v>
      </c>
      <c r="AL84" s="544" t="s">
        <v>43</v>
      </c>
      <c r="AM84" s="553">
        <v>1</v>
      </c>
      <c r="AN84" s="846" t="str">
        <f t="shared" si="129"/>
        <v>Dar cumplimiento al modelo integrado de planeación y gestión</v>
      </c>
      <c r="AO84" s="550">
        <f t="shared" si="158"/>
        <v>46745300</v>
      </c>
      <c r="AP84" s="548" t="s">
        <v>46</v>
      </c>
      <c r="AQ84" s="553">
        <v>0</v>
      </c>
      <c r="AR84" s="846" t="str">
        <f t="shared" si="130"/>
        <v>Dar cumplimiento al modelo integrado de planeación y gestión</v>
      </c>
      <c r="AS84" s="557">
        <v>0</v>
      </c>
      <c r="AT84" s="573">
        <v>0</v>
      </c>
      <c r="AU84" s="608">
        <v>0</v>
      </c>
      <c r="AV84" s="543" t="e">
        <f t="shared" si="131"/>
        <v>#DIV/0!</v>
      </c>
      <c r="AW84" s="543" t="e">
        <f t="shared" si="132"/>
        <v>#DIV/0!</v>
      </c>
      <c r="AX84" s="543">
        <f t="shared" si="133"/>
        <v>0</v>
      </c>
      <c r="AY84" s="543">
        <f t="shared" si="134"/>
        <v>0</v>
      </c>
      <c r="AZ84" s="641" t="s">
        <v>1464</v>
      </c>
      <c r="BA84" s="188">
        <v>1</v>
      </c>
      <c r="BB84" s="846" t="str">
        <f t="shared" si="135"/>
        <v>Dar cumplimiento al modelo integrado de planeación y gestión</v>
      </c>
      <c r="BC84" s="542">
        <f>+AO84</f>
        <v>46745300</v>
      </c>
      <c r="BD84" s="70"/>
      <c r="BE84" s="70"/>
      <c r="BF84" s="543">
        <f t="shared" si="136"/>
        <v>0</v>
      </c>
      <c r="BG84" s="543">
        <f t="shared" si="137"/>
        <v>0</v>
      </c>
      <c r="BH84" s="543">
        <f t="shared" si="138"/>
        <v>0</v>
      </c>
      <c r="BI84" s="543">
        <f t="shared" si="139"/>
        <v>0</v>
      </c>
      <c r="BJ84" s="543"/>
      <c r="BK84" s="188">
        <v>0</v>
      </c>
      <c r="BL84" s="846" t="str">
        <f t="shared" si="140"/>
        <v>Dar cumplimiento al modelo integrado de planeación y gestión</v>
      </c>
      <c r="BM84" s="542">
        <v>0</v>
      </c>
      <c r="BN84" s="541"/>
      <c r="BO84" s="541"/>
      <c r="BP84" s="543" t="e">
        <f t="shared" si="141"/>
        <v>#DIV/0!</v>
      </c>
      <c r="BQ84" s="543" t="e">
        <f t="shared" si="142"/>
        <v>#DIV/0!</v>
      </c>
      <c r="BR84" s="543">
        <f t="shared" si="143"/>
        <v>0</v>
      </c>
      <c r="BS84" s="543">
        <f t="shared" si="144"/>
        <v>0</v>
      </c>
      <c r="BT84" s="543"/>
      <c r="BU84" s="188">
        <v>0</v>
      </c>
      <c r="BV84" s="846" t="str">
        <f t="shared" si="145"/>
        <v>Dar cumplimiento al modelo integrado de planeación y gestión</v>
      </c>
      <c r="BW84" s="542">
        <v>0</v>
      </c>
      <c r="BX84" s="541"/>
      <c r="BY84" s="541"/>
      <c r="BZ84" s="547" t="e">
        <f t="shared" si="146"/>
        <v>#DIV/0!</v>
      </c>
      <c r="CA84" s="547" t="e">
        <f t="shared" si="147"/>
        <v>#DIV/0!</v>
      </c>
      <c r="CB84" s="547">
        <f t="shared" si="148"/>
        <v>0</v>
      </c>
      <c r="CC84" s="547">
        <f t="shared" si="149"/>
        <v>0</v>
      </c>
      <c r="CD84" s="547"/>
      <c r="CE84" s="546" t="str">
        <f t="shared" si="150"/>
        <v>No Prog ni Ejec</v>
      </c>
      <c r="CF84" s="546" t="str">
        <f t="shared" si="151"/>
        <v>No Prog ni Ejec</v>
      </c>
      <c r="CG84" s="546">
        <f t="shared" si="152"/>
        <v>0</v>
      </c>
      <c r="CH84" s="546">
        <f t="shared" si="153"/>
        <v>0</v>
      </c>
      <c r="CI84" s="546" t="str">
        <f t="shared" si="154"/>
        <v>No Prog ni Ejec</v>
      </c>
      <c r="CJ84" s="546" t="str">
        <f t="shared" si="155"/>
        <v>No Prog ni Ejec</v>
      </c>
      <c r="CK84" s="546" t="str">
        <f t="shared" si="156"/>
        <v>No Prog ni Ejec</v>
      </c>
      <c r="CL84" s="546" t="str">
        <f t="shared" si="157"/>
        <v>No Prog ni Ejec</v>
      </c>
      <c r="CM84" s="157">
        <f t="shared" si="128"/>
        <v>0</v>
      </c>
      <c r="CU84" s="75">
        <v>4</v>
      </c>
    </row>
    <row r="85" spans="1:106" s="75" customFormat="1" ht="102" customHeight="1" x14ac:dyDescent="0.2">
      <c r="A85" s="541">
        <v>11700</v>
      </c>
      <c r="B85" s="544" t="s">
        <v>14</v>
      </c>
      <c r="C85" s="559" t="s">
        <v>530</v>
      </c>
      <c r="D85" s="559"/>
      <c r="E85" s="559"/>
      <c r="F85" s="559"/>
      <c r="G85" s="559" t="s">
        <v>1108</v>
      </c>
      <c r="H85" s="559"/>
      <c r="I85" s="559"/>
      <c r="J85" s="559"/>
      <c r="K85" s="559"/>
      <c r="L85" s="559" t="s">
        <v>1108</v>
      </c>
      <c r="M85" s="559"/>
      <c r="N85" s="559"/>
      <c r="O85" s="559"/>
      <c r="P85" s="559"/>
      <c r="Q85" s="540" t="s">
        <v>206</v>
      </c>
      <c r="R85" s="540" t="s">
        <v>206</v>
      </c>
      <c r="S85" s="541" t="s">
        <v>240</v>
      </c>
      <c r="T85" s="544" t="s">
        <v>94</v>
      </c>
      <c r="U85" s="544" t="s">
        <v>206</v>
      </c>
      <c r="V85" s="544" t="s">
        <v>206</v>
      </c>
      <c r="W85" s="541" t="s">
        <v>1177</v>
      </c>
      <c r="X85" s="544" t="s">
        <v>812</v>
      </c>
      <c r="Y85" s="60" t="s">
        <v>411</v>
      </c>
      <c r="Z85" s="553">
        <v>1</v>
      </c>
      <c r="AA85" s="851"/>
      <c r="AB85" s="846"/>
      <c r="AC85" s="550">
        <v>0</v>
      </c>
      <c r="AD85" s="545"/>
      <c r="AE85" s="544" t="s">
        <v>16</v>
      </c>
      <c r="AF85" s="544" t="s">
        <v>21</v>
      </c>
      <c r="AG85" s="544" t="s">
        <v>206</v>
      </c>
      <c r="AH85" s="544" t="s">
        <v>678</v>
      </c>
      <c r="AI85" s="544" t="s">
        <v>77</v>
      </c>
      <c r="AJ85" s="544" t="s">
        <v>1409</v>
      </c>
      <c r="AK85" s="544" t="s">
        <v>837</v>
      </c>
      <c r="AL85" s="544" t="s">
        <v>43</v>
      </c>
      <c r="AM85" s="553">
        <v>1</v>
      </c>
      <c r="AN85" s="846"/>
      <c r="AO85" s="550">
        <f t="shared" si="158"/>
        <v>0</v>
      </c>
      <c r="AP85" s="548" t="s">
        <v>46</v>
      </c>
      <c r="AQ85" s="553">
        <v>0</v>
      </c>
      <c r="AR85" s="846"/>
      <c r="AS85" s="557">
        <v>0</v>
      </c>
      <c r="AT85" s="573">
        <v>0</v>
      </c>
      <c r="AU85" s="608">
        <v>0</v>
      </c>
      <c r="AV85" s="543" t="e">
        <f t="shared" si="131"/>
        <v>#DIV/0!</v>
      </c>
      <c r="AW85" s="543" t="e">
        <f t="shared" si="132"/>
        <v>#DIV/0!</v>
      </c>
      <c r="AX85" s="543">
        <f t="shared" si="133"/>
        <v>0</v>
      </c>
      <c r="AY85" s="543" t="e">
        <f t="shared" si="134"/>
        <v>#DIV/0!</v>
      </c>
      <c r="AZ85" s="641" t="s">
        <v>1464</v>
      </c>
      <c r="BA85" s="188">
        <v>0</v>
      </c>
      <c r="BB85" s="846"/>
      <c r="BC85" s="542">
        <v>0</v>
      </c>
      <c r="BD85" s="70"/>
      <c r="BE85" s="70"/>
      <c r="BF85" s="543" t="e">
        <f t="shared" si="136"/>
        <v>#DIV/0!</v>
      </c>
      <c r="BG85" s="543" t="e">
        <f t="shared" si="137"/>
        <v>#DIV/0!</v>
      </c>
      <c r="BH85" s="543">
        <f t="shared" si="138"/>
        <v>0</v>
      </c>
      <c r="BI85" s="543" t="e">
        <f t="shared" si="139"/>
        <v>#DIV/0!</v>
      </c>
      <c r="BJ85" s="543"/>
      <c r="BK85" s="188">
        <v>1</v>
      </c>
      <c r="BL85" s="846"/>
      <c r="BM85" s="542">
        <v>0</v>
      </c>
      <c r="BN85" s="541"/>
      <c r="BO85" s="541"/>
      <c r="BP85" s="543">
        <f t="shared" si="141"/>
        <v>0</v>
      </c>
      <c r="BQ85" s="543" t="e">
        <f t="shared" si="142"/>
        <v>#DIV/0!</v>
      </c>
      <c r="BR85" s="543">
        <f t="shared" si="143"/>
        <v>0</v>
      </c>
      <c r="BS85" s="543" t="e">
        <f t="shared" si="144"/>
        <v>#DIV/0!</v>
      </c>
      <c r="BT85" s="543"/>
      <c r="BU85" s="188">
        <v>0</v>
      </c>
      <c r="BV85" s="846"/>
      <c r="BW85" s="542">
        <v>0</v>
      </c>
      <c r="BX85" s="541"/>
      <c r="BY85" s="541"/>
      <c r="BZ85" s="547" t="e">
        <f t="shared" si="146"/>
        <v>#DIV/0!</v>
      </c>
      <c r="CA85" s="547" t="e">
        <f t="shared" si="147"/>
        <v>#DIV/0!</v>
      </c>
      <c r="CB85" s="547">
        <f t="shared" si="148"/>
        <v>0</v>
      </c>
      <c r="CC85" s="547" t="e">
        <f t="shared" si="149"/>
        <v>#DIV/0!</v>
      </c>
      <c r="CD85" s="547"/>
      <c r="CE85" s="546" t="str">
        <f t="shared" si="150"/>
        <v>No Prog ni Ejec</v>
      </c>
      <c r="CF85" s="546" t="str">
        <f t="shared" si="151"/>
        <v>No Prog ni Ejec</v>
      </c>
      <c r="CG85" s="546" t="str">
        <f t="shared" si="152"/>
        <v>No Prog ni Ejec</v>
      </c>
      <c r="CH85" s="546" t="str">
        <f t="shared" si="153"/>
        <v>No Prog ni Ejec</v>
      </c>
      <c r="CI85" s="546">
        <f t="shared" si="154"/>
        <v>0</v>
      </c>
      <c r="CJ85" s="546" t="str">
        <f t="shared" si="155"/>
        <v>No Prog ni Ejec</v>
      </c>
      <c r="CK85" s="546" t="str">
        <f t="shared" si="156"/>
        <v>No Prog ni Ejec</v>
      </c>
      <c r="CL85" s="546" t="str">
        <f t="shared" si="157"/>
        <v>No Prog ni Ejec</v>
      </c>
      <c r="CM85" s="157">
        <f t="shared" si="128"/>
        <v>0</v>
      </c>
      <c r="CU85" s="75">
        <v>4</v>
      </c>
    </row>
    <row r="86" spans="1:106" s="75" customFormat="1" ht="102.75" customHeight="1" x14ac:dyDescent="0.2">
      <c r="A86" s="541">
        <v>11700</v>
      </c>
      <c r="B86" s="544" t="s">
        <v>14</v>
      </c>
      <c r="C86" s="559" t="s">
        <v>530</v>
      </c>
      <c r="D86" s="559"/>
      <c r="E86" s="559"/>
      <c r="F86" s="559"/>
      <c r="G86" s="559" t="s">
        <v>1108</v>
      </c>
      <c r="H86" s="559"/>
      <c r="I86" s="559"/>
      <c r="J86" s="559"/>
      <c r="K86" s="559"/>
      <c r="L86" s="559" t="s">
        <v>1108</v>
      </c>
      <c r="M86" s="559"/>
      <c r="N86" s="559"/>
      <c r="O86" s="559"/>
      <c r="P86" s="559"/>
      <c r="Q86" s="540" t="s">
        <v>206</v>
      </c>
      <c r="R86" s="540" t="s">
        <v>206</v>
      </c>
      <c r="S86" s="541" t="s">
        <v>240</v>
      </c>
      <c r="T86" s="544" t="s">
        <v>94</v>
      </c>
      <c r="U86" s="544" t="s">
        <v>206</v>
      </c>
      <c r="V86" s="544" t="s">
        <v>206</v>
      </c>
      <c r="W86" s="541" t="s">
        <v>1178</v>
      </c>
      <c r="X86" s="544" t="s">
        <v>813</v>
      </c>
      <c r="Y86" s="60" t="s">
        <v>411</v>
      </c>
      <c r="Z86" s="553">
        <v>1</v>
      </c>
      <c r="AA86" s="851"/>
      <c r="AB86" s="846"/>
      <c r="AC86" s="550">
        <v>0</v>
      </c>
      <c r="AD86" s="545"/>
      <c r="AE86" s="544" t="s">
        <v>16</v>
      </c>
      <c r="AF86" s="544" t="s">
        <v>21</v>
      </c>
      <c r="AG86" s="544" t="s">
        <v>206</v>
      </c>
      <c r="AH86" s="544" t="s">
        <v>678</v>
      </c>
      <c r="AI86" s="544" t="s">
        <v>77</v>
      </c>
      <c r="AJ86" s="544" t="s">
        <v>1409</v>
      </c>
      <c r="AK86" s="544" t="s">
        <v>837</v>
      </c>
      <c r="AL86" s="544" t="s">
        <v>43</v>
      </c>
      <c r="AM86" s="553">
        <v>1</v>
      </c>
      <c r="AN86" s="846"/>
      <c r="AO86" s="550">
        <f t="shared" si="158"/>
        <v>0</v>
      </c>
      <c r="AP86" s="548" t="s">
        <v>46</v>
      </c>
      <c r="AQ86" s="553">
        <v>0</v>
      </c>
      <c r="AR86" s="846"/>
      <c r="AS86" s="557">
        <v>0</v>
      </c>
      <c r="AT86" s="573">
        <v>0</v>
      </c>
      <c r="AU86" s="608">
        <v>0</v>
      </c>
      <c r="AV86" s="543" t="e">
        <f t="shared" si="131"/>
        <v>#DIV/0!</v>
      </c>
      <c r="AW86" s="543" t="e">
        <f t="shared" si="132"/>
        <v>#DIV/0!</v>
      </c>
      <c r="AX86" s="543">
        <f t="shared" si="133"/>
        <v>0</v>
      </c>
      <c r="AY86" s="543" t="e">
        <f t="shared" si="134"/>
        <v>#DIV/0!</v>
      </c>
      <c r="AZ86" s="641" t="s">
        <v>1464</v>
      </c>
      <c r="BA86" s="188">
        <v>1</v>
      </c>
      <c r="BB86" s="846"/>
      <c r="BC86" s="542">
        <v>0</v>
      </c>
      <c r="BD86" s="70"/>
      <c r="BE86" s="70"/>
      <c r="BF86" s="543">
        <f t="shared" si="136"/>
        <v>0</v>
      </c>
      <c r="BG86" s="543" t="e">
        <f t="shared" si="137"/>
        <v>#DIV/0!</v>
      </c>
      <c r="BH86" s="543">
        <f t="shared" si="138"/>
        <v>0</v>
      </c>
      <c r="BI86" s="543" t="e">
        <f t="shared" si="139"/>
        <v>#DIV/0!</v>
      </c>
      <c r="BJ86" s="543"/>
      <c r="BK86" s="188">
        <v>0</v>
      </c>
      <c r="BL86" s="846"/>
      <c r="BM86" s="542">
        <v>0</v>
      </c>
      <c r="BN86" s="541"/>
      <c r="BO86" s="541"/>
      <c r="BP86" s="543" t="e">
        <f t="shared" si="141"/>
        <v>#DIV/0!</v>
      </c>
      <c r="BQ86" s="543" t="e">
        <f t="shared" si="142"/>
        <v>#DIV/0!</v>
      </c>
      <c r="BR86" s="543">
        <f t="shared" si="143"/>
        <v>0</v>
      </c>
      <c r="BS86" s="543" t="e">
        <f t="shared" si="144"/>
        <v>#DIV/0!</v>
      </c>
      <c r="BT86" s="543"/>
      <c r="BU86" s="188">
        <v>0</v>
      </c>
      <c r="BV86" s="846"/>
      <c r="BW86" s="542">
        <v>0</v>
      </c>
      <c r="BX86" s="541"/>
      <c r="BY86" s="541"/>
      <c r="BZ86" s="547" t="e">
        <f t="shared" si="146"/>
        <v>#DIV/0!</v>
      </c>
      <c r="CA86" s="547" t="e">
        <f t="shared" si="147"/>
        <v>#DIV/0!</v>
      </c>
      <c r="CB86" s="547">
        <f t="shared" si="148"/>
        <v>0</v>
      </c>
      <c r="CC86" s="547" t="e">
        <f t="shared" si="149"/>
        <v>#DIV/0!</v>
      </c>
      <c r="CD86" s="547"/>
      <c r="CE86" s="546" t="str">
        <f t="shared" si="150"/>
        <v>No Prog ni Ejec</v>
      </c>
      <c r="CF86" s="546" t="str">
        <f t="shared" si="151"/>
        <v>No Prog ni Ejec</v>
      </c>
      <c r="CG86" s="546">
        <f t="shared" si="152"/>
        <v>0</v>
      </c>
      <c r="CH86" s="546" t="str">
        <f t="shared" si="153"/>
        <v>No Prog ni Ejec</v>
      </c>
      <c r="CI86" s="546" t="str">
        <f t="shared" si="154"/>
        <v>No Prog ni Ejec</v>
      </c>
      <c r="CJ86" s="546" t="str">
        <f t="shared" si="155"/>
        <v>No Prog ni Ejec</v>
      </c>
      <c r="CK86" s="546" t="str">
        <f t="shared" si="156"/>
        <v>No Prog ni Ejec</v>
      </c>
      <c r="CL86" s="546" t="str">
        <f t="shared" si="157"/>
        <v>No Prog ni Ejec</v>
      </c>
      <c r="CM86" s="157">
        <f t="shared" si="128"/>
        <v>0</v>
      </c>
      <c r="CU86" s="75">
        <v>4</v>
      </c>
    </row>
    <row r="87" spans="1:106" s="75" customFormat="1" ht="103.5" customHeight="1" x14ac:dyDescent="0.2">
      <c r="A87" s="541">
        <v>11700</v>
      </c>
      <c r="B87" s="544" t="s">
        <v>14</v>
      </c>
      <c r="C87" s="559" t="s">
        <v>530</v>
      </c>
      <c r="D87" s="559"/>
      <c r="E87" s="559"/>
      <c r="F87" s="559"/>
      <c r="G87" s="559" t="s">
        <v>1108</v>
      </c>
      <c r="H87" s="559"/>
      <c r="I87" s="559"/>
      <c r="J87" s="559"/>
      <c r="K87" s="559"/>
      <c r="L87" s="559" t="s">
        <v>1108</v>
      </c>
      <c r="M87" s="559"/>
      <c r="N87" s="559"/>
      <c r="O87" s="559"/>
      <c r="P87" s="559"/>
      <c r="Q87" s="540" t="s">
        <v>206</v>
      </c>
      <c r="R87" s="540" t="s">
        <v>206</v>
      </c>
      <c r="S87" s="541" t="s">
        <v>240</v>
      </c>
      <c r="T87" s="544" t="s">
        <v>94</v>
      </c>
      <c r="U87" s="544" t="s">
        <v>206</v>
      </c>
      <c r="V87" s="544" t="s">
        <v>206</v>
      </c>
      <c r="W87" s="541" t="s">
        <v>1179</v>
      </c>
      <c r="X87" s="544" t="s">
        <v>814</v>
      </c>
      <c r="Y87" s="60" t="s">
        <v>411</v>
      </c>
      <c r="Z87" s="553">
        <v>1</v>
      </c>
      <c r="AA87" s="851"/>
      <c r="AB87" s="846"/>
      <c r="AC87" s="550">
        <v>0</v>
      </c>
      <c r="AD87" s="545"/>
      <c r="AE87" s="544" t="s">
        <v>16</v>
      </c>
      <c r="AF87" s="544" t="s">
        <v>21</v>
      </c>
      <c r="AG87" s="544" t="s">
        <v>206</v>
      </c>
      <c r="AH87" s="544" t="s">
        <v>678</v>
      </c>
      <c r="AI87" s="544" t="s">
        <v>77</v>
      </c>
      <c r="AJ87" s="544" t="s">
        <v>1409</v>
      </c>
      <c r="AK87" s="544" t="s">
        <v>837</v>
      </c>
      <c r="AL87" s="544" t="s">
        <v>43</v>
      </c>
      <c r="AM87" s="553">
        <v>1</v>
      </c>
      <c r="AN87" s="846"/>
      <c r="AO87" s="550">
        <f t="shared" si="158"/>
        <v>0</v>
      </c>
      <c r="AP87" s="548" t="s">
        <v>46</v>
      </c>
      <c r="AQ87" s="553">
        <v>0</v>
      </c>
      <c r="AR87" s="846"/>
      <c r="AS87" s="557">
        <v>0</v>
      </c>
      <c r="AT87" s="573">
        <v>0</v>
      </c>
      <c r="AU87" s="608">
        <v>0</v>
      </c>
      <c r="AV87" s="543" t="e">
        <f t="shared" si="131"/>
        <v>#DIV/0!</v>
      </c>
      <c r="AW87" s="543" t="e">
        <f t="shared" si="132"/>
        <v>#DIV/0!</v>
      </c>
      <c r="AX87" s="543">
        <f t="shared" si="133"/>
        <v>0</v>
      </c>
      <c r="AY87" s="543" t="e">
        <f t="shared" si="134"/>
        <v>#DIV/0!</v>
      </c>
      <c r="AZ87" s="641" t="s">
        <v>1464</v>
      </c>
      <c r="BA87" s="188">
        <v>0</v>
      </c>
      <c r="BB87" s="846"/>
      <c r="BC87" s="542">
        <v>0</v>
      </c>
      <c r="BD87" s="70"/>
      <c r="BE87" s="70"/>
      <c r="BF87" s="543" t="e">
        <f t="shared" si="136"/>
        <v>#DIV/0!</v>
      </c>
      <c r="BG87" s="543" t="e">
        <f t="shared" si="137"/>
        <v>#DIV/0!</v>
      </c>
      <c r="BH87" s="543">
        <f t="shared" si="138"/>
        <v>0</v>
      </c>
      <c r="BI87" s="543" t="e">
        <f t="shared" si="139"/>
        <v>#DIV/0!</v>
      </c>
      <c r="BJ87" s="543"/>
      <c r="BK87" s="188">
        <v>1</v>
      </c>
      <c r="BL87" s="846"/>
      <c r="BM87" s="542">
        <v>0</v>
      </c>
      <c r="BN87" s="541"/>
      <c r="BO87" s="541"/>
      <c r="BP87" s="543">
        <f t="shared" si="141"/>
        <v>0</v>
      </c>
      <c r="BQ87" s="543" t="e">
        <f t="shared" si="142"/>
        <v>#DIV/0!</v>
      </c>
      <c r="BR87" s="543">
        <f t="shared" si="143"/>
        <v>0</v>
      </c>
      <c r="BS87" s="543" t="e">
        <f t="shared" si="144"/>
        <v>#DIV/0!</v>
      </c>
      <c r="BT87" s="543"/>
      <c r="BU87" s="188">
        <v>0</v>
      </c>
      <c r="BV87" s="846"/>
      <c r="BW87" s="542">
        <v>0</v>
      </c>
      <c r="BX87" s="541"/>
      <c r="BY87" s="541"/>
      <c r="BZ87" s="547" t="e">
        <f t="shared" si="146"/>
        <v>#DIV/0!</v>
      </c>
      <c r="CA87" s="547" t="e">
        <f t="shared" si="147"/>
        <v>#DIV/0!</v>
      </c>
      <c r="CB87" s="547">
        <f t="shared" si="148"/>
        <v>0</v>
      </c>
      <c r="CC87" s="547" t="e">
        <f t="shared" si="149"/>
        <v>#DIV/0!</v>
      </c>
      <c r="CD87" s="547"/>
      <c r="CE87" s="546" t="str">
        <f t="shared" si="150"/>
        <v>No Prog ni Ejec</v>
      </c>
      <c r="CF87" s="546" t="str">
        <f t="shared" si="151"/>
        <v>No Prog ni Ejec</v>
      </c>
      <c r="CG87" s="546" t="str">
        <f t="shared" si="152"/>
        <v>No Prog ni Ejec</v>
      </c>
      <c r="CH87" s="546" t="str">
        <f t="shared" si="153"/>
        <v>No Prog ni Ejec</v>
      </c>
      <c r="CI87" s="546">
        <f t="shared" si="154"/>
        <v>0</v>
      </c>
      <c r="CJ87" s="546" t="str">
        <f t="shared" si="155"/>
        <v>No Prog ni Ejec</v>
      </c>
      <c r="CK87" s="546" t="str">
        <f t="shared" si="156"/>
        <v>No Prog ni Ejec</v>
      </c>
      <c r="CL87" s="546" t="str">
        <f t="shared" si="157"/>
        <v>No Prog ni Ejec</v>
      </c>
      <c r="CM87" s="157">
        <f t="shared" si="128"/>
        <v>0</v>
      </c>
      <c r="CU87" s="75">
        <v>4</v>
      </c>
    </row>
    <row r="88" spans="1:106" s="75" customFormat="1" ht="102" customHeight="1" x14ac:dyDescent="0.2">
      <c r="A88" s="541">
        <v>11700</v>
      </c>
      <c r="B88" s="544" t="s">
        <v>14</v>
      </c>
      <c r="C88" s="559" t="s">
        <v>530</v>
      </c>
      <c r="D88" s="559"/>
      <c r="E88" s="559"/>
      <c r="F88" s="559"/>
      <c r="G88" s="559" t="s">
        <v>1108</v>
      </c>
      <c r="H88" s="559"/>
      <c r="I88" s="559"/>
      <c r="J88" s="559"/>
      <c r="K88" s="559"/>
      <c r="L88" s="559" t="s">
        <v>1108</v>
      </c>
      <c r="M88" s="559"/>
      <c r="N88" s="559"/>
      <c r="O88" s="559"/>
      <c r="P88" s="559"/>
      <c r="Q88" s="540" t="s">
        <v>206</v>
      </c>
      <c r="R88" s="540" t="s">
        <v>206</v>
      </c>
      <c r="S88" s="541" t="s">
        <v>240</v>
      </c>
      <c r="T88" s="544" t="s">
        <v>94</v>
      </c>
      <c r="U88" s="544" t="s">
        <v>206</v>
      </c>
      <c r="V88" s="544" t="s">
        <v>206</v>
      </c>
      <c r="W88" s="541" t="s">
        <v>1180</v>
      </c>
      <c r="X88" s="544" t="s">
        <v>815</v>
      </c>
      <c r="Y88" s="60" t="s">
        <v>411</v>
      </c>
      <c r="Z88" s="553">
        <v>1</v>
      </c>
      <c r="AA88" s="851"/>
      <c r="AB88" s="846"/>
      <c r="AC88" s="550">
        <v>0</v>
      </c>
      <c r="AD88" s="545"/>
      <c r="AE88" s="544" t="s">
        <v>16</v>
      </c>
      <c r="AF88" s="544" t="s">
        <v>21</v>
      </c>
      <c r="AG88" s="544" t="s">
        <v>206</v>
      </c>
      <c r="AH88" s="544" t="s">
        <v>678</v>
      </c>
      <c r="AI88" s="544" t="s">
        <v>77</v>
      </c>
      <c r="AJ88" s="544" t="s">
        <v>1409</v>
      </c>
      <c r="AK88" s="544" t="s">
        <v>837</v>
      </c>
      <c r="AL88" s="544" t="s">
        <v>43</v>
      </c>
      <c r="AM88" s="553">
        <v>1</v>
      </c>
      <c r="AN88" s="846"/>
      <c r="AO88" s="550">
        <f t="shared" si="158"/>
        <v>0</v>
      </c>
      <c r="AP88" s="548" t="s">
        <v>46</v>
      </c>
      <c r="AQ88" s="553">
        <v>0</v>
      </c>
      <c r="AR88" s="846"/>
      <c r="AS88" s="557">
        <v>0</v>
      </c>
      <c r="AT88" s="573">
        <v>0</v>
      </c>
      <c r="AU88" s="608">
        <v>0</v>
      </c>
      <c r="AV88" s="543" t="e">
        <f t="shared" si="131"/>
        <v>#DIV/0!</v>
      </c>
      <c r="AW88" s="543" t="e">
        <f t="shared" si="132"/>
        <v>#DIV/0!</v>
      </c>
      <c r="AX88" s="543">
        <f t="shared" si="133"/>
        <v>0</v>
      </c>
      <c r="AY88" s="543" t="e">
        <f t="shared" si="134"/>
        <v>#DIV/0!</v>
      </c>
      <c r="AZ88" s="641" t="s">
        <v>1464</v>
      </c>
      <c r="BA88" s="188">
        <v>0</v>
      </c>
      <c r="BB88" s="846"/>
      <c r="BC88" s="542">
        <v>0</v>
      </c>
      <c r="BD88" s="70"/>
      <c r="BE88" s="70"/>
      <c r="BF88" s="543" t="e">
        <f t="shared" si="136"/>
        <v>#DIV/0!</v>
      </c>
      <c r="BG88" s="543" t="e">
        <f t="shared" si="137"/>
        <v>#DIV/0!</v>
      </c>
      <c r="BH88" s="543">
        <f t="shared" si="138"/>
        <v>0</v>
      </c>
      <c r="BI88" s="543" t="e">
        <f t="shared" si="139"/>
        <v>#DIV/0!</v>
      </c>
      <c r="BJ88" s="543"/>
      <c r="BK88" s="188">
        <v>0</v>
      </c>
      <c r="BL88" s="846"/>
      <c r="BM88" s="542">
        <v>0</v>
      </c>
      <c r="BN88" s="541"/>
      <c r="BO88" s="541"/>
      <c r="BP88" s="543" t="e">
        <f t="shared" si="141"/>
        <v>#DIV/0!</v>
      </c>
      <c r="BQ88" s="543" t="e">
        <f t="shared" si="142"/>
        <v>#DIV/0!</v>
      </c>
      <c r="BR88" s="543">
        <f t="shared" si="143"/>
        <v>0</v>
      </c>
      <c r="BS88" s="543" t="e">
        <f t="shared" si="144"/>
        <v>#DIV/0!</v>
      </c>
      <c r="BT88" s="543"/>
      <c r="BU88" s="188">
        <v>1</v>
      </c>
      <c r="BV88" s="846"/>
      <c r="BW88" s="542">
        <v>0</v>
      </c>
      <c r="BX88" s="541"/>
      <c r="BY88" s="541"/>
      <c r="BZ88" s="547">
        <f t="shared" si="146"/>
        <v>0</v>
      </c>
      <c r="CA88" s="547" t="e">
        <f t="shared" si="147"/>
        <v>#DIV/0!</v>
      </c>
      <c r="CB88" s="547">
        <f t="shared" si="148"/>
        <v>0</v>
      </c>
      <c r="CC88" s="547" t="e">
        <f t="shared" si="149"/>
        <v>#DIV/0!</v>
      </c>
      <c r="CD88" s="547"/>
      <c r="CE88" s="546" t="str">
        <f t="shared" si="150"/>
        <v>No Prog ni Ejec</v>
      </c>
      <c r="CF88" s="546" t="str">
        <f t="shared" si="151"/>
        <v>No Prog ni Ejec</v>
      </c>
      <c r="CG88" s="546" t="str">
        <f t="shared" si="152"/>
        <v>No Prog ni Ejec</v>
      </c>
      <c r="CH88" s="546" t="str">
        <f t="shared" si="153"/>
        <v>No Prog ni Ejec</v>
      </c>
      <c r="CI88" s="546" t="str">
        <f t="shared" si="154"/>
        <v>No Prog ni Ejec</v>
      </c>
      <c r="CJ88" s="546" t="str">
        <f t="shared" si="155"/>
        <v>No Prog ni Ejec</v>
      </c>
      <c r="CK88" s="546">
        <f t="shared" si="156"/>
        <v>0</v>
      </c>
      <c r="CL88" s="546" t="str">
        <f t="shared" si="157"/>
        <v>No Prog ni Ejec</v>
      </c>
      <c r="CM88" s="157">
        <f t="shared" si="128"/>
        <v>0</v>
      </c>
      <c r="CU88" s="75">
        <v>4</v>
      </c>
    </row>
    <row r="89" spans="1:106" s="75" customFormat="1" ht="117" customHeight="1" x14ac:dyDescent="0.2">
      <c r="A89" s="541">
        <v>11700</v>
      </c>
      <c r="B89" s="544" t="s">
        <v>14</v>
      </c>
      <c r="C89" s="559" t="s">
        <v>530</v>
      </c>
      <c r="D89" s="559"/>
      <c r="E89" s="559"/>
      <c r="F89" s="559"/>
      <c r="G89" s="559" t="s">
        <v>1108</v>
      </c>
      <c r="H89" s="559"/>
      <c r="I89" s="559"/>
      <c r="J89" s="559"/>
      <c r="K89" s="559"/>
      <c r="L89" s="559" t="s">
        <v>1108</v>
      </c>
      <c r="M89" s="559"/>
      <c r="N89" s="559"/>
      <c r="O89" s="559"/>
      <c r="P89" s="559"/>
      <c r="Q89" s="540" t="s">
        <v>206</v>
      </c>
      <c r="R89" s="540" t="s">
        <v>206</v>
      </c>
      <c r="S89" s="541" t="s">
        <v>240</v>
      </c>
      <c r="T89" s="544" t="s">
        <v>94</v>
      </c>
      <c r="U89" s="544" t="s">
        <v>206</v>
      </c>
      <c r="V89" s="544" t="s">
        <v>206</v>
      </c>
      <c r="W89" s="541" t="s">
        <v>1181</v>
      </c>
      <c r="X89" s="544" t="s">
        <v>816</v>
      </c>
      <c r="Y89" s="60" t="s">
        <v>411</v>
      </c>
      <c r="Z89" s="553">
        <v>1</v>
      </c>
      <c r="AA89" s="851"/>
      <c r="AB89" s="846"/>
      <c r="AC89" s="550">
        <v>0</v>
      </c>
      <c r="AD89" s="545"/>
      <c r="AE89" s="544" t="s">
        <v>16</v>
      </c>
      <c r="AF89" s="544" t="s">
        <v>21</v>
      </c>
      <c r="AG89" s="544" t="s">
        <v>206</v>
      </c>
      <c r="AH89" s="544" t="s">
        <v>678</v>
      </c>
      <c r="AI89" s="544" t="s">
        <v>77</v>
      </c>
      <c r="AJ89" s="544" t="s">
        <v>1409</v>
      </c>
      <c r="AK89" s="544" t="s">
        <v>837</v>
      </c>
      <c r="AL89" s="544" t="s">
        <v>43</v>
      </c>
      <c r="AM89" s="553">
        <v>1</v>
      </c>
      <c r="AN89" s="846"/>
      <c r="AO89" s="550">
        <f t="shared" si="158"/>
        <v>0</v>
      </c>
      <c r="AP89" s="548" t="s">
        <v>46</v>
      </c>
      <c r="AQ89" s="553">
        <v>0</v>
      </c>
      <c r="AR89" s="846"/>
      <c r="AS89" s="557">
        <v>0</v>
      </c>
      <c r="AT89" s="573">
        <v>0</v>
      </c>
      <c r="AU89" s="608">
        <v>0</v>
      </c>
      <c r="AV89" s="543" t="e">
        <f t="shared" si="131"/>
        <v>#DIV/0!</v>
      </c>
      <c r="AW89" s="543" t="e">
        <f t="shared" si="132"/>
        <v>#DIV/0!</v>
      </c>
      <c r="AX89" s="543">
        <f t="shared" si="133"/>
        <v>0</v>
      </c>
      <c r="AY89" s="543" t="e">
        <f t="shared" si="134"/>
        <v>#DIV/0!</v>
      </c>
      <c r="AZ89" s="641" t="s">
        <v>1464</v>
      </c>
      <c r="BA89" s="188">
        <v>0</v>
      </c>
      <c r="BB89" s="846"/>
      <c r="BC89" s="542">
        <v>0</v>
      </c>
      <c r="BD89" s="70"/>
      <c r="BE89" s="70"/>
      <c r="BF89" s="543" t="e">
        <f t="shared" si="136"/>
        <v>#DIV/0!</v>
      </c>
      <c r="BG89" s="543" t="e">
        <f t="shared" si="137"/>
        <v>#DIV/0!</v>
      </c>
      <c r="BH89" s="543">
        <f t="shared" si="138"/>
        <v>0</v>
      </c>
      <c r="BI89" s="543" t="e">
        <f t="shared" si="139"/>
        <v>#DIV/0!</v>
      </c>
      <c r="BJ89" s="543"/>
      <c r="BK89" s="188">
        <v>0</v>
      </c>
      <c r="BL89" s="846"/>
      <c r="BM89" s="542">
        <v>0</v>
      </c>
      <c r="BN89" s="541"/>
      <c r="BO89" s="541"/>
      <c r="BP89" s="543" t="e">
        <f t="shared" si="141"/>
        <v>#DIV/0!</v>
      </c>
      <c r="BQ89" s="543" t="e">
        <f t="shared" si="142"/>
        <v>#DIV/0!</v>
      </c>
      <c r="BR89" s="543">
        <f t="shared" si="143"/>
        <v>0</v>
      </c>
      <c r="BS89" s="543" t="e">
        <f t="shared" si="144"/>
        <v>#DIV/0!</v>
      </c>
      <c r="BT89" s="543"/>
      <c r="BU89" s="188">
        <v>1</v>
      </c>
      <c r="BV89" s="846"/>
      <c r="BW89" s="542">
        <v>0</v>
      </c>
      <c r="BX89" s="541"/>
      <c r="BY89" s="541"/>
      <c r="BZ89" s="547">
        <f t="shared" si="146"/>
        <v>0</v>
      </c>
      <c r="CA89" s="547" t="e">
        <f t="shared" si="147"/>
        <v>#DIV/0!</v>
      </c>
      <c r="CB89" s="547">
        <f t="shared" si="148"/>
        <v>0</v>
      </c>
      <c r="CC89" s="547" t="e">
        <f t="shared" si="149"/>
        <v>#DIV/0!</v>
      </c>
      <c r="CD89" s="547"/>
      <c r="CE89" s="546" t="str">
        <f t="shared" si="150"/>
        <v>No Prog ni Ejec</v>
      </c>
      <c r="CF89" s="546" t="str">
        <f t="shared" si="151"/>
        <v>No Prog ni Ejec</v>
      </c>
      <c r="CG89" s="546" t="str">
        <f t="shared" si="152"/>
        <v>No Prog ni Ejec</v>
      </c>
      <c r="CH89" s="546" t="str">
        <f t="shared" si="153"/>
        <v>No Prog ni Ejec</v>
      </c>
      <c r="CI89" s="546" t="str">
        <f t="shared" si="154"/>
        <v>No Prog ni Ejec</v>
      </c>
      <c r="CJ89" s="546" t="str">
        <f t="shared" si="155"/>
        <v>No Prog ni Ejec</v>
      </c>
      <c r="CK89" s="546">
        <f t="shared" si="156"/>
        <v>0</v>
      </c>
      <c r="CL89" s="546" t="str">
        <f t="shared" si="157"/>
        <v>No Prog ni Ejec</v>
      </c>
      <c r="CM89" s="157">
        <f t="shared" si="128"/>
        <v>0</v>
      </c>
      <c r="CU89" s="75">
        <v>4</v>
      </c>
    </row>
    <row r="90" spans="1:106" s="75" customFormat="1" ht="89.25" customHeight="1" x14ac:dyDescent="0.2">
      <c r="A90" s="541">
        <v>11700</v>
      </c>
      <c r="B90" s="544" t="s">
        <v>14</v>
      </c>
      <c r="C90" s="559" t="s">
        <v>530</v>
      </c>
      <c r="D90" s="559"/>
      <c r="E90" s="559"/>
      <c r="F90" s="559"/>
      <c r="G90" s="559" t="s">
        <v>1108</v>
      </c>
      <c r="H90" s="559"/>
      <c r="I90" s="559"/>
      <c r="J90" s="559"/>
      <c r="K90" s="559"/>
      <c r="L90" s="559" t="s">
        <v>1108</v>
      </c>
      <c r="M90" s="559"/>
      <c r="N90" s="559"/>
      <c r="O90" s="559"/>
      <c r="P90" s="559"/>
      <c r="Q90" s="540" t="s">
        <v>206</v>
      </c>
      <c r="R90" s="540" t="s">
        <v>206</v>
      </c>
      <c r="S90" s="541" t="s">
        <v>240</v>
      </c>
      <c r="T90" s="544" t="s">
        <v>94</v>
      </c>
      <c r="U90" s="544" t="s">
        <v>206</v>
      </c>
      <c r="V90" s="544" t="s">
        <v>206</v>
      </c>
      <c r="W90" s="541" t="s">
        <v>1182</v>
      </c>
      <c r="X90" s="544" t="s">
        <v>817</v>
      </c>
      <c r="Y90" s="60" t="s">
        <v>411</v>
      </c>
      <c r="Z90" s="553">
        <v>1</v>
      </c>
      <c r="AA90" s="851"/>
      <c r="AB90" s="846"/>
      <c r="AC90" s="550">
        <v>0</v>
      </c>
      <c r="AD90" s="545"/>
      <c r="AE90" s="544" t="s">
        <v>16</v>
      </c>
      <c r="AF90" s="544" t="s">
        <v>21</v>
      </c>
      <c r="AG90" s="544" t="s">
        <v>206</v>
      </c>
      <c r="AH90" s="544" t="s">
        <v>678</v>
      </c>
      <c r="AI90" s="544" t="s">
        <v>77</v>
      </c>
      <c r="AJ90" s="544" t="s">
        <v>1409</v>
      </c>
      <c r="AK90" s="544" t="s">
        <v>837</v>
      </c>
      <c r="AL90" s="544" t="s">
        <v>43</v>
      </c>
      <c r="AM90" s="553">
        <v>1</v>
      </c>
      <c r="AN90" s="846"/>
      <c r="AO90" s="550">
        <f t="shared" si="158"/>
        <v>0</v>
      </c>
      <c r="AP90" s="548" t="s">
        <v>46</v>
      </c>
      <c r="AQ90" s="553">
        <v>0</v>
      </c>
      <c r="AR90" s="846"/>
      <c r="AS90" s="557">
        <v>0</v>
      </c>
      <c r="AT90" s="573">
        <v>0</v>
      </c>
      <c r="AU90" s="608">
        <v>0</v>
      </c>
      <c r="AV90" s="543" t="e">
        <f t="shared" si="131"/>
        <v>#DIV/0!</v>
      </c>
      <c r="AW90" s="543" t="e">
        <f t="shared" si="132"/>
        <v>#DIV/0!</v>
      </c>
      <c r="AX90" s="543">
        <f t="shared" si="133"/>
        <v>0</v>
      </c>
      <c r="AY90" s="543" t="e">
        <f t="shared" si="134"/>
        <v>#DIV/0!</v>
      </c>
      <c r="AZ90" s="641" t="s">
        <v>1464</v>
      </c>
      <c r="BA90" s="188">
        <v>0</v>
      </c>
      <c r="BB90" s="846"/>
      <c r="BC90" s="542">
        <v>0</v>
      </c>
      <c r="BD90" s="70"/>
      <c r="BE90" s="70"/>
      <c r="BF90" s="543" t="e">
        <f t="shared" si="136"/>
        <v>#DIV/0!</v>
      </c>
      <c r="BG90" s="543" t="e">
        <f t="shared" si="137"/>
        <v>#DIV/0!</v>
      </c>
      <c r="BH90" s="543">
        <f t="shared" si="138"/>
        <v>0</v>
      </c>
      <c r="BI90" s="543" t="e">
        <f t="shared" si="139"/>
        <v>#DIV/0!</v>
      </c>
      <c r="BJ90" s="543"/>
      <c r="BK90" s="188">
        <v>1</v>
      </c>
      <c r="BL90" s="846"/>
      <c r="BM90" s="542">
        <v>0</v>
      </c>
      <c r="BN90" s="541"/>
      <c r="BO90" s="541"/>
      <c r="BP90" s="543">
        <f t="shared" si="141"/>
        <v>0</v>
      </c>
      <c r="BQ90" s="543" t="e">
        <f t="shared" si="142"/>
        <v>#DIV/0!</v>
      </c>
      <c r="BR90" s="543">
        <f t="shared" si="143"/>
        <v>0</v>
      </c>
      <c r="BS90" s="543" t="e">
        <f t="shared" si="144"/>
        <v>#DIV/0!</v>
      </c>
      <c r="BT90" s="543"/>
      <c r="BU90" s="188">
        <v>0</v>
      </c>
      <c r="BV90" s="846"/>
      <c r="BW90" s="542">
        <v>0</v>
      </c>
      <c r="BX90" s="541"/>
      <c r="BY90" s="541"/>
      <c r="BZ90" s="547" t="e">
        <f t="shared" si="146"/>
        <v>#DIV/0!</v>
      </c>
      <c r="CA90" s="547" t="e">
        <f t="shared" si="147"/>
        <v>#DIV/0!</v>
      </c>
      <c r="CB90" s="547">
        <f t="shared" si="148"/>
        <v>0</v>
      </c>
      <c r="CC90" s="547" t="e">
        <f t="shared" si="149"/>
        <v>#DIV/0!</v>
      </c>
      <c r="CD90" s="547"/>
      <c r="CE90" s="546" t="str">
        <f t="shared" si="150"/>
        <v>No Prog ni Ejec</v>
      </c>
      <c r="CF90" s="546" t="str">
        <f t="shared" si="151"/>
        <v>No Prog ni Ejec</v>
      </c>
      <c r="CG90" s="546" t="str">
        <f t="shared" si="152"/>
        <v>No Prog ni Ejec</v>
      </c>
      <c r="CH90" s="546" t="str">
        <f t="shared" si="153"/>
        <v>No Prog ni Ejec</v>
      </c>
      <c r="CI90" s="546">
        <f t="shared" si="154"/>
        <v>0</v>
      </c>
      <c r="CJ90" s="546" t="str">
        <f t="shared" si="155"/>
        <v>No Prog ni Ejec</v>
      </c>
      <c r="CK90" s="546" t="str">
        <f t="shared" si="156"/>
        <v>No Prog ni Ejec</v>
      </c>
      <c r="CL90" s="546" t="str">
        <f t="shared" si="157"/>
        <v>No Prog ni Ejec</v>
      </c>
      <c r="CM90" s="157">
        <f t="shared" si="128"/>
        <v>0</v>
      </c>
      <c r="CU90" s="75">
        <v>4</v>
      </c>
    </row>
    <row r="91" spans="1:106" s="75" customFormat="1" ht="99.75" customHeight="1" x14ac:dyDescent="0.2">
      <c r="A91" s="541">
        <v>11700</v>
      </c>
      <c r="B91" s="544" t="s">
        <v>14</v>
      </c>
      <c r="C91" s="559" t="s">
        <v>530</v>
      </c>
      <c r="D91" s="559"/>
      <c r="E91" s="559"/>
      <c r="F91" s="559"/>
      <c r="G91" s="559" t="s">
        <v>1108</v>
      </c>
      <c r="H91" s="559"/>
      <c r="I91" s="559"/>
      <c r="J91" s="559"/>
      <c r="K91" s="559"/>
      <c r="L91" s="559" t="s">
        <v>1108</v>
      </c>
      <c r="M91" s="559"/>
      <c r="N91" s="559"/>
      <c r="O91" s="559"/>
      <c r="P91" s="559"/>
      <c r="Q91" s="540" t="s">
        <v>206</v>
      </c>
      <c r="R91" s="540" t="s">
        <v>206</v>
      </c>
      <c r="S91" s="541" t="s">
        <v>240</v>
      </c>
      <c r="T91" s="544" t="s">
        <v>94</v>
      </c>
      <c r="U91" s="544" t="s">
        <v>206</v>
      </c>
      <c r="V91" s="544" t="s">
        <v>206</v>
      </c>
      <c r="W91" s="541" t="s">
        <v>868</v>
      </c>
      <c r="X91" s="544" t="s">
        <v>818</v>
      </c>
      <c r="Y91" s="60" t="s">
        <v>411</v>
      </c>
      <c r="Z91" s="553">
        <v>4</v>
      </c>
      <c r="AA91" s="851" t="s">
        <v>850</v>
      </c>
      <c r="AB91" s="846" t="s">
        <v>836</v>
      </c>
      <c r="AC91" s="550">
        <v>0</v>
      </c>
      <c r="AD91" s="545"/>
      <c r="AE91" s="544" t="s">
        <v>16</v>
      </c>
      <c r="AF91" s="544" t="s">
        <v>21</v>
      </c>
      <c r="AG91" s="544" t="s">
        <v>206</v>
      </c>
      <c r="AH91" s="544" t="s">
        <v>678</v>
      </c>
      <c r="AI91" s="544" t="s">
        <v>77</v>
      </c>
      <c r="AJ91" s="544" t="s">
        <v>1409</v>
      </c>
      <c r="AK91" s="544" t="s">
        <v>838</v>
      </c>
      <c r="AL91" s="544" t="s">
        <v>43</v>
      </c>
      <c r="AM91" s="553">
        <v>4</v>
      </c>
      <c r="AN91" s="846" t="str">
        <f>+AB91</f>
        <v>Dar cumplimiento al Decreto 1083 de 2015 "Por medio del cual se expide el Decreto único reglamentario del Sector de Función Publica</v>
      </c>
      <c r="AO91" s="550">
        <f t="shared" si="158"/>
        <v>0</v>
      </c>
      <c r="AP91" s="548" t="s">
        <v>46</v>
      </c>
      <c r="AQ91" s="553">
        <v>1</v>
      </c>
      <c r="AR91" s="846" t="str">
        <f t="shared" si="130"/>
        <v>Dar cumplimiento al Decreto 1083 de 2015 "Por medio del cual se expide el Decreto único reglamentario del Sector de Función Publica</v>
      </c>
      <c r="AS91" s="557">
        <v>0</v>
      </c>
      <c r="AT91" s="587">
        <v>1</v>
      </c>
      <c r="AU91" s="614">
        <v>0</v>
      </c>
      <c r="AV91" s="543">
        <f t="shared" si="131"/>
        <v>1</v>
      </c>
      <c r="AW91" s="543" t="e">
        <f t="shared" si="132"/>
        <v>#DIV/0!</v>
      </c>
      <c r="AX91" s="543">
        <f t="shared" si="133"/>
        <v>0.25</v>
      </c>
      <c r="AY91" s="543" t="e">
        <f t="shared" si="134"/>
        <v>#DIV/0!</v>
      </c>
      <c r="AZ91" s="586" t="s">
        <v>1471</v>
      </c>
      <c r="BA91" s="553">
        <v>1</v>
      </c>
      <c r="BB91" s="846" t="str">
        <f t="shared" si="135"/>
        <v>Dar cumplimiento al Decreto 1083 de 2015 "Por medio del cual se expide el Decreto único reglamentario del Sector de Función Publica</v>
      </c>
      <c r="BC91" s="557">
        <f>+AO91</f>
        <v>0</v>
      </c>
      <c r="BD91" s="70"/>
      <c r="BE91" s="70"/>
      <c r="BF91" s="543">
        <f t="shared" si="136"/>
        <v>0</v>
      </c>
      <c r="BG91" s="543" t="e">
        <f t="shared" si="137"/>
        <v>#DIV/0!</v>
      </c>
      <c r="BH91" s="543">
        <f t="shared" si="138"/>
        <v>0.25</v>
      </c>
      <c r="BI91" s="543" t="e">
        <f t="shared" si="139"/>
        <v>#DIV/0!</v>
      </c>
      <c r="BJ91" s="543"/>
      <c r="BK91" s="553">
        <v>1</v>
      </c>
      <c r="BL91" s="846" t="str">
        <f t="shared" si="140"/>
        <v>Dar cumplimiento al Decreto 1083 de 2015 "Por medio del cual se expide el Decreto único reglamentario del Sector de Función Publica</v>
      </c>
      <c r="BM91" s="557">
        <f>+AO91</f>
        <v>0</v>
      </c>
      <c r="BN91" s="541"/>
      <c r="BO91" s="541"/>
      <c r="BP91" s="543">
        <f t="shared" si="141"/>
        <v>0</v>
      </c>
      <c r="BQ91" s="543" t="e">
        <f t="shared" si="142"/>
        <v>#DIV/0!</v>
      </c>
      <c r="BR91" s="543">
        <f t="shared" si="143"/>
        <v>0.25</v>
      </c>
      <c r="BS91" s="543" t="e">
        <f t="shared" si="144"/>
        <v>#DIV/0!</v>
      </c>
      <c r="BT91" s="543"/>
      <c r="BU91" s="553">
        <v>1</v>
      </c>
      <c r="BV91" s="846" t="str">
        <f t="shared" si="145"/>
        <v>Dar cumplimiento al Decreto 1083 de 2015 "Por medio del cual se expide el Decreto único reglamentario del Sector de Función Publica</v>
      </c>
      <c r="BW91" s="557">
        <f>+AO91</f>
        <v>0</v>
      </c>
      <c r="BX91" s="541"/>
      <c r="BY91" s="541"/>
      <c r="BZ91" s="547">
        <f t="shared" si="146"/>
        <v>0</v>
      </c>
      <c r="CA91" s="547" t="e">
        <f t="shared" si="147"/>
        <v>#DIV/0!</v>
      </c>
      <c r="CB91" s="547">
        <f t="shared" si="148"/>
        <v>0.25</v>
      </c>
      <c r="CC91" s="547" t="e">
        <f t="shared" si="149"/>
        <v>#DIV/0!</v>
      </c>
      <c r="CD91" s="547"/>
      <c r="CE91" s="546">
        <f t="shared" si="150"/>
        <v>1</v>
      </c>
      <c r="CF91" s="546" t="str">
        <f t="shared" si="151"/>
        <v>No Prog ni Ejec</v>
      </c>
      <c r="CG91" s="546">
        <f t="shared" si="152"/>
        <v>0</v>
      </c>
      <c r="CH91" s="546" t="str">
        <f t="shared" si="153"/>
        <v>No Prog ni Ejec</v>
      </c>
      <c r="CI91" s="546">
        <f t="shared" si="154"/>
        <v>0</v>
      </c>
      <c r="CJ91" s="546" t="str">
        <f t="shared" si="155"/>
        <v>No Prog ni Ejec</v>
      </c>
      <c r="CK91" s="546">
        <f t="shared" si="156"/>
        <v>0</v>
      </c>
      <c r="CL91" s="546" t="str">
        <f t="shared" si="157"/>
        <v>No Prog ni Ejec</v>
      </c>
      <c r="CM91" s="157">
        <f t="shared" si="128"/>
        <v>0</v>
      </c>
      <c r="CU91" s="75">
        <v>4</v>
      </c>
    </row>
    <row r="92" spans="1:106" s="75" customFormat="1" ht="104.25" customHeight="1" x14ac:dyDescent="0.2">
      <c r="A92" s="541">
        <v>11700</v>
      </c>
      <c r="B92" s="544" t="s">
        <v>14</v>
      </c>
      <c r="C92" s="559" t="s">
        <v>530</v>
      </c>
      <c r="D92" s="559"/>
      <c r="E92" s="559"/>
      <c r="F92" s="559"/>
      <c r="G92" s="559" t="s">
        <v>1108</v>
      </c>
      <c r="H92" s="559"/>
      <c r="I92" s="559"/>
      <c r="J92" s="559"/>
      <c r="K92" s="559"/>
      <c r="L92" s="559" t="s">
        <v>1108</v>
      </c>
      <c r="M92" s="559"/>
      <c r="N92" s="559"/>
      <c r="O92" s="559"/>
      <c r="P92" s="559"/>
      <c r="Q92" s="540" t="s">
        <v>206</v>
      </c>
      <c r="R92" s="540" t="s">
        <v>206</v>
      </c>
      <c r="S92" s="541" t="s">
        <v>240</v>
      </c>
      <c r="T92" s="544" t="s">
        <v>94</v>
      </c>
      <c r="U92" s="544" t="s">
        <v>206</v>
      </c>
      <c r="V92" s="544" t="s">
        <v>206</v>
      </c>
      <c r="W92" s="541" t="s">
        <v>1183</v>
      </c>
      <c r="X92" s="544" t="s">
        <v>819</v>
      </c>
      <c r="Y92" s="60" t="s">
        <v>411</v>
      </c>
      <c r="Z92" s="553">
        <v>1</v>
      </c>
      <c r="AA92" s="851"/>
      <c r="AB92" s="846"/>
      <c r="AC92" s="550">
        <v>0</v>
      </c>
      <c r="AD92" s="545"/>
      <c r="AE92" s="544" t="s">
        <v>16</v>
      </c>
      <c r="AF92" s="544" t="s">
        <v>21</v>
      </c>
      <c r="AG92" s="544" t="s">
        <v>206</v>
      </c>
      <c r="AH92" s="544" t="s">
        <v>678</v>
      </c>
      <c r="AI92" s="544" t="s">
        <v>77</v>
      </c>
      <c r="AJ92" s="544" t="s">
        <v>1409</v>
      </c>
      <c r="AK92" s="544" t="s">
        <v>839</v>
      </c>
      <c r="AL92" s="544" t="s">
        <v>43</v>
      </c>
      <c r="AM92" s="553">
        <v>1</v>
      </c>
      <c r="AN92" s="846"/>
      <c r="AO92" s="550">
        <f t="shared" si="158"/>
        <v>0</v>
      </c>
      <c r="AP92" s="548" t="s">
        <v>46</v>
      </c>
      <c r="AQ92" s="553">
        <v>0</v>
      </c>
      <c r="AR92" s="846"/>
      <c r="AS92" s="557">
        <v>0</v>
      </c>
      <c r="AT92" s="573">
        <v>0</v>
      </c>
      <c r="AU92" s="608">
        <v>0</v>
      </c>
      <c r="AV92" s="543" t="e">
        <f t="shared" si="131"/>
        <v>#DIV/0!</v>
      </c>
      <c r="AW92" s="543" t="e">
        <f t="shared" si="132"/>
        <v>#DIV/0!</v>
      </c>
      <c r="AX92" s="543">
        <f t="shared" si="133"/>
        <v>0</v>
      </c>
      <c r="AY92" s="543" t="e">
        <f t="shared" si="134"/>
        <v>#DIV/0!</v>
      </c>
      <c r="AZ92" s="641" t="s">
        <v>1464</v>
      </c>
      <c r="BA92" s="553">
        <v>0</v>
      </c>
      <c r="BB92" s="846"/>
      <c r="BC92" s="557">
        <f>+AO92</f>
        <v>0</v>
      </c>
      <c r="BD92" s="70"/>
      <c r="BE92" s="70"/>
      <c r="BF92" s="543" t="e">
        <f t="shared" si="136"/>
        <v>#DIV/0!</v>
      </c>
      <c r="BG92" s="543" t="e">
        <f t="shared" si="137"/>
        <v>#DIV/0!</v>
      </c>
      <c r="BH92" s="543">
        <f t="shared" si="138"/>
        <v>0</v>
      </c>
      <c r="BI92" s="543" t="e">
        <f t="shared" si="139"/>
        <v>#DIV/0!</v>
      </c>
      <c r="BJ92" s="543"/>
      <c r="BK92" s="188">
        <v>1</v>
      </c>
      <c r="BL92" s="846"/>
      <c r="BM92" s="557">
        <f>+AO92</f>
        <v>0</v>
      </c>
      <c r="BN92" s="541"/>
      <c r="BO92" s="541"/>
      <c r="BP92" s="543">
        <f t="shared" si="141"/>
        <v>0</v>
      </c>
      <c r="BQ92" s="543" t="e">
        <f t="shared" si="142"/>
        <v>#DIV/0!</v>
      </c>
      <c r="BR92" s="543">
        <f t="shared" si="143"/>
        <v>0</v>
      </c>
      <c r="BS92" s="543" t="e">
        <f t="shared" si="144"/>
        <v>#DIV/0!</v>
      </c>
      <c r="BT92" s="543"/>
      <c r="BU92" s="553">
        <v>0</v>
      </c>
      <c r="BV92" s="846"/>
      <c r="BW92" s="557">
        <f>+AO92</f>
        <v>0</v>
      </c>
      <c r="BX92" s="541"/>
      <c r="BY92" s="541"/>
      <c r="BZ92" s="547" t="e">
        <f t="shared" si="146"/>
        <v>#DIV/0!</v>
      </c>
      <c r="CA92" s="547" t="e">
        <f t="shared" si="147"/>
        <v>#DIV/0!</v>
      </c>
      <c r="CB92" s="547">
        <f t="shared" si="148"/>
        <v>0</v>
      </c>
      <c r="CC92" s="547" t="e">
        <f t="shared" si="149"/>
        <v>#DIV/0!</v>
      </c>
      <c r="CD92" s="547"/>
      <c r="CE92" s="546" t="str">
        <f t="shared" si="150"/>
        <v>No Prog ni Ejec</v>
      </c>
      <c r="CF92" s="546" t="str">
        <f t="shared" si="151"/>
        <v>No Prog ni Ejec</v>
      </c>
      <c r="CG92" s="546" t="str">
        <f t="shared" si="152"/>
        <v>No Prog ni Ejec</v>
      </c>
      <c r="CH92" s="546" t="str">
        <f t="shared" si="153"/>
        <v>No Prog ni Ejec</v>
      </c>
      <c r="CI92" s="546">
        <f t="shared" si="154"/>
        <v>0</v>
      </c>
      <c r="CJ92" s="546" t="str">
        <f t="shared" si="155"/>
        <v>No Prog ni Ejec</v>
      </c>
      <c r="CK92" s="546" t="str">
        <f t="shared" si="156"/>
        <v>No Prog ni Ejec</v>
      </c>
      <c r="CL92" s="546" t="str">
        <f t="shared" si="157"/>
        <v>No Prog ni Ejec</v>
      </c>
      <c r="CM92" s="157">
        <f t="shared" si="128"/>
        <v>0</v>
      </c>
      <c r="CU92" s="75">
        <v>4</v>
      </c>
    </row>
    <row r="93" spans="1:106" s="75" customFormat="1" ht="89.25" customHeight="1" x14ac:dyDescent="0.2">
      <c r="A93" s="541">
        <v>11700</v>
      </c>
      <c r="B93" s="544" t="s">
        <v>14</v>
      </c>
      <c r="C93" s="544" t="s">
        <v>337</v>
      </c>
      <c r="D93" s="544"/>
      <c r="E93" s="544"/>
      <c r="F93" s="544" t="s">
        <v>1108</v>
      </c>
      <c r="G93" s="544"/>
      <c r="H93" s="544" t="s">
        <v>1108</v>
      </c>
      <c r="I93" s="544"/>
      <c r="J93" s="544"/>
      <c r="K93" s="544"/>
      <c r="L93" s="544" t="s">
        <v>1108</v>
      </c>
      <c r="M93" s="544"/>
      <c r="N93" s="544"/>
      <c r="O93" s="544"/>
      <c r="P93" s="544"/>
      <c r="Q93" s="540" t="s">
        <v>206</v>
      </c>
      <c r="R93" s="540" t="s">
        <v>206</v>
      </c>
      <c r="S93" s="541" t="s">
        <v>240</v>
      </c>
      <c r="T93" s="544" t="s">
        <v>94</v>
      </c>
      <c r="U93" s="544" t="s">
        <v>206</v>
      </c>
      <c r="V93" s="544" t="s">
        <v>206</v>
      </c>
      <c r="W93" s="541" t="s">
        <v>869</v>
      </c>
      <c r="X93" s="544" t="s">
        <v>893</v>
      </c>
      <c r="Y93" s="60" t="s">
        <v>411</v>
      </c>
      <c r="Z93" s="553">
        <v>1</v>
      </c>
      <c r="AA93" s="851" t="s">
        <v>851</v>
      </c>
      <c r="AB93" s="846" t="s">
        <v>887</v>
      </c>
      <c r="AC93" s="857">
        <v>55000000</v>
      </c>
      <c r="AD93" s="858">
        <v>1</v>
      </c>
      <c r="AE93" s="846" t="s">
        <v>16</v>
      </c>
      <c r="AF93" s="846" t="s">
        <v>21</v>
      </c>
      <c r="AG93" s="846" t="s">
        <v>206</v>
      </c>
      <c r="AH93" s="846" t="s">
        <v>678</v>
      </c>
      <c r="AI93" s="846" t="s">
        <v>77</v>
      </c>
      <c r="AJ93" s="544" t="s">
        <v>1408</v>
      </c>
      <c r="AK93" s="404" t="s">
        <v>903</v>
      </c>
      <c r="AL93" s="846" t="s">
        <v>43</v>
      </c>
      <c r="AM93" s="553">
        <v>1</v>
      </c>
      <c r="AN93" s="846" t="str">
        <f>+AB93</f>
        <v xml:space="preserve">Realizar actividades orientadas a fomentar la integración, respeto, tolerancia, sana competencia, esparcimiento y participación en las actividades deportivas, mejorando el estado físico y mental de los funcionarios. </v>
      </c>
      <c r="AO93" s="857">
        <v>55000000</v>
      </c>
      <c r="AP93" s="548" t="s">
        <v>46</v>
      </c>
      <c r="AQ93" s="553">
        <v>0</v>
      </c>
      <c r="AR93" s="846" t="str">
        <f>+AN93</f>
        <v xml:space="preserve">Realizar actividades orientadas a fomentar la integración, respeto, tolerancia, sana competencia, esparcimiento y participación en las actividades deportivas, mejorando el estado físico y mental de los funcionarios. </v>
      </c>
      <c r="AS93" s="558">
        <v>0</v>
      </c>
      <c r="AT93" s="573">
        <v>0</v>
      </c>
      <c r="AU93" s="608">
        <v>0</v>
      </c>
      <c r="AV93" s="543" t="e">
        <f>+(AT93/AQ93)</f>
        <v>#DIV/0!</v>
      </c>
      <c r="AW93" s="543" t="e">
        <f>+(AU93/AS93)</f>
        <v>#DIV/0!</v>
      </c>
      <c r="AX93" s="543">
        <f>+(AT93/AM93)</f>
        <v>0</v>
      </c>
      <c r="AY93" s="543">
        <f>+(AU93/AO93)</f>
        <v>0</v>
      </c>
      <c r="AZ93" s="641" t="s">
        <v>1464</v>
      </c>
      <c r="BA93" s="188">
        <v>1</v>
      </c>
      <c r="BB93" s="846" t="str">
        <f>+AN93</f>
        <v xml:space="preserve">Realizar actividades orientadas a fomentar la integración, respeto, tolerancia, sana competencia, esparcimiento y participación en las actividades deportivas, mejorando el estado físico y mental de los funcionarios. </v>
      </c>
      <c r="BC93" s="542">
        <v>11000000</v>
      </c>
      <c r="BD93" s="70"/>
      <c r="BE93" s="70"/>
      <c r="BF93" s="543">
        <f>+(BD93/BA93)</f>
        <v>0</v>
      </c>
      <c r="BG93" s="543">
        <f>+(BE93/BC93)</f>
        <v>0</v>
      </c>
      <c r="BH93" s="543">
        <f>+(BD93+AT93)/AM93</f>
        <v>0</v>
      </c>
      <c r="BI93" s="543">
        <f>+(BE93+AU93)/AO93</f>
        <v>0</v>
      </c>
      <c r="BJ93" s="543"/>
      <c r="BK93" s="188">
        <v>0</v>
      </c>
      <c r="BL93" s="846" t="str">
        <f>+AN93</f>
        <v xml:space="preserve">Realizar actividades orientadas a fomentar la integración, respeto, tolerancia, sana competencia, esparcimiento y participación en las actividades deportivas, mejorando el estado físico y mental de los funcionarios. </v>
      </c>
      <c r="BM93" s="542">
        <v>0</v>
      </c>
      <c r="BN93" s="541"/>
      <c r="BO93" s="541"/>
      <c r="BP93" s="543" t="e">
        <f>+(BN93/BK93)</f>
        <v>#DIV/0!</v>
      </c>
      <c r="BQ93" s="543" t="e">
        <f>+(BO93/BM93)</f>
        <v>#DIV/0!</v>
      </c>
      <c r="BR93" s="543">
        <f>+(BD93+AT93+BN93)/AM93</f>
        <v>0</v>
      </c>
      <c r="BS93" s="543">
        <f>+(BE93+AU93+BO93)/AO93</f>
        <v>0</v>
      </c>
      <c r="BT93" s="543"/>
      <c r="BU93" s="188">
        <v>0</v>
      </c>
      <c r="BV93" s="846" t="str">
        <f>+AN93</f>
        <v xml:space="preserve">Realizar actividades orientadas a fomentar la integración, respeto, tolerancia, sana competencia, esparcimiento y participación en las actividades deportivas, mejorando el estado físico y mental de los funcionarios. </v>
      </c>
      <c r="BW93" s="542">
        <v>0</v>
      </c>
      <c r="BX93" s="541"/>
      <c r="BY93" s="541"/>
      <c r="BZ93" s="547" t="e">
        <f>+(BX93/BU93)</f>
        <v>#DIV/0!</v>
      </c>
      <c r="CA93" s="547" t="e">
        <f>+(BY93/BW93)</f>
        <v>#DIV/0!</v>
      </c>
      <c r="CB93" s="547">
        <f>+(BD93+AT93+BN93+BX93)/AM93</f>
        <v>0</v>
      </c>
      <c r="CC93" s="547">
        <f>+(BE93+AU93+BO93+BY93)/AO93</f>
        <v>0</v>
      </c>
      <c r="CD93" s="547"/>
      <c r="CE93" s="546" t="str">
        <f t="shared" si="150"/>
        <v>No Prog ni Ejec</v>
      </c>
      <c r="CF93" s="546" t="str">
        <f t="shared" si="151"/>
        <v>No Prog ni Ejec</v>
      </c>
      <c r="CG93" s="546">
        <f t="shared" si="152"/>
        <v>0</v>
      </c>
      <c r="CH93" s="546">
        <f t="shared" si="153"/>
        <v>0</v>
      </c>
      <c r="CI93" s="546" t="str">
        <f t="shared" si="154"/>
        <v>No Prog ni Ejec</v>
      </c>
      <c r="CJ93" s="546" t="str">
        <f t="shared" si="155"/>
        <v>No Prog ni Ejec</v>
      </c>
      <c r="CK93" s="546" t="str">
        <f t="shared" si="156"/>
        <v>No Prog ni Ejec</v>
      </c>
      <c r="CL93" s="546" t="str">
        <f t="shared" si="157"/>
        <v>No Prog ni Ejec</v>
      </c>
      <c r="CM93" s="157">
        <f>+AC93-AS93-BC93-BM93-BW93</f>
        <v>44000000</v>
      </c>
      <c r="CX93" s="75">
        <v>7</v>
      </c>
      <c r="DB93" s="75">
        <v>11</v>
      </c>
    </row>
    <row r="94" spans="1:106" s="75" customFormat="1" ht="89.25" x14ac:dyDescent="0.2">
      <c r="A94" s="541">
        <v>11700</v>
      </c>
      <c r="B94" s="544" t="s">
        <v>14</v>
      </c>
      <c r="C94" s="544" t="s">
        <v>337</v>
      </c>
      <c r="D94" s="544"/>
      <c r="E94" s="544"/>
      <c r="F94" s="544" t="s">
        <v>1108</v>
      </c>
      <c r="G94" s="544"/>
      <c r="H94" s="544" t="s">
        <v>1108</v>
      </c>
      <c r="I94" s="544"/>
      <c r="J94" s="544"/>
      <c r="K94" s="544"/>
      <c r="L94" s="544" t="s">
        <v>1108</v>
      </c>
      <c r="M94" s="544"/>
      <c r="N94" s="544"/>
      <c r="O94" s="544"/>
      <c r="P94" s="544"/>
      <c r="Q94" s="540" t="s">
        <v>206</v>
      </c>
      <c r="R94" s="540" t="s">
        <v>206</v>
      </c>
      <c r="S94" s="541" t="s">
        <v>240</v>
      </c>
      <c r="T94" s="544" t="s">
        <v>94</v>
      </c>
      <c r="U94" s="544" t="s">
        <v>206</v>
      </c>
      <c r="V94" s="544" t="s">
        <v>206</v>
      </c>
      <c r="W94" s="541" t="s">
        <v>1184</v>
      </c>
      <c r="X94" s="544" t="s">
        <v>894</v>
      </c>
      <c r="Y94" s="60" t="s">
        <v>411</v>
      </c>
      <c r="Z94" s="553">
        <v>1</v>
      </c>
      <c r="AA94" s="851"/>
      <c r="AB94" s="846"/>
      <c r="AC94" s="857"/>
      <c r="AD94" s="858"/>
      <c r="AE94" s="846"/>
      <c r="AF94" s="846"/>
      <c r="AG94" s="846"/>
      <c r="AH94" s="846"/>
      <c r="AI94" s="846"/>
      <c r="AJ94" s="544" t="s">
        <v>1408</v>
      </c>
      <c r="AK94" s="404" t="s">
        <v>903</v>
      </c>
      <c r="AL94" s="846"/>
      <c r="AM94" s="553">
        <v>1</v>
      </c>
      <c r="AN94" s="846"/>
      <c r="AO94" s="857"/>
      <c r="AP94" s="548" t="s">
        <v>46</v>
      </c>
      <c r="AQ94" s="553">
        <v>0</v>
      </c>
      <c r="AR94" s="846"/>
      <c r="AS94" s="558">
        <v>0</v>
      </c>
      <c r="AT94" s="573">
        <v>0</v>
      </c>
      <c r="AU94" s="608">
        <v>0</v>
      </c>
      <c r="AV94" s="543" t="e">
        <f t="shared" ref="AV94:AV115" si="159">+(AT94/AQ94)</f>
        <v>#DIV/0!</v>
      </c>
      <c r="AW94" s="543" t="e">
        <f t="shared" ref="AW94:AW115" si="160">+(AU94/AS94)</f>
        <v>#DIV/0!</v>
      </c>
      <c r="AX94" s="543">
        <f t="shared" ref="AX94:AX115" si="161">+(AT94/AM94)</f>
        <v>0</v>
      </c>
      <c r="AY94" s="543">
        <f>+(AU94/AO93)</f>
        <v>0</v>
      </c>
      <c r="AZ94" s="641" t="s">
        <v>1464</v>
      </c>
      <c r="BA94" s="188">
        <v>1</v>
      </c>
      <c r="BB94" s="846"/>
      <c r="BC94" s="542">
        <v>11000000</v>
      </c>
      <c r="BD94" s="70"/>
      <c r="BE94" s="70"/>
      <c r="BF94" s="543">
        <f t="shared" ref="BF94:BF115" si="162">+(BD94/BA94)</f>
        <v>0</v>
      </c>
      <c r="BG94" s="543">
        <f t="shared" ref="BG94:BG115" si="163">+(BE94/BC94)</f>
        <v>0</v>
      </c>
      <c r="BH94" s="543">
        <f t="shared" ref="BH94:BH115" si="164">+(BD94+AT94)/AM94</f>
        <v>0</v>
      </c>
      <c r="BI94" s="543">
        <f>+(BE94+AU94)/AO93</f>
        <v>0</v>
      </c>
      <c r="BJ94" s="543"/>
      <c r="BK94" s="188">
        <v>0</v>
      </c>
      <c r="BL94" s="846"/>
      <c r="BM94" s="542">
        <v>0</v>
      </c>
      <c r="BN94" s="541"/>
      <c r="BO94" s="541"/>
      <c r="BP94" s="543" t="e">
        <f t="shared" ref="BP94:BP115" si="165">+(BN94/BK94)</f>
        <v>#DIV/0!</v>
      </c>
      <c r="BQ94" s="543" t="e">
        <f t="shared" ref="BQ94:BQ115" si="166">+(BO94/BM94)</f>
        <v>#DIV/0!</v>
      </c>
      <c r="BR94" s="543">
        <f t="shared" ref="BR94:BR115" si="167">+(BD94+AT94+BN94)/AM94</f>
        <v>0</v>
      </c>
      <c r="BS94" s="543">
        <f>+(BE94+AU94+BO94)/AO93</f>
        <v>0</v>
      </c>
      <c r="BT94" s="543"/>
      <c r="BU94" s="188">
        <v>0</v>
      </c>
      <c r="BV94" s="846"/>
      <c r="BW94" s="542">
        <v>0</v>
      </c>
      <c r="BX94" s="541"/>
      <c r="BY94" s="541"/>
      <c r="BZ94" s="547" t="e">
        <f t="shared" ref="BZ94:BZ115" si="168">+(BX94/BU94)</f>
        <v>#DIV/0!</v>
      </c>
      <c r="CA94" s="547" t="e">
        <f t="shared" ref="CA94:CA115" si="169">+(BY94/BW94)</f>
        <v>#DIV/0!</v>
      </c>
      <c r="CB94" s="547">
        <f t="shared" ref="CB94:CB115" si="170">+(BD94+AT94+BN94+BX94)/AM94</f>
        <v>0</v>
      </c>
      <c r="CC94" s="547">
        <f>+(BE94+AU94+BO94+BY94)/AO93</f>
        <v>0</v>
      </c>
      <c r="CD94" s="547"/>
      <c r="CE94" s="546" t="str">
        <f t="shared" si="150"/>
        <v>No Prog ni Ejec</v>
      </c>
      <c r="CF94" s="546" t="str">
        <f t="shared" si="151"/>
        <v>No Prog ni Ejec</v>
      </c>
      <c r="CG94" s="546">
        <f t="shared" si="152"/>
        <v>0</v>
      </c>
      <c r="CH94" s="546">
        <f t="shared" si="153"/>
        <v>0</v>
      </c>
      <c r="CI94" s="546" t="str">
        <f t="shared" si="154"/>
        <v>No Prog ni Ejec</v>
      </c>
      <c r="CJ94" s="546" t="str">
        <f t="shared" si="155"/>
        <v>No Prog ni Ejec</v>
      </c>
      <c r="CK94" s="546" t="str">
        <f t="shared" si="156"/>
        <v>No Prog ni Ejec</v>
      </c>
      <c r="CL94" s="546" t="str">
        <f t="shared" si="157"/>
        <v>No Prog ni Ejec</v>
      </c>
      <c r="CM94" s="157">
        <f>+AC93-(AS94+AS95+AS96+AS97+BC94+BC95+BC96+BC97+BM94+BM95+BM96+BM96+BW94+BW95+BW96+BW97)</f>
        <v>0</v>
      </c>
      <c r="CX94" s="75">
        <v>7</v>
      </c>
      <c r="DB94" s="75">
        <v>11</v>
      </c>
    </row>
    <row r="95" spans="1:106" s="75" customFormat="1" ht="102" customHeight="1" x14ac:dyDescent="0.2">
      <c r="A95" s="541">
        <v>11700</v>
      </c>
      <c r="B95" s="544" t="s">
        <v>14</v>
      </c>
      <c r="C95" s="544" t="s">
        <v>337</v>
      </c>
      <c r="D95" s="544"/>
      <c r="E95" s="544"/>
      <c r="F95" s="544" t="s">
        <v>1108</v>
      </c>
      <c r="G95" s="544"/>
      <c r="H95" s="544" t="s">
        <v>1108</v>
      </c>
      <c r="I95" s="544"/>
      <c r="J95" s="544"/>
      <c r="K95" s="544"/>
      <c r="L95" s="544" t="s">
        <v>1108</v>
      </c>
      <c r="M95" s="544"/>
      <c r="N95" s="544"/>
      <c r="O95" s="544"/>
      <c r="P95" s="544"/>
      <c r="Q95" s="540" t="s">
        <v>206</v>
      </c>
      <c r="R95" s="540" t="s">
        <v>206</v>
      </c>
      <c r="S95" s="541" t="s">
        <v>240</v>
      </c>
      <c r="T95" s="544" t="s">
        <v>94</v>
      </c>
      <c r="U95" s="544" t="s">
        <v>206</v>
      </c>
      <c r="V95" s="544" t="s">
        <v>206</v>
      </c>
      <c r="W95" s="541" t="s">
        <v>1185</v>
      </c>
      <c r="X95" s="544" t="s">
        <v>895</v>
      </c>
      <c r="Y95" s="60" t="s">
        <v>411</v>
      </c>
      <c r="Z95" s="553">
        <v>1</v>
      </c>
      <c r="AA95" s="851"/>
      <c r="AB95" s="846"/>
      <c r="AC95" s="857"/>
      <c r="AD95" s="858"/>
      <c r="AE95" s="846"/>
      <c r="AF95" s="846"/>
      <c r="AG95" s="846"/>
      <c r="AH95" s="846"/>
      <c r="AI95" s="846"/>
      <c r="AJ95" s="544" t="s">
        <v>1408</v>
      </c>
      <c r="AK95" s="404" t="s">
        <v>903</v>
      </c>
      <c r="AL95" s="846"/>
      <c r="AM95" s="553">
        <v>1</v>
      </c>
      <c r="AN95" s="846"/>
      <c r="AO95" s="857"/>
      <c r="AP95" s="548" t="s">
        <v>46</v>
      </c>
      <c r="AQ95" s="553">
        <v>0</v>
      </c>
      <c r="AR95" s="846"/>
      <c r="AS95" s="558">
        <v>0</v>
      </c>
      <c r="AT95" s="573">
        <v>0</v>
      </c>
      <c r="AU95" s="608">
        <v>0</v>
      </c>
      <c r="AV95" s="543" t="e">
        <f t="shared" si="159"/>
        <v>#DIV/0!</v>
      </c>
      <c r="AW95" s="543" t="e">
        <f>+(AU95/AS95)</f>
        <v>#DIV/0!</v>
      </c>
      <c r="AX95" s="543">
        <f t="shared" si="161"/>
        <v>0</v>
      </c>
      <c r="AY95" s="543">
        <f>+(AU95/AO93)</f>
        <v>0</v>
      </c>
      <c r="AZ95" s="641" t="s">
        <v>1464</v>
      </c>
      <c r="BA95" s="188">
        <v>0</v>
      </c>
      <c r="BB95" s="846"/>
      <c r="BC95" s="542">
        <v>0</v>
      </c>
      <c r="BD95" s="70"/>
      <c r="BE95" s="70"/>
      <c r="BF95" s="543" t="e">
        <f t="shared" si="162"/>
        <v>#DIV/0!</v>
      </c>
      <c r="BG95" s="543" t="e">
        <f t="shared" si="163"/>
        <v>#DIV/0!</v>
      </c>
      <c r="BH95" s="543">
        <f t="shared" si="164"/>
        <v>0</v>
      </c>
      <c r="BI95" s="543">
        <f>+(BE95+AU95)/AO93</f>
        <v>0</v>
      </c>
      <c r="BJ95" s="543"/>
      <c r="BK95" s="188">
        <v>1</v>
      </c>
      <c r="BL95" s="846"/>
      <c r="BM95" s="542">
        <v>11000000</v>
      </c>
      <c r="BN95" s="541"/>
      <c r="BO95" s="541"/>
      <c r="BP95" s="543">
        <f t="shared" si="165"/>
        <v>0</v>
      </c>
      <c r="BQ95" s="543">
        <f t="shared" si="166"/>
        <v>0</v>
      </c>
      <c r="BR95" s="543">
        <f t="shared" si="167"/>
        <v>0</v>
      </c>
      <c r="BS95" s="543">
        <f>+(BE95+AU95+BO95)/AO93</f>
        <v>0</v>
      </c>
      <c r="BT95" s="543"/>
      <c r="BU95" s="188">
        <v>0</v>
      </c>
      <c r="BV95" s="846"/>
      <c r="BW95" s="542">
        <v>0</v>
      </c>
      <c r="BX95" s="541"/>
      <c r="BY95" s="541"/>
      <c r="BZ95" s="547" t="e">
        <f t="shared" si="168"/>
        <v>#DIV/0!</v>
      </c>
      <c r="CA95" s="547" t="e">
        <f t="shared" si="169"/>
        <v>#DIV/0!</v>
      </c>
      <c r="CB95" s="547">
        <f t="shared" si="170"/>
        <v>0</v>
      </c>
      <c r="CC95" s="547">
        <f>+(BE95+AU95+BO95+BY95)/AO93</f>
        <v>0</v>
      </c>
      <c r="CD95" s="547"/>
      <c r="CE95" s="546" t="str">
        <f t="shared" si="150"/>
        <v>No Prog ni Ejec</v>
      </c>
      <c r="CF95" s="546" t="str">
        <f t="shared" si="151"/>
        <v>No Prog ni Ejec</v>
      </c>
      <c r="CG95" s="546" t="str">
        <f t="shared" si="152"/>
        <v>No Prog ni Ejec</v>
      </c>
      <c r="CH95" s="546" t="str">
        <f t="shared" si="153"/>
        <v>No Prog ni Ejec</v>
      </c>
      <c r="CI95" s="546">
        <f t="shared" si="154"/>
        <v>0</v>
      </c>
      <c r="CJ95" s="546">
        <f t="shared" si="155"/>
        <v>0</v>
      </c>
      <c r="CK95" s="546" t="str">
        <f t="shared" si="156"/>
        <v>No Prog ni Ejec</v>
      </c>
      <c r="CL95" s="546" t="str">
        <f t="shared" si="157"/>
        <v>No Prog ni Ejec</v>
      </c>
      <c r="CM95" s="157"/>
      <c r="CX95" s="75">
        <v>7</v>
      </c>
      <c r="DB95" s="75">
        <v>11</v>
      </c>
    </row>
    <row r="96" spans="1:106" s="75" customFormat="1" ht="105.75" customHeight="1" x14ac:dyDescent="0.2">
      <c r="A96" s="541">
        <v>11700</v>
      </c>
      <c r="B96" s="544" t="s">
        <v>14</v>
      </c>
      <c r="C96" s="544" t="s">
        <v>337</v>
      </c>
      <c r="D96" s="544"/>
      <c r="E96" s="544"/>
      <c r="F96" s="544" t="s">
        <v>1108</v>
      </c>
      <c r="G96" s="544"/>
      <c r="H96" s="544" t="s">
        <v>1108</v>
      </c>
      <c r="I96" s="544"/>
      <c r="J96" s="544"/>
      <c r="K96" s="544"/>
      <c r="L96" s="544" t="s">
        <v>1108</v>
      </c>
      <c r="M96" s="544"/>
      <c r="N96" s="544"/>
      <c r="O96" s="544"/>
      <c r="P96" s="544"/>
      <c r="Q96" s="540" t="s">
        <v>206</v>
      </c>
      <c r="R96" s="540" t="s">
        <v>206</v>
      </c>
      <c r="S96" s="541" t="s">
        <v>240</v>
      </c>
      <c r="T96" s="544" t="s">
        <v>94</v>
      </c>
      <c r="U96" s="544" t="s">
        <v>206</v>
      </c>
      <c r="V96" s="544" t="s">
        <v>206</v>
      </c>
      <c r="W96" s="541" t="s">
        <v>1186</v>
      </c>
      <c r="X96" s="544" t="s">
        <v>896</v>
      </c>
      <c r="Y96" s="60" t="s">
        <v>411</v>
      </c>
      <c r="Z96" s="553">
        <v>1</v>
      </c>
      <c r="AA96" s="851"/>
      <c r="AB96" s="846"/>
      <c r="AC96" s="857"/>
      <c r="AD96" s="858"/>
      <c r="AE96" s="846"/>
      <c r="AF96" s="846"/>
      <c r="AG96" s="846"/>
      <c r="AH96" s="846"/>
      <c r="AI96" s="846"/>
      <c r="AJ96" s="544" t="s">
        <v>1408</v>
      </c>
      <c r="AK96" s="404" t="s">
        <v>903</v>
      </c>
      <c r="AL96" s="846"/>
      <c r="AM96" s="553">
        <v>1</v>
      </c>
      <c r="AN96" s="846"/>
      <c r="AO96" s="857"/>
      <c r="AP96" s="548" t="s">
        <v>46</v>
      </c>
      <c r="AQ96" s="553">
        <v>0</v>
      </c>
      <c r="AR96" s="846"/>
      <c r="AS96" s="558">
        <v>0</v>
      </c>
      <c r="AT96" s="573">
        <v>0</v>
      </c>
      <c r="AU96" s="608">
        <v>0</v>
      </c>
      <c r="AV96" s="543" t="e">
        <f t="shared" si="159"/>
        <v>#DIV/0!</v>
      </c>
      <c r="AW96" s="543" t="e">
        <f t="shared" si="160"/>
        <v>#DIV/0!</v>
      </c>
      <c r="AX96" s="543">
        <f t="shared" si="161"/>
        <v>0</v>
      </c>
      <c r="AY96" s="543">
        <f>+(AU96/AO93)</f>
        <v>0</v>
      </c>
      <c r="AZ96" s="641" t="s">
        <v>1464</v>
      </c>
      <c r="BA96" s="188">
        <v>0</v>
      </c>
      <c r="BB96" s="846"/>
      <c r="BC96" s="542">
        <v>0</v>
      </c>
      <c r="BD96" s="70"/>
      <c r="BE96" s="70"/>
      <c r="BF96" s="543" t="e">
        <f t="shared" si="162"/>
        <v>#DIV/0!</v>
      </c>
      <c r="BG96" s="543" t="e">
        <f t="shared" si="163"/>
        <v>#DIV/0!</v>
      </c>
      <c r="BH96" s="543">
        <f t="shared" si="164"/>
        <v>0</v>
      </c>
      <c r="BI96" s="543">
        <f>+(BE96+AU96)/AO93</f>
        <v>0</v>
      </c>
      <c r="BJ96" s="543"/>
      <c r="BK96" s="188">
        <v>1</v>
      </c>
      <c r="BL96" s="846"/>
      <c r="BM96" s="542">
        <v>11000000</v>
      </c>
      <c r="BN96" s="541"/>
      <c r="BO96" s="541"/>
      <c r="BP96" s="543">
        <f t="shared" si="165"/>
        <v>0</v>
      </c>
      <c r="BQ96" s="543">
        <f t="shared" si="166"/>
        <v>0</v>
      </c>
      <c r="BR96" s="543">
        <f t="shared" si="167"/>
        <v>0</v>
      </c>
      <c r="BS96" s="543">
        <f>+(BE96+AU96+BO96)/AO93</f>
        <v>0</v>
      </c>
      <c r="BT96" s="543"/>
      <c r="BU96" s="188">
        <v>0</v>
      </c>
      <c r="BV96" s="846"/>
      <c r="BW96" s="542">
        <v>0</v>
      </c>
      <c r="BX96" s="541"/>
      <c r="BY96" s="541"/>
      <c r="BZ96" s="547" t="e">
        <f t="shared" si="168"/>
        <v>#DIV/0!</v>
      </c>
      <c r="CA96" s="547" t="e">
        <f t="shared" si="169"/>
        <v>#DIV/0!</v>
      </c>
      <c r="CB96" s="547">
        <f t="shared" si="170"/>
        <v>0</v>
      </c>
      <c r="CC96" s="547">
        <f>+(BE96+AU96+BO96+BY96)/AO93</f>
        <v>0</v>
      </c>
      <c r="CD96" s="547"/>
      <c r="CE96" s="546" t="str">
        <f t="shared" si="150"/>
        <v>No Prog ni Ejec</v>
      </c>
      <c r="CF96" s="546" t="str">
        <f t="shared" si="151"/>
        <v>No Prog ni Ejec</v>
      </c>
      <c r="CG96" s="546" t="str">
        <f t="shared" si="152"/>
        <v>No Prog ni Ejec</v>
      </c>
      <c r="CH96" s="546" t="str">
        <f t="shared" si="153"/>
        <v>No Prog ni Ejec</v>
      </c>
      <c r="CI96" s="546">
        <f t="shared" si="154"/>
        <v>0</v>
      </c>
      <c r="CJ96" s="546">
        <f t="shared" si="155"/>
        <v>0</v>
      </c>
      <c r="CK96" s="546" t="str">
        <f t="shared" si="156"/>
        <v>No Prog ni Ejec</v>
      </c>
      <c r="CL96" s="546" t="str">
        <f t="shared" si="157"/>
        <v>No Prog ni Ejec</v>
      </c>
      <c r="CM96" s="157"/>
      <c r="CX96" s="75">
        <v>7</v>
      </c>
      <c r="DB96" s="75">
        <v>11</v>
      </c>
    </row>
    <row r="97" spans="1:106" s="75" customFormat="1" ht="104.25" customHeight="1" x14ac:dyDescent="0.2">
      <c r="A97" s="541">
        <v>11700</v>
      </c>
      <c r="B97" s="544" t="s">
        <v>14</v>
      </c>
      <c r="C97" s="544" t="s">
        <v>337</v>
      </c>
      <c r="D97" s="544"/>
      <c r="E97" s="544"/>
      <c r="F97" s="544" t="s">
        <v>1108</v>
      </c>
      <c r="G97" s="544"/>
      <c r="H97" s="544" t="s">
        <v>1108</v>
      </c>
      <c r="I97" s="544"/>
      <c r="J97" s="544"/>
      <c r="K97" s="544"/>
      <c r="L97" s="544" t="s">
        <v>1108</v>
      </c>
      <c r="M97" s="544"/>
      <c r="N97" s="544"/>
      <c r="O97" s="544"/>
      <c r="P97" s="544"/>
      <c r="Q97" s="540" t="s">
        <v>206</v>
      </c>
      <c r="R97" s="540" t="s">
        <v>206</v>
      </c>
      <c r="S97" s="541" t="s">
        <v>240</v>
      </c>
      <c r="T97" s="544" t="s">
        <v>94</v>
      </c>
      <c r="U97" s="544" t="s">
        <v>206</v>
      </c>
      <c r="V97" s="544" t="s">
        <v>206</v>
      </c>
      <c r="W97" s="541" t="s">
        <v>1187</v>
      </c>
      <c r="X97" s="544" t="s">
        <v>897</v>
      </c>
      <c r="Y97" s="60" t="s">
        <v>411</v>
      </c>
      <c r="Z97" s="553">
        <v>1</v>
      </c>
      <c r="AA97" s="851"/>
      <c r="AB97" s="846"/>
      <c r="AC97" s="857"/>
      <c r="AD97" s="858"/>
      <c r="AE97" s="846"/>
      <c r="AF97" s="846"/>
      <c r="AG97" s="846"/>
      <c r="AH97" s="846"/>
      <c r="AI97" s="846"/>
      <c r="AJ97" s="544" t="s">
        <v>1408</v>
      </c>
      <c r="AK97" s="404" t="s">
        <v>903</v>
      </c>
      <c r="AL97" s="846"/>
      <c r="AM97" s="553">
        <v>1</v>
      </c>
      <c r="AN97" s="846"/>
      <c r="AO97" s="857"/>
      <c r="AP97" s="548" t="s">
        <v>46</v>
      </c>
      <c r="AQ97" s="553">
        <v>0</v>
      </c>
      <c r="AR97" s="846"/>
      <c r="AS97" s="558">
        <v>0</v>
      </c>
      <c r="AT97" s="573">
        <v>0</v>
      </c>
      <c r="AU97" s="608">
        <v>0</v>
      </c>
      <c r="AV97" s="543" t="e">
        <f t="shared" si="159"/>
        <v>#DIV/0!</v>
      </c>
      <c r="AW97" s="543" t="e">
        <f t="shared" si="160"/>
        <v>#DIV/0!</v>
      </c>
      <c r="AX97" s="543">
        <f t="shared" si="161"/>
        <v>0</v>
      </c>
      <c r="AY97" s="543">
        <f>+(AU97/AO93)</f>
        <v>0</v>
      </c>
      <c r="AZ97" s="641" t="s">
        <v>1464</v>
      </c>
      <c r="BA97" s="188">
        <v>0</v>
      </c>
      <c r="BB97" s="846"/>
      <c r="BC97" s="542">
        <v>0</v>
      </c>
      <c r="BD97" s="70"/>
      <c r="BE97" s="70"/>
      <c r="BF97" s="543" t="e">
        <f t="shared" si="162"/>
        <v>#DIV/0!</v>
      </c>
      <c r="BG97" s="543" t="e">
        <f t="shared" si="163"/>
        <v>#DIV/0!</v>
      </c>
      <c r="BH97" s="543">
        <f t="shared" si="164"/>
        <v>0</v>
      </c>
      <c r="BI97" s="543">
        <f>+(BE97+AU97)/AO93</f>
        <v>0</v>
      </c>
      <c r="BJ97" s="543"/>
      <c r="BK97" s="188">
        <v>0</v>
      </c>
      <c r="BL97" s="846"/>
      <c r="BM97" s="542">
        <v>0</v>
      </c>
      <c r="BN97" s="541"/>
      <c r="BO97" s="541"/>
      <c r="BP97" s="543" t="e">
        <f t="shared" si="165"/>
        <v>#DIV/0!</v>
      </c>
      <c r="BQ97" s="543" t="e">
        <f t="shared" si="166"/>
        <v>#DIV/0!</v>
      </c>
      <c r="BR97" s="543">
        <f t="shared" si="167"/>
        <v>0</v>
      </c>
      <c r="BS97" s="543">
        <f>+(BE97+AU97+BO97)/AO93</f>
        <v>0</v>
      </c>
      <c r="BT97" s="543"/>
      <c r="BU97" s="188">
        <v>1</v>
      </c>
      <c r="BV97" s="846"/>
      <c r="BW97" s="542">
        <v>11000000</v>
      </c>
      <c r="BX97" s="541"/>
      <c r="BY97" s="541"/>
      <c r="BZ97" s="547">
        <f t="shared" si="168"/>
        <v>0</v>
      </c>
      <c r="CA97" s="547">
        <f t="shared" si="169"/>
        <v>0</v>
      </c>
      <c r="CB97" s="547">
        <f t="shared" si="170"/>
        <v>0</v>
      </c>
      <c r="CC97" s="547">
        <f>+(BE97+AU97+BO97+BY97)/AO93</f>
        <v>0</v>
      </c>
      <c r="CD97" s="547"/>
      <c r="CE97" s="546" t="str">
        <f t="shared" si="150"/>
        <v>No Prog ni Ejec</v>
      </c>
      <c r="CF97" s="546" t="str">
        <f t="shared" si="151"/>
        <v>No Prog ni Ejec</v>
      </c>
      <c r="CG97" s="546" t="str">
        <f t="shared" si="152"/>
        <v>No Prog ni Ejec</v>
      </c>
      <c r="CH97" s="546" t="str">
        <f t="shared" si="153"/>
        <v>No Prog ni Ejec</v>
      </c>
      <c r="CI97" s="546" t="str">
        <f t="shared" si="154"/>
        <v>No Prog ni Ejec</v>
      </c>
      <c r="CJ97" s="546" t="str">
        <f t="shared" si="155"/>
        <v>No Prog ni Ejec</v>
      </c>
      <c r="CK97" s="546">
        <f t="shared" si="156"/>
        <v>0</v>
      </c>
      <c r="CL97" s="546">
        <f t="shared" si="157"/>
        <v>0</v>
      </c>
      <c r="CM97" s="157"/>
      <c r="CX97" s="75">
        <v>7</v>
      </c>
      <c r="DB97" s="75">
        <v>11</v>
      </c>
    </row>
    <row r="98" spans="1:106" s="75" customFormat="1" ht="105.75" customHeight="1" x14ac:dyDescent="0.2">
      <c r="A98" s="541">
        <v>11700</v>
      </c>
      <c r="B98" s="544" t="s">
        <v>14</v>
      </c>
      <c r="C98" s="544" t="s">
        <v>337</v>
      </c>
      <c r="D98" s="544"/>
      <c r="E98" s="544"/>
      <c r="F98" s="544" t="s">
        <v>1108</v>
      </c>
      <c r="G98" s="544"/>
      <c r="H98" s="544" t="s">
        <v>1108</v>
      </c>
      <c r="I98" s="544"/>
      <c r="J98" s="544"/>
      <c r="K98" s="544"/>
      <c r="L98" s="544" t="s">
        <v>1108</v>
      </c>
      <c r="M98" s="544"/>
      <c r="N98" s="544"/>
      <c r="O98" s="544"/>
      <c r="P98" s="544"/>
      <c r="Q98" s="540" t="s">
        <v>206</v>
      </c>
      <c r="R98" s="540" t="s">
        <v>206</v>
      </c>
      <c r="S98" s="541" t="s">
        <v>240</v>
      </c>
      <c r="T98" s="544" t="s">
        <v>94</v>
      </c>
      <c r="U98" s="544" t="s">
        <v>206</v>
      </c>
      <c r="V98" s="544" t="s">
        <v>206</v>
      </c>
      <c r="W98" s="541" t="s">
        <v>1188</v>
      </c>
      <c r="X98" s="544" t="s">
        <v>876</v>
      </c>
      <c r="Y98" s="60" t="s">
        <v>411</v>
      </c>
      <c r="Z98" s="553">
        <v>1</v>
      </c>
      <c r="AA98" s="851"/>
      <c r="AB98" s="846"/>
      <c r="AC98" s="550">
        <v>57000000</v>
      </c>
      <c r="AD98" s="545">
        <v>1</v>
      </c>
      <c r="AE98" s="544" t="s">
        <v>16</v>
      </c>
      <c r="AF98" s="544" t="s">
        <v>21</v>
      </c>
      <c r="AG98" s="544" t="s">
        <v>206</v>
      </c>
      <c r="AH98" s="544" t="s">
        <v>678</v>
      </c>
      <c r="AI98" s="544" t="s">
        <v>77</v>
      </c>
      <c r="AJ98" s="544" t="s">
        <v>1408</v>
      </c>
      <c r="AK98" s="404" t="s">
        <v>903</v>
      </c>
      <c r="AL98" s="544" t="s">
        <v>43</v>
      </c>
      <c r="AM98" s="553">
        <v>1</v>
      </c>
      <c r="AN98" s="846"/>
      <c r="AO98" s="550">
        <v>57000000</v>
      </c>
      <c r="AP98" s="548" t="s">
        <v>46</v>
      </c>
      <c r="AQ98" s="553">
        <v>0</v>
      </c>
      <c r="AR98" s="846"/>
      <c r="AS98" s="558">
        <v>0</v>
      </c>
      <c r="AT98" s="573">
        <v>0</v>
      </c>
      <c r="AU98" s="608">
        <v>0</v>
      </c>
      <c r="AV98" s="543" t="e">
        <f t="shared" si="159"/>
        <v>#DIV/0!</v>
      </c>
      <c r="AW98" s="543" t="e">
        <f t="shared" si="160"/>
        <v>#DIV/0!</v>
      </c>
      <c r="AX98" s="543">
        <f t="shared" si="161"/>
        <v>0</v>
      </c>
      <c r="AY98" s="543">
        <f t="shared" ref="AY98:AY115" si="171">+(AU98/AO98)</f>
        <v>0</v>
      </c>
      <c r="AZ98" s="641" t="s">
        <v>1464</v>
      </c>
      <c r="BA98" s="188">
        <v>0</v>
      </c>
      <c r="BB98" s="846"/>
      <c r="BC98" s="542">
        <v>0</v>
      </c>
      <c r="BD98" s="70"/>
      <c r="BE98" s="70"/>
      <c r="BF98" s="543" t="e">
        <f t="shared" si="162"/>
        <v>#DIV/0!</v>
      </c>
      <c r="BG98" s="543" t="e">
        <f t="shared" si="163"/>
        <v>#DIV/0!</v>
      </c>
      <c r="BH98" s="543">
        <f t="shared" si="164"/>
        <v>0</v>
      </c>
      <c r="BI98" s="543">
        <f t="shared" ref="BI98:BI115" si="172">+(BE98+AU98)/AO98</f>
        <v>0</v>
      </c>
      <c r="BJ98" s="543"/>
      <c r="BK98" s="188">
        <v>1</v>
      </c>
      <c r="BL98" s="846"/>
      <c r="BM98" s="542">
        <f>+AO98</f>
        <v>57000000</v>
      </c>
      <c r="BN98" s="541"/>
      <c r="BO98" s="541"/>
      <c r="BP98" s="543">
        <f t="shared" si="165"/>
        <v>0</v>
      </c>
      <c r="BQ98" s="543">
        <f t="shared" si="166"/>
        <v>0</v>
      </c>
      <c r="BR98" s="543">
        <f t="shared" si="167"/>
        <v>0</v>
      </c>
      <c r="BS98" s="543">
        <f t="shared" ref="BS98:BS115" si="173">+(BE98+AU98+BO98)/AO98</f>
        <v>0</v>
      </c>
      <c r="BT98" s="543"/>
      <c r="BU98" s="188">
        <v>0</v>
      </c>
      <c r="BV98" s="846"/>
      <c r="BW98" s="542">
        <v>0</v>
      </c>
      <c r="BX98" s="541"/>
      <c r="BY98" s="541"/>
      <c r="BZ98" s="547" t="e">
        <f t="shared" si="168"/>
        <v>#DIV/0!</v>
      </c>
      <c r="CA98" s="547" t="e">
        <f t="shared" si="169"/>
        <v>#DIV/0!</v>
      </c>
      <c r="CB98" s="547">
        <f t="shared" si="170"/>
        <v>0</v>
      </c>
      <c r="CC98" s="547">
        <f t="shared" ref="CC98:CC115" si="174">+(BE98+AU98+BO98+BY98)/AO98</f>
        <v>0</v>
      </c>
      <c r="CD98" s="547"/>
      <c r="CE98" s="546" t="str">
        <f t="shared" si="150"/>
        <v>No Prog ni Ejec</v>
      </c>
      <c r="CF98" s="546" t="str">
        <f t="shared" si="151"/>
        <v>No Prog ni Ejec</v>
      </c>
      <c r="CG98" s="546" t="str">
        <f t="shared" si="152"/>
        <v>No Prog ni Ejec</v>
      </c>
      <c r="CH98" s="546" t="str">
        <f t="shared" si="153"/>
        <v>No Prog ni Ejec</v>
      </c>
      <c r="CI98" s="546">
        <f t="shared" si="154"/>
        <v>0</v>
      </c>
      <c r="CJ98" s="546">
        <f t="shared" si="155"/>
        <v>0</v>
      </c>
      <c r="CK98" s="546" t="str">
        <f t="shared" si="156"/>
        <v>No Prog ni Ejec</v>
      </c>
      <c r="CL98" s="546" t="str">
        <f t="shared" si="157"/>
        <v>No Prog ni Ejec</v>
      </c>
      <c r="CM98" s="157">
        <f t="shared" si="128"/>
        <v>0</v>
      </c>
      <c r="CX98" s="75">
        <v>7</v>
      </c>
      <c r="DB98" s="75">
        <v>11</v>
      </c>
    </row>
    <row r="99" spans="1:106" s="75" customFormat="1" ht="89.25" x14ac:dyDescent="0.2">
      <c r="A99" s="541">
        <v>11700</v>
      </c>
      <c r="B99" s="544" t="s">
        <v>14</v>
      </c>
      <c r="C99" s="544" t="s">
        <v>337</v>
      </c>
      <c r="D99" s="544"/>
      <c r="E99" s="544"/>
      <c r="F99" s="544" t="s">
        <v>1108</v>
      </c>
      <c r="G99" s="544"/>
      <c r="H99" s="544" t="s">
        <v>1108</v>
      </c>
      <c r="I99" s="544"/>
      <c r="J99" s="544"/>
      <c r="K99" s="544"/>
      <c r="L99" s="544" t="s">
        <v>1108</v>
      </c>
      <c r="M99" s="544"/>
      <c r="N99" s="544"/>
      <c r="O99" s="544"/>
      <c r="P99" s="544"/>
      <c r="Q99" s="540" t="s">
        <v>206</v>
      </c>
      <c r="R99" s="540" t="s">
        <v>206</v>
      </c>
      <c r="S99" s="541" t="s">
        <v>240</v>
      </c>
      <c r="T99" s="544" t="s">
        <v>94</v>
      </c>
      <c r="U99" s="544" t="s">
        <v>206</v>
      </c>
      <c r="V99" s="544" t="s">
        <v>206</v>
      </c>
      <c r="W99" s="541" t="s">
        <v>870</v>
      </c>
      <c r="X99" s="544" t="s">
        <v>898</v>
      </c>
      <c r="Y99" s="60" t="s">
        <v>411</v>
      </c>
      <c r="Z99" s="553">
        <v>1</v>
      </c>
      <c r="AA99" s="851" t="s">
        <v>852</v>
      </c>
      <c r="AB99" s="846" t="s">
        <v>888</v>
      </c>
      <c r="AC99" s="550">
        <v>42000000</v>
      </c>
      <c r="AD99" s="545">
        <v>1</v>
      </c>
      <c r="AE99" s="544" t="s">
        <v>16</v>
      </c>
      <c r="AF99" s="544" t="s">
        <v>21</v>
      </c>
      <c r="AG99" s="544" t="s">
        <v>206</v>
      </c>
      <c r="AH99" s="544" t="s">
        <v>678</v>
      </c>
      <c r="AI99" s="544" t="s">
        <v>77</v>
      </c>
      <c r="AJ99" s="544" t="s">
        <v>1408</v>
      </c>
      <c r="AK99" s="404" t="s">
        <v>903</v>
      </c>
      <c r="AL99" s="544" t="s">
        <v>43</v>
      </c>
      <c r="AM99" s="553">
        <v>1</v>
      </c>
      <c r="AN99" s="846" t="str">
        <f>+AB99</f>
        <v>Crear un espacio de esparcimiento, manejo del tiempo libre y desarrollo de habilidades creativas, para los hijos de los servidores públicos, como parte de su núcleo familiar.</v>
      </c>
      <c r="AO99" s="550">
        <v>42000000</v>
      </c>
      <c r="AP99" s="548" t="s">
        <v>46</v>
      </c>
      <c r="AQ99" s="553">
        <v>0</v>
      </c>
      <c r="AR99" s="846" t="str">
        <f>+AN99</f>
        <v>Crear un espacio de esparcimiento, manejo del tiempo libre y desarrollo de habilidades creativas, para los hijos de los servidores públicos, como parte de su núcleo familiar.</v>
      </c>
      <c r="AS99" s="558">
        <v>0</v>
      </c>
      <c r="AT99" s="573">
        <v>0</v>
      </c>
      <c r="AU99" s="608">
        <v>0</v>
      </c>
      <c r="AV99" s="543" t="e">
        <f t="shared" si="159"/>
        <v>#DIV/0!</v>
      </c>
      <c r="AW99" s="543" t="e">
        <f t="shared" si="160"/>
        <v>#DIV/0!</v>
      </c>
      <c r="AX99" s="543">
        <f t="shared" si="161"/>
        <v>0</v>
      </c>
      <c r="AY99" s="543">
        <f t="shared" si="171"/>
        <v>0</v>
      </c>
      <c r="AZ99" s="641" t="s">
        <v>1464</v>
      </c>
      <c r="BA99" s="188">
        <v>0</v>
      </c>
      <c r="BB99" s="846" t="str">
        <f>+AN99</f>
        <v>Crear un espacio de esparcimiento, manejo del tiempo libre y desarrollo de habilidades creativas, para los hijos de los servidores públicos, como parte de su núcleo familiar.</v>
      </c>
      <c r="BC99" s="542">
        <v>0</v>
      </c>
      <c r="BD99" s="73"/>
      <c r="BE99" s="73"/>
      <c r="BF99" s="543" t="e">
        <f t="shared" si="162"/>
        <v>#DIV/0!</v>
      </c>
      <c r="BG99" s="543" t="e">
        <f t="shared" si="163"/>
        <v>#DIV/0!</v>
      </c>
      <c r="BH99" s="543">
        <f t="shared" si="164"/>
        <v>0</v>
      </c>
      <c r="BI99" s="543">
        <f t="shared" si="172"/>
        <v>0</v>
      </c>
      <c r="BJ99" s="543"/>
      <c r="BK99" s="188">
        <v>0</v>
      </c>
      <c r="BL99" s="846" t="str">
        <f>+AN99</f>
        <v>Crear un espacio de esparcimiento, manejo del tiempo libre y desarrollo de habilidades creativas, para los hijos de los servidores públicos, como parte de su núcleo familiar.</v>
      </c>
      <c r="BM99" s="542">
        <v>0</v>
      </c>
      <c r="BN99" s="541"/>
      <c r="BO99" s="541"/>
      <c r="BP99" s="543" t="e">
        <f t="shared" si="165"/>
        <v>#DIV/0!</v>
      </c>
      <c r="BQ99" s="543" t="e">
        <f t="shared" si="166"/>
        <v>#DIV/0!</v>
      </c>
      <c r="BR99" s="543">
        <f t="shared" si="167"/>
        <v>0</v>
      </c>
      <c r="BS99" s="543">
        <f t="shared" si="173"/>
        <v>0</v>
      </c>
      <c r="BT99" s="543"/>
      <c r="BU99" s="188">
        <v>1</v>
      </c>
      <c r="BV99" s="846" t="str">
        <f>+AN99</f>
        <v>Crear un espacio de esparcimiento, manejo del tiempo libre y desarrollo de habilidades creativas, para los hijos de los servidores públicos, como parte de su núcleo familiar.</v>
      </c>
      <c r="BW99" s="542">
        <f>+AO99</f>
        <v>42000000</v>
      </c>
      <c r="BX99" s="541"/>
      <c r="BY99" s="541"/>
      <c r="BZ99" s="547">
        <f t="shared" si="168"/>
        <v>0</v>
      </c>
      <c r="CA99" s="547">
        <f t="shared" si="169"/>
        <v>0</v>
      </c>
      <c r="CB99" s="547">
        <f t="shared" si="170"/>
        <v>0</v>
      </c>
      <c r="CC99" s="547">
        <f t="shared" si="174"/>
        <v>0</v>
      </c>
      <c r="CD99" s="547"/>
      <c r="CE99" s="546" t="str">
        <f t="shared" si="150"/>
        <v>No Prog ni Ejec</v>
      </c>
      <c r="CF99" s="546" t="str">
        <f t="shared" si="151"/>
        <v>No Prog ni Ejec</v>
      </c>
      <c r="CG99" s="546" t="str">
        <f t="shared" si="152"/>
        <v>No Prog ni Ejec</v>
      </c>
      <c r="CH99" s="546" t="str">
        <f t="shared" si="153"/>
        <v>No Prog ni Ejec</v>
      </c>
      <c r="CI99" s="546" t="str">
        <f t="shared" si="154"/>
        <v>No Prog ni Ejec</v>
      </c>
      <c r="CJ99" s="546" t="str">
        <f t="shared" si="155"/>
        <v>No Prog ni Ejec</v>
      </c>
      <c r="CK99" s="546">
        <f t="shared" si="156"/>
        <v>0</v>
      </c>
      <c r="CL99" s="546">
        <f t="shared" si="157"/>
        <v>0</v>
      </c>
      <c r="CM99" s="157">
        <f t="shared" si="128"/>
        <v>0</v>
      </c>
      <c r="CX99" s="75">
        <v>7</v>
      </c>
      <c r="DB99" s="75">
        <v>11</v>
      </c>
    </row>
    <row r="100" spans="1:106" s="75" customFormat="1" ht="89.25" x14ac:dyDescent="0.2">
      <c r="A100" s="541">
        <v>11700</v>
      </c>
      <c r="B100" s="544" t="s">
        <v>14</v>
      </c>
      <c r="C100" s="544" t="s">
        <v>337</v>
      </c>
      <c r="D100" s="544"/>
      <c r="E100" s="544"/>
      <c r="F100" s="544" t="s">
        <v>1108</v>
      </c>
      <c r="G100" s="544"/>
      <c r="H100" s="544" t="s">
        <v>1108</v>
      </c>
      <c r="I100" s="544"/>
      <c r="J100" s="544"/>
      <c r="K100" s="544"/>
      <c r="L100" s="544" t="s">
        <v>1108</v>
      </c>
      <c r="M100" s="544"/>
      <c r="N100" s="544"/>
      <c r="O100" s="544"/>
      <c r="P100" s="544"/>
      <c r="Q100" s="540" t="s">
        <v>206</v>
      </c>
      <c r="R100" s="540" t="s">
        <v>206</v>
      </c>
      <c r="S100" s="541" t="s">
        <v>240</v>
      </c>
      <c r="T100" s="544" t="s">
        <v>94</v>
      </c>
      <c r="U100" s="544" t="s">
        <v>206</v>
      </c>
      <c r="V100" s="544" t="s">
        <v>206</v>
      </c>
      <c r="W100" s="541" t="s">
        <v>1419</v>
      </c>
      <c r="X100" s="544" t="s">
        <v>877</v>
      </c>
      <c r="Y100" s="60" t="s">
        <v>411</v>
      </c>
      <c r="Z100" s="553">
        <v>1</v>
      </c>
      <c r="AA100" s="851"/>
      <c r="AB100" s="846"/>
      <c r="AC100" s="550">
        <v>20000000</v>
      </c>
      <c r="AD100" s="545">
        <v>1</v>
      </c>
      <c r="AE100" s="544" t="s">
        <v>16</v>
      </c>
      <c r="AF100" s="544" t="s">
        <v>21</v>
      </c>
      <c r="AG100" s="544" t="s">
        <v>206</v>
      </c>
      <c r="AH100" s="544" t="s">
        <v>678</v>
      </c>
      <c r="AI100" s="544" t="s">
        <v>77</v>
      </c>
      <c r="AJ100" s="544" t="s">
        <v>1408</v>
      </c>
      <c r="AK100" s="404" t="s">
        <v>903</v>
      </c>
      <c r="AL100" s="544" t="s">
        <v>43</v>
      </c>
      <c r="AM100" s="553">
        <v>1</v>
      </c>
      <c r="AN100" s="846"/>
      <c r="AO100" s="550">
        <v>20000000</v>
      </c>
      <c r="AP100" s="548" t="s">
        <v>46</v>
      </c>
      <c r="AQ100" s="553">
        <v>0</v>
      </c>
      <c r="AR100" s="846"/>
      <c r="AS100" s="558">
        <v>0</v>
      </c>
      <c r="AT100" s="573">
        <v>0</v>
      </c>
      <c r="AU100" s="608">
        <v>0</v>
      </c>
      <c r="AV100" s="543" t="e">
        <f t="shared" si="159"/>
        <v>#DIV/0!</v>
      </c>
      <c r="AW100" s="543" t="e">
        <f t="shared" si="160"/>
        <v>#DIV/0!</v>
      </c>
      <c r="AX100" s="543">
        <f t="shared" si="161"/>
        <v>0</v>
      </c>
      <c r="AY100" s="543">
        <f t="shared" si="171"/>
        <v>0</v>
      </c>
      <c r="AZ100" s="641" t="s">
        <v>1464</v>
      </c>
      <c r="BA100" s="188">
        <v>0</v>
      </c>
      <c r="BB100" s="846"/>
      <c r="BC100" s="542">
        <v>0</v>
      </c>
      <c r="BD100" s="73"/>
      <c r="BE100" s="73"/>
      <c r="BF100" s="543" t="e">
        <f t="shared" si="162"/>
        <v>#DIV/0!</v>
      </c>
      <c r="BG100" s="543" t="e">
        <f t="shared" si="163"/>
        <v>#DIV/0!</v>
      </c>
      <c r="BH100" s="543">
        <f t="shared" si="164"/>
        <v>0</v>
      </c>
      <c r="BI100" s="543">
        <f t="shared" si="172"/>
        <v>0</v>
      </c>
      <c r="BJ100" s="543"/>
      <c r="BK100" s="188">
        <v>0</v>
      </c>
      <c r="BL100" s="846"/>
      <c r="BM100" s="542">
        <v>0</v>
      </c>
      <c r="BN100" s="541"/>
      <c r="BO100" s="541"/>
      <c r="BP100" s="543" t="e">
        <f t="shared" si="165"/>
        <v>#DIV/0!</v>
      </c>
      <c r="BQ100" s="543" t="e">
        <f t="shared" si="166"/>
        <v>#DIV/0!</v>
      </c>
      <c r="BR100" s="543">
        <f t="shared" si="167"/>
        <v>0</v>
      </c>
      <c r="BS100" s="543">
        <f t="shared" si="173"/>
        <v>0</v>
      </c>
      <c r="BT100" s="543"/>
      <c r="BU100" s="188">
        <v>1</v>
      </c>
      <c r="BV100" s="846"/>
      <c r="BW100" s="542">
        <f>+AO100</f>
        <v>20000000</v>
      </c>
      <c r="BX100" s="541"/>
      <c r="BY100" s="541"/>
      <c r="BZ100" s="547">
        <f t="shared" si="168"/>
        <v>0</v>
      </c>
      <c r="CA100" s="547">
        <f t="shared" si="169"/>
        <v>0</v>
      </c>
      <c r="CB100" s="547">
        <f t="shared" si="170"/>
        <v>0</v>
      </c>
      <c r="CC100" s="547">
        <f t="shared" si="174"/>
        <v>0</v>
      </c>
      <c r="CD100" s="547"/>
      <c r="CE100" s="546" t="str">
        <f t="shared" si="150"/>
        <v>No Prog ni Ejec</v>
      </c>
      <c r="CF100" s="546" t="str">
        <f t="shared" si="151"/>
        <v>No Prog ni Ejec</v>
      </c>
      <c r="CG100" s="546" t="str">
        <f t="shared" si="152"/>
        <v>No Prog ni Ejec</v>
      </c>
      <c r="CH100" s="546" t="str">
        <f t="shared" si="153"/>
        <v>No Prog ni Ejec</v>
      </c>
      <c r="CI100" s="546" t="str">
        <f t="shared" si="154"/>
        <v>No Prog ni Ejec</v>
      </c>
      <c r="CJ100" s="546" t="str">
        <f t="shared" si="155"/>
        <v>No Prog ni Ejec</v>
      </c>
      <c r="CK100" s="546">
        <f t="shared" si="156"/>
        <v>0</v>
      </c>
      <c r="CL100" s="546">
        <f t="shared" si="157"/>
        <v>0</v>
      </c>
      <c r="CM100" s="157">
        <f t="shared" si="128"/>
        <v>0</v>
      </c>
      <c r="CX100" s="75">
        <v>7</v>
      </c>
      <c r="DB100" s="75">
        <v>11</v>
      </c>
    </row>
    <row r="101" spans="1:106" s="75" customFormat="1" ht="110.25" customHeight="1" x14ac:dyDescent="0.2">
      <c r="A101" s="541">
        <v>11700</v>
      </c>
      <c r="B101" s="544" t="s">
        <v>14</v>
      </c>
      <c r="C101" s="544" t="s">
        <v>337</v>
      </c>
      <c r="D101" s="544"/>
      <c r="E101" s="544"/>
      <c r="F101" s="544" t="s">
        <v>1108</v>
      </c>
      <c r="G101" s="544"/>
      <c r="H101" s="544" t="s">
        <v>1108</v>
      </c>
      <c r="I101" s="544"/>
      <c r="J101" s="544"/>
      <c r="K101" s="544"/>
      <c r="L101" s="544" t="s">
        <v>1108</v>
      </c>
      <c r="M101" s="544"/>
      <c r="N101" s="544"/>
      <c r="O101" s="544"/>
      <c r="P101" s="544"/>
      <c r="Q101" s="540" t="s">
        <v>206</v>
      </c>
      <c r="R101" s="540" t="s">
        <v>206</v>
      </c>
      <c r="S101" s="541" t="s">
        <v>240</v>
      </c>
      <c r="T101" s="544" t="s">
        <v>94</v>
      </c>
      <c r="U101" s="544" t="s">
        <v>206</v>
      </c>
      <c r="V101" s="544" t="s">
        <v>206</v>
      </c>
      <c r="W101" s="541" t="s">
        <v>871</v>
      </c>
      <c r="X101" s="544" t="s">
        <v>878</v>
      </c>
      <c r="Y101" s="60" t="s">
        <v>411</v>
      </c>
      <c r="Z101" s="553">
        <v>1</v>
      </c>
      <c r="AA101" s="851" t="s">
        <v>853</v>
      </c>
      <c r="AB101" s="846" t="s">
        <v>889</v>
      </c>
      <c r="AC101" s="550">
        <v>23000000</v>
      </c>
      <c r="AD101" s="858">
        <v>1</v>
      </c>
      <c r="AE101" s="544" t="s">
        <v>16</v>
      </c>
      <c r="AF101" s="544" t="s">
        <v>21</v>
      </c>
      <c r="AG101" s="544" t="s">
        <v>206</v>
      </c>
      <c r="AH101" s="544" t="s">
        <v>678</v>
      </c>
      <c r="AI101" s="544" t="s">
        <v>77</v>
      </c>
      <c r="AJ101" s="544" t="s">
        <v>1408</v>
      </c>
      <c r="AK101" s="404" t="s">
        <v>903</v>
      </c>
      <c r="AL101" s="544" t="s">
        <v>43</v>
      </c>
      <c r="AM101" s="553">
        <v>1</v>
      </c>
      <c r="AN101" s="846" t="str">
        <f>+AB101</f>
        <v>Estimular la sana utilización del tiempo libre de los servidores públicos y su núcleo familiar, brindando espacios de esparcimiento, recreación, cultural, fomentar la alimentación saludable y la integración.</v>
      </c>
      <c r="AO101" s="550">
        <v>23000000</v>
      </c>
      <c r="AP101" s="548" t="s">
        <v>46</v>
      </c>
      <c r="AQ101" s="553">
        <v>0</v>
      </c>
      <c r="AR101" s="846" t="str">
        <f>+AN101</f>
        <v>Estimular la sana utilización del tiempo libre de los servidores públicos y su núcleo familiar, brindando espacios de esparcimiento, recreación, cultural, fomentar la alimentación saludable y la integración.</v>
      </c>
      <c r="AS101" s="558">
        <v>0</v>
      </c>
      <c r="AT101" s="573">
        <v>0</v>
      </c>
      <c r="AU101" s="608">
        <v>0</v>
      </c>
      <c r="AV101" s="543" t="e">
        <f t="shared" si="159"/>
        <v>#DIV/0!</v>
      </c>
      <c r="AW101" s="543" t="e">
        <f t="shared" si="160"/>
        <v>#DIV/0!</v>
      </c>
      <c r="AX101" s="543">
        <f t="shared" si="161"/>
        <v>0</v>
      </c>
      <c r="AY101" s="543">
        <f t="shared" si="171"/>
        <v>0</v>
      </c>
      <c r="AZ101" s="641" t="s">
        <v>1464</v>
      </c>
      <c r="BA101" s="188">
        <v>0</v>
      </c>
      <c r="BB101" s="846" t="str">
        <f>+AN101</f>
        <v>Estimular la sana utilización del tiempo libre de los servidores públicos y su núcleo familiar, brindando espacios de esparcimiento, recreación, cultural, fomentar la alimentación saludable y la integración.</v>
      </c>
      <c r="BC101" s="542">
        <v>0</v>
      </c>
      <c r="BD101" s="73"/>
      <c r="BE101" s="73"/>
      <c r="BF101" s="543" t="e">
        <f t="shared" si="162"/>
        <v>#DIV/0!</v>
      </c>
      <c r="BG101" s="543" t="e">
        <f t="shared" si="163"/>
        <v>#DIV/0!</v>
      </c>
      <c r="BH101" s="543">
        <f t="shared" si="164"/>
        <v>0</v>
      </c>
      <c r="BI101" s="543">
        <f t="shared" si="172"/>
        <v>0</v>
      </c>
      <c r="BJ101" s="543"/>
      <c r="BK101" s="188">
        <v>1</v>
      </c>
      <c r="BL101" s="846" t="str">
        <f>+AN101</f>
        <v>Estimular la sana utilización del tiempo libre de los servidores públicos y su núcleo familiar, brindando espacios de esparcimiento, recreación, cultural, fomentar la alimentación saludable y la integración.</v>
      </c>
      <c r="BM101" s="542">
        <f>+AO101</f>
        <v>23000000</v>
      </c>
      <c r="BN101" s="541"/>
      <c r="BO101" s="541"/>
      <c r="BP101" s="543">
        <f t="shared" si="165"/>
        <v>0</v>
      </c>
      <c r="BQ101" s="543">
        <f t="shared" si="166"/>
        <v>0</v>
      </c>
      <c r="BR101" s="543">
        <f t="shared" si="167"/>
        <v>0</v>
      </c>
      <c r="BS101" s="543">
        <f t="shared" si="173"/>
        <v>0</v>
      </c>
      <c r="BT101" s="543"/>
      <c r="BU101" s="188">
        <v>0</v>
      </c>
      <c r="BV101" s="846" t="str">
        <f>+AN101</f>
        <v>Estimular la sana utilización del tiempo libre de los servidores públicos y su núcleo familiar, brindando espacios de esparcimiento, recreación, cultural, fomentar la alimentación saludable y la integración.</v>
      </c>
      <c r="BW101" s="542">
        <v>0</v>
      </c>
      <c r="BX101" s="541"/>
      <c r="BY101" s="541"/>
      <c r="BZ101" s="547" t="e">
        <f t="shared" si="168"/>
        <v>#DIV/0!</v>
      </c>
      <c r="CA101" s="547" t="e">
        <f t="shared" si="169"/>
        <v>#DIV/0!</v>
      </c>
      <c r="CB101" s="547">
        <f t="shared" si="170"/>
        <v>0</v>
      </c>
      <c r="CC101" s="547">
        <f t="shared" si="174"/>
        <v>0</v>
      </c>
      <c r="CD101" s="547"/>
      <c r="CE101" s="546" t="str">
        <f t="shared" si="150"/>
        <v>No Prog ni Ejec</v>
      </c>
      <c r="CF101" s="546" t="str">
        <f t="shared" si="151"/>
        <v>No Prog ni Ejec</v>
      </c>
      <c r="CG101" s="546" t="str">
        <f t="shared" si="152"/>
        <v>No Prog ni Ejec</v>
      </c>
      <c r="CH101" s="546" t="str">
        <f t="shared" si="153"/>
        <v>No Prog ni Ejec</v>
      </c>
      <c r="CI101" s="546">
        <f t="shared" si="154"/>
        <v>0</v>
      </c>
      <c r="CJ101" s="546">
        <f t="shared" si="155"/>
        <v>0</v>
      </c>
      <c r="CK101" s="546" t="str">
        <f t="shared" si="156"/>
        <v>No Prog ni Ejec</v>
      </c>
      <c r="CL101" s="546" t="str">
        <f t="shared" si="157"/>
        <v>No Prog ni Ejec</v>
      </c>
      <c r="CM101" s="157">
        <f t="shared" si="128"/>
        <v>0</v>
      </c>
      <c r="CX101" s="75">
        <v>7</v>
      </c>
      <c r="DB101" s="75">
        <v>11</v>
      </c>
    </row>
    <row r="102" spans="1:106" s="75" customFormat="1" ht="105.75" customHeight="1" x14ac:dyDescent="0.2">
      <c r="A102" s="541">
        <v>11700</v>
      </c>
      <c r="B102" s="544" t="s">
        <v>14</v>
      </c>
      <c r="C102" s="544" t="s">
        <v>337</v>
      </c>
      <c r="D102" s="544"/>
      <c r="E102" s="544"/>
      <c r="F102" s="544" t="s">
        <v>1108</v>
      </c>
      <c r="G102" s="544"/>
      <c r="H102" s="544" t="s">
        <v>1108</v>
      </c>
      <c r="I102" s="544"/>
      <c r="J102" s="544"/>
      <c r="K102" s="544"/>
      <c r="L102" s="544" t="s">
        <v>1108</v>
      </c>
      <c r="M102" s="544"/>
      <c r="N102" s="544"/>
      <c r="O102" s="544"/>
      <c r="P102" s="544"/>
      <c r="Q102" s="540" t="s">
        <v>206</v>
      </c>
      <c r="R102" s="540" t="s">
        <v>206</v>
      </c>
      <c r="S102" s="541" t="s">
        <v>240</v>
      </c>
      <c r="T102" s="544" t="s">
        <v>94</v>
      </c>
      <c r="U102" s="544" t="s">
        <v>206</v>
      </c>
      <c r="V102" s="544" t="s">
        <v>206</v>
      </c>
      <c r="W102" s="541" t="s">
        <v>1189</v>
      </c>
      <c r="X102" s="544" t="s">
        <v>879</v>
      </c>
      <c r="Y102" s="60" t="s">
        <v>411</v>
      </c>
      <c r="Z102" s="553">
        <v>2</v>
      </c>
      <c r="AA102" s="851"/>
      <c r="AB102" s="846"/>
      <c r="AC102" s="550">
        <v>5000000</v>
      </c>
      <c r="AD102" s="858"/>
      <c r="AE102" s="544" t="s">
        <v>16</v>
      </c>
      <c r="AF102" s="544" t="s">
        <v>21</v>
      </c>
      <c r="AG102" s="544" t="s">
        <v>206</v>
      </c>
      <c r="AH102" s="544" t="s">
        <v>678</v>
      </c>
      <c r="AI102" s="544" t="s">
        <v>77</v>
      </c>
      <c r="AJ102" s="544" t="s">
        <v>1408</v>
      </c>
      <c r="AK102" s="404" t="s">
        <v>903</v>
      </c>
      <c r="AL102" s="544" t="s">
        <v>43</v>
      </c>
      <c r="AM102" s="553">
        <v>2</v>
      </c>
      <c r="AN102" s="846"/>
      <c r="AO102" s="550">
        <v>5000000</v>
      </c>
      <c r="AP102" s="548" t="s">
        <v>46</v>
      </c>
      <c r="AQ102" s="553">
        <v>0</v>
      </c>
      <c r="AR102" s="846"/>
      <c r="AS102" s="558">
        <v>0</v>
      </c>
      <c r="AT102" s="573">
        <v>0</v>
      </c>
      <c r="AU102" s="608">
        <v>0</v>
      </c>
      <c r="AV102" s="543" t="e">
        <f t="shared" si="159"/>
        <v>#DIV/0!</v>
      </c>
      <c r="AW102" s="543" t="e">
        <f t="shared" si="160"/>
        <v>#DIV/0!</v>
      </c>
      <c r="AX102" s="543">
        <f t="shared" si="161"/>
        <v>0</v>
      </c>
      <c r="AY102" s="543">
        <f t="shared" si="171"/>
        <v>0</v>
      </c>
      <c r="AZ102" s="641" t="s">
        <v>1464</v>
      </c>
      <c r="BA102" s="188">
        <v>1</v>
      </c>
      <c r="BB102" s="846"/>
      <c r="BC102" s="542">
        <f>+AO102/2</f>
        <v>2500000</v>
      </c>
      <c r="BD102" s="73"/>
      <c r="BE102" s="73"/>
      <c r="BF102" s="543">
        <f t="shared" si="162"/>
        <v>0</v>
      </c>
      <c r="BG102" s="543">
        <f t="shared" si="163"/>
        <v>0</v>
      </c>
      <c r="BH102" s="543">
        <f t="shared" si="164"/>
        <v>0</v>
      </c>
      <c r="BI102" s="543">
        <f t="shared" si="172"/>
        <v>0</v>
      </c>
      <c r="BJ102" s="543"/>
      <c r="BK102" s="188">
        <v>0</v>
      </c>
      <c r="BL102" s="846"/>
      <c r="BM102" s="542">
        <v>0</v>
      </c>
      <c r="BN102" s="541"/>
      <c r="BO102" s="541"/>
      <c r="BP102" s="543" t="e">
        <f t="shared" si="165"/>
        <v>#DIV/0!</v>
      </c>
      <c r="BQ102" s="543" t="e">
        <f t="shared" si="166"/>
        <v>#DIV/0!</v>
      </c>
      <c r="BR102" s="543">
        <f t="shared" si="167"/>
        <v>0</v>
      </c>
      <c r="BS102" s="543">
        <f t="shared" si="173"/>
        <v>0</v>
      </c>
      <c r="BT102" s="543"/>
      <c r="BU102" s="188">
        <v>1</v>
      </c>
      <c r="BV102" s="846"/>
      <c r="BW102" s="542">
        <f>+AO102/2</f>
        <v>2500000</v>
      </c>
      <c r="BX102" s="541"/>
      <c r="BY102" s="541"/>
      <c r="BZ102" s="547">
        <f t="shared" si="168"/>
        <v>0</v>
      </c>
      <c r="CA102" s="547">
        <f t="shared" si="169"/>
        <v>0</v>
      </c>
      <c r="CB102" s="547">
        <f t="shared" si="170"/>
        <v>0</v>
      </c>
      <c r="CC102" s="547">
        <f t="shared" si="174"/>
        <v>0</v>
      </c>
      <c r="CD102" s="547"/>
      <c r="CE102" s="546" t="str">
        <f t="shared" si="150"/>
        <v>No Prog ni Ejec</v>
      </c>
      <c r="CF102" s="546" t="str">
        <f t="shared" si="151"/>
        <v>No Prog ni Ejec</v>
      </c>
      <c r="CG102" s="546">
        <f t="shared" si="152"/>
        <v>0</v>
      </c>
      <c r="CH102" s="546">
        <f t="shared" si="153"/>
        <v>0</v>
      </c>
      <c r="CI102" s="546" t="str">
        <f t="shared" si="154"/>
        <v>No Prog ni Ejec</v>
      </c>
      <c r="CJ102" s="546" t="str">
        <f t="shared" si="155"/>
        <v>No Prog ni Ejec</v>
      </c>
      <c r="CK102" s="546">
        <f t="shared" si="156"/>
        <v>0</v>
      </c>
      <c r="CL102" s="546">
        <f t="shared" si="157"/>
        <v>0</v>
      </c>
      <c r="CM102" s="157">
        <f t="shared" si="128"/>
        <v>0</v>
      </c>
      <c r="CX102" s="75">
        <v>7</v>
      </c>
      <c r="DB102" s="75">
        <v>11</v>
      </c>
    </row>
    <row r="103" spans="1:106" s="75" customFormat="1" ht="98.25" customHeight="1" x14ac:dyDescent="0.2">
      <c r="A103" s="541">
        <v>11700</v>
      </c>
      <c r="B103" s="544" t="s">
        <v>14</v>
      </c>
      <c r="C103" s="544" t="s">
        <v>337</v>
      </c>
      <c r="D103" s="544"/>
      <c r="E103" s="544"/>
      <c r="F103" s="544" t="s">
        <v>1108</v>
      </c>
      <c r="G103" s="544"/>
      <c r="H103" s="544" t="s">
        <v>1108</v>
      </c>
      <c r="I103" s="544"/>
      <c r="J103" s="544"/>
      <c r="K103" s="544"/>
      <c r="L103" s="544" t="s">
        <v>1108</v>
      </c>
      <c r="M103" s="544"/>
      <c r="N103" s="544"/>
      <c r="O103" s="544"/>
      <c r="P103" s="544"/>
      <c r="Q103" s="540" t="s">
        <v>206</v>
      </c>
      <c r="R103" s="540" t="s">
        <v>206</v>
      </c>
      <c r="S103" s="541" t="s">
        <v>240</v>
      </c>
      <c r="T103" s="544" t="s">
        <v>94</v>
      </c>
      <c r="U103" s="544" t="s">
        <v>206</v>
      </c>
      <c r="V103" s="544" t="s">
        <v>206</v>
      </c>
      <c r="W103" s="541" t="s">
        <v>1190</v>
      </c>
      <c r="X103" s="544" t="s">
        <v>956</v>
      </c>
      <c r="Y103" s="60" t="s">
        <v>411</v>
      </c>
      <c r="Z103" s="553">
        <v>2</v>
      </c>
      <c r="AA103" s="851"/>
      <c r="AB103" s="846"/>
      <c r="AC103" s="550">
        <v>80000000</v>
      </c>
      <c r="AD103" s="858"/>
      <c r="AE103" s="544" t="s">
        <v>16</v>
      </c>
      <c r="AF103" s="544" t="s">
        <v>21</v>
      </c>
      <c r="AG103" s="544" t="s">
        <v>206</v>
      </c>
      <c r="AH103" s="544" t="s">
        <v>678</v>
      </c>
      <c r="AI103" s="544" t="s">
        <v>77</v>
      </c>
      <c r="AJ103" s="544" t="s">
        <v>1408</v>
      </c>
      <c r="AK103" s="404" t="s">
        <v>903</v>
      </c>
      <c r="AL103" s="544" t="s">
        <v>43</v>
      </c>
      <c r="AM103" s="553">
        <v>2</v>
      </c>
      <c r="AN103" s="846"/>
      <c r="AO103" s="550">
        <v>80000000</v>
      </c>
      <c r="AP103" s="548" t="s">
        <v>46</v>
      </c>
      <c r="AQ103" s="553">
        <v>0</v>
      </c>
      <c r="AR103" s="846"/>
      <c r="AS103" s="558">
        <v>0</v>
      </c>
      <c r="AT103" s="573">
        <v>0</v>
      </c>
      <c r="AU103" s="608">
        <v>0</v>
      </c>
      <c r="AV103" s="543" t="e">
        <f t="shared" si="159"/>
        <v>#DIV/0!</v>
      </c>
      <c r="AW103" s="543" t="e">
        <f t="shared" si="160"/>
        <v>#DIV/0!</v>
      </c>
      <c r="AX103" s="543">
        <f t="shared" si="161"/>
        <v>0</v>
      </c>
      <c r="AY103" s="543">
        <f t="shared" si="171"/>
        <v>0</v>
      </c>
      <c r="AZ103" s="641" t="s">
        <v>1464</v>
      </c>
      <c r="BA103" s="188">
        <v>1</v>
      </c>
      <c r="BB103" s="846"/>
      <c r="BC103" s="542">
        <f>+AO103/2</f>
        <v>40000000</v>
      </c>
      <c r="BD103" s="73"/>
      <c r="BE103" s="73"/>
      <c r="BF103" s="543">
        <f t="shared" si="162"/>
        <v>0</v>
      </c>
      <c r="BG103" s="543">
        <f t="shared" si="163"/>
        <v>0</v>
      </c>
      <c r="BH103" s="543">
        <f t="shared" si="164"/>
        <v>0</v>
      </c>
      <c r="BI103" s="543">
        <f t="shared" si="172"/>
        <v>0</v>
      </c>
      <c r="BJ103" s="543"/>
      <c r="BK103" s="188">
        <v>1</v>
      </c>
      <c r="BL103" s="846"/>
      <c r="BM103" s="542">
        <f>+AO103/2</f>
        <v>40000000</v>
      </c>
      <c r="BN103" s="541"/>
      <c r="BO103" s="541"/>
      <c r="BP103" s="543">
        <f t="shared" si="165"/>
        <v>0</v>
      </c>
      <c r="BQ103" s="543">
        <f t="shared" si="166"/>
        <v>0</v>
      </c>
      <c r="BR103" s="543">
        <f t="shared" si="167"/>
        <v>0</v>
      </c>
      <c r="BS103" s="543">
        <f t="shared" si="173"/>
        <v>0</v>
      </c>
      <c r="BT103" s="543"/>
      <c r="BU103" s="188">
        <v>0</v>
      </c>
      <c r="BV103" s="846"/>
      <c r="BW103" s="542">
        <v>0</v>
      </c>
      <c r="BX103" s="541"/>
      <c r="BY103" s="541"/>
      <c r="BZ103" s="547" t="e">
        <f t="shared" si="168"/>
        <v>#DIV/0!</v>
      </c>
      <c r="CA103" s="547" t="e">
        <f t="shared" si="169"/>
        <v>#DIV/0!</v>
      </c>
      <c r="CB103" s="547">
        <f t="shared" si="170"/>
        <v>0</v>
      </c>
      <c r="CC103" s="547">
        <f t="shared" si="174"/>
        <v>0</v>
      </c>
      <c r="CD103" s="547"/>
      <c r="CE103" s="546" t="str">
        <f t="shared" si="150"/>
        <v>No Prog ni Ejec</v>
      </c>
      <c r="CF103" s="546" t="str">
        <f t="shared" si="151"/>
        <v>No Prog ni Ejec</v>
      </c>
      <c r="CG103" s="546">
        <f t="shared" si="152"/>
        <v>0</v>
      </c>
      <c r="CH103" s="546">
        <f t="shared" si="153"/>
        <v>0</v>
      </c>
      <c r="CI103" s="546">
        <f t="shared" si="154"/>
        <v>0</v>
      </c>
      <c r="CJ103" s="546">
        <f t="shared" si="155"/>
        <v>0</v>
      </c>
      <c r="CK103" s="546" t="str">
        <f t="shared" si="156"/>
        <v>No Prog ni Ejec</v>
      </c>
      <c r="CL103" s="546" t="str">
        <f t="shared" si="157"/>
        <v>No Prog ni Ejec</v>
      </c>
      <c r="CM103" s="157">
        <f t="shared" si="128"/>
        <v>0</v>
      </c>
      <c r="CX103" s="75">
        <v>7</v>
      </c>
      <c r="DB103" s="75">
        <v>11</v>
      </c>
    </row>
    <row r="104" spans="1:106" s="75" customFormat="1" ht="101.25" customHeight="1" x14ac:dyDescent="0.2">
      <c r="A104" s="541">
        <v>11700</v>
      </c>
      <c r="B104" s="544" t="s">
        <v>14</v>
      </c>
      <c r="C104" s="544" t="s">
        <v>337</v>
      </c>
      <c r="D104" s="544"/>
      <c r="E104" s="544"/>
      <c r="F104" s="544" t="s">
        <v>1108</v>
      </c>
      <c r="G104" s="544"/>
      <c r="H104" s="544" t="s">
        <v>1108</v>
      </c>
      <c r="I104" s="544"/>
      <c r="J104" s="544"/>
      <c r="K104" s="544"/>
      <c r="L104" s="544" t="s">
        <v>1108</v>
      </c>
      <c r="M104" s="544"/>
      <c r="N104" s="544"/>
      <c r="O104" s="544"/>
      <c r="P104" s="544"/>
      <c r="Q104" s="540" t="s">
        <v>206</v>
      </c>
      <c r="R104" s="540" t="s">
        <v>206</v>
      </c>
      <c r="S104" s="541" t="s">
        <v>240</v>
      </c>
      <c r="T104" s="544" t="s">
        <v>94</v>
      </c>
      <c r="U104" s="544" t="s">
        <v>206</v>
      </c>
      <c r="V104" s="544" t="s">
        <v>206</v>
      </c>
      <c r="W104" s="541" t="s">
        <v>1191</v>
      </c>
      <c r="X104" s="544" t="s">
        <v>957</v>
      </c>
      <c r="Y104" s="60" t="s">
        <v>411</v>
      </c>
      <c r="Z104" s="553">
        <v>1</v>
      </c>
      <c r="AA104" s="851"/>
      <c r="AB104" s="846"/>
      <c r="AC104" s="550">
        <v>3000000</v>
      </c>
      <c r="AD104" s="858"/>
      <c r="AE104" s="544" t="s">
        <v>16</v>
      </c>
      <c r="AF104" s="544" t="s">
        <v>21</v>
      </c>
      <c r="AG104" s="544" t="s">
        <v>206</v>
      </c>
      <c r="AH104" s="544" t="s">
        <v>678</v>
      </c>
      <c r="AI104" s="544" t="s">
        <v>77</v>
      </c>
      <c r="AJ104" s="544" t="s">
        <v>1408</v>
      </c>
      <c r="AK104" s="404" t="s">
        <v>903</v>
      </c>
      <c r="AL104" s="544" t="s">
        <v>43</v>
      </c>
      <c r="AM104" s="553">
        <v>1</v>
      </c>
      <c r="AN104" s="846"/>
      <c r="AO104" s="550">
        <v>3000000</v>
      </c>
      <c r="AP104" s="548" t="s">
        <v>46</v>
      </c>
      <c r="AQ104" s="553">
        <v>1</v>
      </c>
      <c r="AR104" s="846"/>
      <c r="AS104" s="612">
        <f>+AO104</f>
        <v>3000000</v>
      </c>
      <c r="AT104" s="587">
        <v>1</v>
      </c>
      <c r="AU104" s="614">
        <v>0</v>
      </c>
      <c r="AV104" s="543">
        <f t="shared" si="159"/>
        <v>1</v>
      </c>
      <c r="AW104" s="543">
        <f t="shared" si="160"/>
        <v>0</v>
      </c>
      <c r="AX104" s="543">
        <f t="shared" si="161"/>
        <v>1</v>
      </c>
      <c r="AY104" s="543">
        <f t="shared" si="171"/>
        <v>0</v>
      </c>
      <c r="AZ104" s="642" t="s">
        <v>1472</v>
      </c>
      <c r="BA104" s="188">
        <v>0</v>
      </c>
      <c r="BB104" s="846"/>
      <c r="BC104" s="542">
        <v>0</v>
      </c>
      <c r="BD104" s="73"/>
      <c r="BE104" s="73"/>
      <c r="BF104" s="543" t="e">
        <f t="shared" si="162"/>
        <v>#DIV/0!</v>
      </c>
      <c r="BG104" s="543" t="e">
        <f t="shared" si="163"/>
        <v>#DIV/0!</v>
      </c>
      <c r="BH104" s="543">
        <f t="shared" si="164"/>
        <v>1</v>
      </c>
      <c r="BI104" s="543">
        <f t="shared" si="172"/>
        <v>0</v>
      </c>
      <c r="BJ104" s="543"/>
      <c r="BK104" s="188">
        <v>0</v>
      </c>
      <c r="BL104" s="846"/>
      <c r="BM104" s="542">
        <v>0</v>
      </c>
      <c r="BN104" s="541"/>
      <c r="BO104" s="541"/>
      <c r="BP104" s="543" t="e">
        <f t="shared" si="165"/>
        <v>#DIV/0!</v>
      </c>
      <c r="BQ104" s="543" t="e">
        <f t="shared" si="166"/>
        <v>#DIV/0!</v>
      </c>
      <c r="BR104" s="543">
        <f t="shared" si="167"/>
        <v>1</v>
      </c>
      <c r="BS104" s="543">
        <f t="shared" si="173"/>
        <v>0</v>
      </c>
      <c r="BT104" s="543"/>
      <c r="BU104" s="188">
        <v>0</v>
      </c>
      <c r="BV104" s="846"/>
      <c r="BW104" s="542">
        <v>0</v>
      </c>
      <c r="BX104" s="541"/>
      <c r="BY104" s="541"/>
      <c r="BZ104" s="547" t="e">
        <f t="shared" si="168"/>
        <v>#DIV/0!</v>
      </c>
      <c r="CA104" s="547" t="e">
        <f t="shared" si="169"/>
        <v>#DIV/0!</v>
      </c>
      <c r="CB104" s="547">
        <f t="shared" si="170"/>
        <v>1</v>
      </c>
      <c r="CC104" s="547">
        <f t="shared" si="174"/>
        <v>0</v>
      </c>
      <c r="CD104" s="547"/>
      <c r="CE104" s="546">
        <f t="shared" si="150"/>
        <v>1</v>
      </c>
      <c r="CF104" s="546">
        <f t="shared" si="151"/>
        <v>0</v>
      </c>
      <c r="CG104" s="546" t="str">
        <f t="shared" si="152"/>
        <v>No Prog ni Ejec</v>
      </c>
      <c r="CH104" s="546" t="str">
        <f t="shared" si="153"/>
        <v>No Prog ni Ejec</v>
      </c>
      <c r="CI104" s="546" t="str">
        <f t="shared" si="154"/>
        <v>No Prog ni Ejec</v>
      </c>
      <c r="CJ104" s="546" t="str">
        <f t="shared" si="155"/>
        <v>No Prog ni Ejec</v>
      </c>
      <c r="CK104" s="546" t="str">
        <f t="shared" si="156"/>
        <v>No Prog ni Ejec</v>
      </c>
      <c r="CL104" s="546" t="str">
        <f t="shared" si="157"/>
        <v>No Prog ni Ejec</v>
      </c>
      <c r="CM104" s="157">
        <f t="shared" si="128"/>
        <v>0</v>
      </c>
      <c r="CX104" s="75">
        <v>7</v>
      </c>
      <c r="DB104" s="75">
        <v>11</v>
      </c>
    </row>
    <row r="105" spans="1:106" s="75" customFormat="1" ht="105" customHeight="1" x14ac:dyDescent="0.2">
      <c r="A105" s="541">
        <v>11700</v>
      </c>
      <c r="B105" s="544" t="s">
        <v>14</v>
      </c>
      <c r="C105" s="544" t="s">
        <v>337</v>
      </c>
      <c r="D105" s="544"/>
      <c r="E105" s="544"/>
      <c r="F105" s="544" t="s">
        <v>1108</v>
      </c>
      <c r="G105" s="544"/>
      <c r="H105" s="544" t="s">
        <v>1108</v>
      </c>
      <c r="I105" s="544"/>
      <c r="J105" s="544"/>
      <c r="K105" s="544"/>
      <c r="L105" s="544" t="s">
        <v>1108</v>
      </c>
      <c r="M105" s="544"/>
      <c r="N105" s="544"/>
      <c r="O105" s="544"/>
      <c r="P105" s="544"/>
      <c r="Q105" s="540" t="s">
        <v>206</v>
      </c>
      <c r="R105" s="540" t="s">
        <v>206</v>
      </c>
      <c r="S105" s="541" t="s">
        <v>240</v>
      </c>
      <c r="T105" s="544" t="s">
        <v>94</v>
      </c>
      <c r="U105" s="544" t="s">
        <v>206</v>
      </c>
      <c r="V105" s="544" t="s">
        <v>206</v>
      </c>
      <c r="W105" s="541" t="s">
        <v>1192</v>
      </c>
      <c r="X105" s="544" t="s">
        <v>880</v>
      </c>
      <c r="Y105" s="60" t="s">
        <v>411</v>
      </c>
      <c r="Z105" s="553">
        <v>1</v>
      </c>
      <c r="AA105" s="851"/>
      <c r="AB105" s="846"/>
      <c r="AC105" s="550">
        <v>20000000</v>
      </c>
      <c r="AD105" s="858"/>
      <c r="AE105" s="544" t="s">
        <v>16</v>
      </c>
      <c r="AF105" s="544" t="s">
        <v>21</v>
      </c>
      <c r="AG105" s="544" t="s">
        <v>206</v>
      </c>
      <c r="AH105" s="544" t="s">
        <v>678</v>
      </c>
      <c r="AI105" s="544" t="s">
        <v>77</v>
      </c>
      <c r="AJ105" s="544" t="s">
        <v>1408</v>
      </c>
      <c r="AK105" s="404" t="s">
        <v>903</v>
      </c>
      <c r="AL105" s="544" t="s">
        <v>43</v>
      </c>
      <c r="AM105" s="553">
        <v>1</v>
      </c>
      <c r="AN105" s="846"/>
      <c r="AO105" s="550">
        <v>20000000</v>
      </c>
      <c r="AP105" s="548" t="s">
        <v>46</v>
      </c>
      <c r="AQ105" s="553">
        <v>0</v>
      </c>
      <c r="AR105" s="846"/>
      <c r="AS105" s="558">
        <v>0</v>
      </c>
      <c r="AT105" s="573">
        <v>0</v>
      </c>
      <c r="AU105" s="608">
        <v>0</v>
      </c>
      <c r="AV105" s="543" t="e">
        <f t="shared" si="159"/>
        <v>#DIV/0!</v>
      </c>
      <c r="AW105" s="543" t="e">
        <f t="shared" si="160"/>
        <v>#DIV/0!</v>
      </c>
      <c r="AX105" s="543">
        <f t="shared" si="161"/>
        <v>0</v>
      </c>
      <c r="AY105" s="543">
        <f t="shared" si="171"/>
        <v>0</v>
      </c>
      <c r="AZ105" s="641" t="s">
        <v>1464</v>
      </c>
      <c r="BA105" s="188">
        <v>0</v>
      </c>
      <c r="BB105" s="846"/>
      <c r="BC105" s="542">
        <v>0</v>
      </c>
      <c r="BD105" s="73"/>
      <c r="BE105" s="73"/>
      <c r="BF105" s="543" t="e">
        <f t="shared" si="162"/>
        <v>#DIV/0!</v>
      </c>
      <c r="BG105" s="543" t="e">
        <f t="shared" si="163"/>
        <v>#DIV/0!</v>
      </c>
      <c r="BH105" s="543">
        <f t="shared" si="164"/>
        <v>0</v>
      </c>
      <c r="BI105" s="543">
        <f t="shared" si="172"/>
        <v>0</v>
      </c>
      <c r="BJ105" s="543"/>
      <c r="BK105" s="188">
        <v>0</v>
      </c>
      <c r="BL105" s="846"/>
      <c r="BM105" s="542">
        <v>0</v>
      </c>
      <c r="BN105" s="541"/>
      <c r="BO105" s="541"/>
      <c r="BP105" s="543" t="e">
        <f t="shared" si="165"/>
        <v>#DIV/0!</v>
      </c>
      <c r="BQ105" s="543" t="e">
        <f t="shared" si="166"/>
        <v>#DIV/0!</v>
      </c>
      <c r="BR105" s="543">
        <f t="shared" si="167"/>
        <v>0</v>
      </c>
      <c r="BS105" s="543">
        <f t="shared" si="173"/>
        <v>0</v>
      </c>
      <c r="BT105" s="543"/>
      <c r="BU105" s="188">
        <v>1</v>
      </c>
      <c r="BV105" s="846"/>
      <c r="BW105" s="542">
        <f>+AO105</f>
        <v>20000000</v>
      </c>
      <c r="BX105" s="541"/>
      <c r="BY105" s="541"/>
      <c r="BZ105" s="547">
        <f t="shared" si="168"/>
        <v>0</v>
      </c>
      <c r="CA105" s="547">
        <f t="shared" si="169"/>
        <v>0</v>
      </c>
      <c r="CB105" s="547">
        <f t="shared" si="170"/>
        <v>0</v>
      </c>
      <c r="CC105" s="547">
        <f t="shared" si="174"/>
        <v>0</v>
      </c>
      <c r="CD105" s="547"/>
      <c r="CE105" s="546" t="str">
        <f t="shared" si="150"/>
        <v>No Prog ni Ejec</v>
      </c>
      <c r="CF105" s="546" t="str">
        <f t="shared" si="151"/>
        <v>No Prog ni Ejec</v>
      </c>
      <c r="CG105" s="546" t="str">
        <f t="shared" si="152"/>
        <v>No Prog ni Ejec</v>
      </c>
      <c r="CH105" s="546" t="str">
        <f t="shared" si="153"/>
        <v>No Prog ni Ejec</v>
      </c>
      <c r="CI105" s="546" t="str">
        <f t="shared" si="154"/>
        <v>No Prog ni Ejec</v>
      </c>
      <c r="CJ105" s="546" t="str">
        <f t="shared" si="155"/>
        <v>No Prog ni Ejec</v>
      </c>
      <c r="CK105" s="546">
        <f t="shared" si="156"/>
        <v>0</v>
      </c>
      <c r="CL105" s="546">
        <f t="shared" si="157"/>
        <v>0</v>
      </c>
      <c r="CM105" s="157">
        <f t="shared" si="128"/>
        <v>0</v>
      </c>
      <c r="CX105" s="75">
        <v>7</v>
      </c>
      <c r="DB105" s="75">
        <v>11</v>
      </c>
    </row>
    <row r="106" spans="1:106" s="75" customFormat="1" ht="104.25" customHeight="1" x14ac:dyDescent="0.2">
      <c r="A106" s="541">
        <v>11700</v>
      </c>
      <c r="B106" s="544" t="s">
        <v>14</v>
      </c>
      <c r="C106" s="544" t="s">
        <v>337</v>
      </c>
      <c r="D106" s="544"/>
      <c r="E106" s="544"/>
      <c r="F106" s="544" t="s">
        <v>1108</v>
      </c>
      <c r="G106" s="544"/>
      <c r="H106" s="544" t="s">
        <v>1108</v>
      </c>
      <c r="I106" s="544"/>
      <c r="J106" s="544"/>
      <c r="K106" s="544"/>
      <c r="L106" s="544" t="s">
        <v>1108</v>
      </c>
      <c r="M106" s="544"/>
      <c r="N106" s="544"/>
      <c r="O106" s="544"/>
      <c r="P106" s="544"/>
      <c r="Q106" s="540" t="s">
        <v>206</v>
      </c>
      <c r="R106" s="540" t="s">
        <v>206</v>
      </c>
      <c r="S106" s="541" t="s">
        <v>240</v>
      </c>
      <c r="T106" s="544" t="s">
        <v>94</v>
      </c>
      <c r="U106" s="544" t="s">
        <v>206</v>
      </c>
      <c r="V106" s="544" t="s">
        <v>206</v>
      </c>
      <c r="W106" s="541" t="s">
        <v>1193</v>
      </c>
      <c r="X106" s="544" t="s">
        <v>958</v>
      </c>
      <c r="Y106" s="60" t="s">
        <v>411</v>
      </c>
      <c r="Z106" s="553">
        <v>2</v>
      </c>
      <c r="AA106" s="851"/>
      <c r="AB106" s="846"/>
      <c r="AC106" s="550">
        <v>23000000</v>
      </c>
      <c r="AD106" s="858"/>
      <c r="AE106" s="544" t="s">
        <v>16</v>
      </c>
      <c r="AF106" s="544" t="s">
        <v>21</v>
      </c>
      <c r="AG106" s="544" t="s">
        <v>206</v>
      </c>
      <c r="AH106" s="544" t="s">
        <v>678</v>
      </c>
      <c r="AI106" s="544" t="s">
        <v>77</v>
      </c>
      <c r="AJ106" s="544" t="s">
        <v>1408</v>
      </c>
      <c r="AK106" s="404" t="s">
        <v>903</v>
      </c>
      <c r="AL106" s="544" t="s">
        <v>43</v>
      </c>
      <c r="AM106" s="553">
        <v>2</v>
      </c>
      <c r="AN106" s="846"/>
      <c r="AO106" s="550">
        <v>23000000</v>
      </c>
      <c r="AP106" s="548" t="s">
        <v>46</v>
      </c>
      <c r="AQ106" s="553">
        <v>0</v>
      </c>
      <c r="AR106" s="846"/>
      <c r="AS106" s="558">
        <v>0</v>
      </c>
      <c r="AT106" s="573">
        <v>0</v>
      </c>
      <c r="AU106" s="608">
        <v>0</v>
      </c>
      <c r="AV106" s="543" t="e">
        <f t="shared" si="159"/>
        <v>#DIV/0!</v>
      </c>
      <c r="AW106" s="543" t="e">
        <f t="shared" si="160"/>
        <v>#DIV/0!</v>
      </c>
      <c r="AX106" s="543">
        <f t="shared" si="161"/>
        <v>0</v>
      </c>
      <c r="AY106" s="543">
        <f t="shared" si="171"/>
        <v>0</v>
      </c>
      <c r="AZ106" s="641" t="s">
        <v>1464</v>
      </c>
      <c r="BA106" s="188">
        <v>1</v>
      </c>
      <c r="BB106" s="846"/>
      <c r="BC106" s="542">
        <f>+AO106/2</f>
        <v>11500000</v>
      </c>
      <c r="BD106" s="73"/>
      <c r="BE106" s="73"/>
      <c r="BF106" s="543">
        <f t="shared" si="162"/>
        <v>0</v>
      </c>
      <c r="BG106" s="543">
        <f t="shared" si="163"/>
        <v>0</v>
      </c>
      <c r="BH106" s="543">
        <f t="shared" si="164"/>
        <v>0</v>
      </c>
      <c r="BI106" s="543">
        <f t="shared" si="172"/>
        <v>0</v>
      </c>
      <c r="BJ106" s="543"/>
      <c r="BK106" s="188">
        <v>1</v>
      </c>
      <c r="BL106" s="846"/>
      <c r="BM106" s="542">
        <f>+AO106/2</f>
        <v>11500000</v>
      </c>
      <c r="BN106" s="541"/>
      <c r="BO106" s="541"/>
      <c r="BP106" s="543">
        <f t="shared" si="165"/>
        <v>0</v>
      </c>
      <c r="BQ106" s="543">
        <f t="shared" si="166"/>
        <v>0</v>
      </c>
      <c r="BR106" s="543">
        <f t="shared" si="167"/>
        <v>0</v>
      </c>
      <c r="BS106" s="543">
        <f t="shared" si="173"/>
        <v>0</v>
      </c>
      <c r="BT106" s="543"/>
      <c r="BU106" s="188">
        <v>0</v>
      </c>
      <c r="BV106" s="846"/>
      <c r="BW106" s="542">
        <v>0</v>
      </c>
      <c r="BX106" s="541"/>
      <c r="BY106" s="541"/>
      <c r="BZ106" s="547" t="e">
        <f t="shared" si="168"/>
        <v>#DIV/0!</v>
      </c>
      <c r="CA106" s="547" t="e">
        <f t="shared" si="169"/>
        <v>#DIV/0!</v>
      </c>
      <c r="CB106" s="547">
        <f t="shared" si="170"/>
        <v>0</v>
      </c>
      <c r="CC106" s="547">
        <f t="shared" si="174"/>
        <v>0</v>
      </c>
      <c r="CD106" s="547"/>
      <c r="CE106" s="546" t="str">
        <f t="shared" si="150"/>
        <v>No Prog ni Ejec</v>
      </c>
      <c r="CF106" s="546" t="str">
        <f t="shared" si="151"/>
        <v>No Prog ni Ejec</v>
      </c>
      <c r="CG106" s="546">
        <f t="shared" si="152"/>
        <v>0</v>
      </c>
      <c r="CH106" s="546">
        <f t="shared" si="153"/>
        <v>0</v>
      </c>
      <c r="CI106" s="546">
        <f t="shared" si="154"/>
        <v>0</v>
      </c>
      <c r="CJ106" s="546">
        <f t="shared" si="155"/>
        <v>0</v>
      </c>
      <c r="CK106" s="546" t="str">
        <f t="shared" si="156"/>
        <v>No Prog ni Ejec</v>
      </c>
      <c r="CL106" s="546" t="str">
        <f t="shared" si="157"/>
        <v>No Prog ni Ejec</v>
      </c>
      <c r="CM106" s="157">
        <f t="shared" si="128"/>
        <v>0</v>
      </c>
      <c r="CX106" s="75">
        <v>7</v>
      </c>
      <c r="DB106" s="75">
        <v>11</v>
      </c>
    </row>
    <row r="107" spans="1:106" s="75" customFormat="1" ht="105.75" customHeight="1" x14ac:dyDescent="0.2">
      <c r="A107" s="541">
        <v>11700</v>
      </c>
      <c r="B107" s="544" t="s">
        <v>14</v>
      </c>
      <c r="C107" s="544" t="s">
        <v>337</v>
      </c>
      <c r="D107" s="544"/>
      <c r="E107" s="544"/>
      <c r="F107" s="544" t="s">
        <v>1108</v>
      </c>
      <c r="G107" s="544"/>
      <c r="H107" s="544" t="s">
        <v>1108</v>
      </c>
      <c r="I107" s="544"/>
      <c r="J107" s="544"/>
      <c r="K107" s="544"/>
      <c r="L107" s="544" t="s">
        <v>1108</v>
      </c>
      <c r="M107" s="544"/>
      <c r="N107" s="544"/>
      <c r="O107" s="544"/>
      <c r="P107" s="544"/>
      <c r="Q107" s="540" t="s">
        <v>206</v>
      </c>
      <c r="R107" s="540" t="s">
        <v>206</v>
      </c>
      <c r="S107" s="541" t="s">
        <v>240</v>
      </c>
      <c r="T107" s="544" t="s">
        <v>94</v>
      </c>
      <c r="U107" s="544" t="s">
        <v>206</v>
      </c>
      <c r="V107" s="544" t="s">
        <v>206</v>
      </c>
      <c r="W107" s="541" t="s">
        <v>872</v>
      </c>
      <c r="X107" s="544" t="s">
        <v>881</v>
      </c>
      <c r="Y107" s="60" t="s">
        <v>411</v>
      </c>
      <c r="Z107" s="553">
        <v>1</v>
      </c>
      <c r="AA107" s="541" t="s">
        <v>854</v>
      </c>
      <c r="AB107" s="544" t="s">
        <v>890</v>
      </c>
      <c r="AC107" s="550">
        <v>12000000</v>
      </c>
      <c r="AD107" s="545">
        <v>1</v>
      </c>
      <c r="AE107" s="544" t="s">
        <v>16</v>
      </c>
      <c r="AF107" s="544" t="s">
        <v>21</v>
      </c>
      <c r="AG107" s="544" t="s">
        <v>206</v>
      </c>
      <c r="AH107" s="544" t="s">
        <v>678</v>
      </c>
      <c r="AI107" s="544" t="s">
        <v>77</v>
      </c>
      <c r="AJ107" s="544" t="s">
        <v>1408</v>
      </c>
      <c r="AK107" s="404" t="s">
        <v>903</v>
      </c>
      <c r="AL107" s="544" t="s">
        <v>43</v>
      </c>
      <c r="AM107" s="553">
        <v>1</v>
      </c>
      <c r="AN107" s="544" t="str">
        <f>+AB107</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AO107" s="550">
        <v>12000000</v>
      </c>
      <c r="AP107" s="548" t="s">
        <v>46</v>
      </c>
      <c r="AQ107" s="553">
        <v>0</v>
      </c>
      <c r="AR107" s="544" t="str">
        <f>+AN107</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AS107" s="558">
        <v>0</v>
      </c>
      <c r="AT107" s="587">
        <v>0</v>
      </c>
      <c r="AU107" s="614">
        <v>0</v>
      </c>
      <c r="AV107" s="543" t="e">
        <f t="shared" si="159"/>
        <v>#DIV/0!</v>
      </c>
      <c r="AW107" s="543" t="e">
        <f t="shared" si="160"/>
        <v>#DIV/0!</v>
      </c>
      <c r="AX107" s="543">
        <f t="shared" si="161"/>
        <v>0</v>
      </c>
      <c r="AY107" s="543">
        <f t="shared" si="171"/>
        <v>0</v>
      </c>
      <c r="AZ107" s="641" t="s">
        <v>1464</v>
      </c>
      <c r="BA107" s="188">
        <v>0</v>
      </c>
      <c r="BB107" s="544" t="str">
        <f>+AN107</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C107" s="542">
        <v>0</v>
      </c>
      <c r="BD107" s="73"/>
      <c r="BE107" s="73"/>
      <c r="BF107" s="543" t="e">
        <f t="shared" si="162"/>
        <v>#DIV/0!</v>
      </c>
      <c r="BG107" s="543" t="e">
        <f t="shared" si="163"/>
        <v>#DIV/0!</v>
      </c>
      <c r="BH107" s="543">
        <f t="shared" si="164"/>
        <v>0</v>
      </c>
      <c r="BI107" s="543">
        <f t="shared" si="172"/>
        <v>0</v>
      </c>
      <c r="BJ107" s="543"/>
      <c r="BK107" s="188">
        <v>1</v>
      </c>
      <c r="BL107" s="544" t="str">
        <f>+AN107</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M107" s="542">
        <f>+AO107</f>
        <v>12000000</v>
      </c>
      <c r="BN107" s="541"/>
      <c r="BO107" s="541"/>
      <c r="BP107" s="543">
        <f t="shared" si="165"/>
        <v>0</v>
      </c>
      <c r="BQ107" s="543">
        <f t="shared" si="166"/>
        <v>0</v>
      </c>
      <c r="BR107" s="543">
        <f t="shared" si="167"/>
        <v>0</v>
      </c>
      <c r="BS107" s="543">
        <f t="shared" si="173"/>
        <v>0</v>
      </c>
      <c r="BT107" s="543"/>
      <c r="BU107" s="188">
        <v>0</v>
      </c>
      <c r="BV107" s="544" t="str">
        <f>+AN107</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W107" s="542">
        <v>0</v>
      </c>
      <c r="BX107" s="541"/>
      <c r="BY107" s="541"/>
      <c r="BZ107" s="547" t="e">
        <f t="shared" si="168"/>
        <v>#DIV/0!</v>
      </c>
      <c r="CA107" s="547" t="e">
        <f t="shared" si="169"/>
        <v>#DIV/0!</v>
      </c>
      <c r="CB107" s="547">
        <f t="shared" si="170"/>
        <v>0</v>
      </c>
      <c r="CC107" s="547">
        <f t="shared" si="174"/>
        <v>0</v>
      </c>
      <c r="CD107" s="547"/>
      <c r="CE107" s="546" t="str">
        <f t="shared" si="150"/>
        <v>No Prog ni Ejec</v>
      </c>
      <c r="CF107" s="546" t="str">
        <f t="shared" si="151"/>
        <v>No Prog ni Ejec</v>
      </c>
      <c r="CG107" s="546" t="str">
        <f t="shared" si="152"/>
        <v>No Prog ni Ejec</v>
      </c>
      <c r="CH107" s="546" t="str">
        <f t="shared" si="153"/>
        <v>No Prog ni Ejec</v>
      </c>
      <c r="CI107" s="546">
        <f t="shared" si="154"/>
        <v>0</v>
      </c>
      <c r="CJ107" s="546">
        <f t="shared" si="155"/>
        <v>0</v>
      </c>
      <c r="CK107" s="546" t="str">
        <f t="shared" si="156"/>
        <v>No Prog ni Ejec</v>
      </c>
      <c r="CL107" s="546" t="str">
        <f t="shared" si="157"/>
        <v>No Prog ni Ejec</v>
      </c>
      <c r="CM107" s="157">
        <f t="shared" si="128"/>
        <v>0</v>
      </c>
      <c r="CX107" s="75">
        <v>7</v>
      </c>
      <c r="DB107" s="75">
        <v>11</v>
      </c>
    </row>
    <row r="108" spans="1:106" s="75" customFormat="1" ht="89.25" x14ac:dyDescent="0.2">
      <c r="A108" s="541">
        <v>11700</v>
      </c>
      <c r="B108" s="544" t="s">
        <v>14</v>
      </c>
      <c r="C108" s="544" t="s">
        <v>337</v>
      </c>
      <c r="D108" s="544"/>
      <c r="E108" s="544"/>
      <c r="F108" s="544" t="s">
        <v>1108</v>
      </c>
      <c r="G108" s="544"/>
      <c r="H108" s="544" t="s">
        <v>1108</v>
      </c>
      <c r="I108" s="544"/>
      <c r="J108" s="544"/>
      <c r="K108" s="544"/>
      <c r="L108" s="544" t="s">
        <v>1108</v>
      </c>
      <c r="M108" s="544"/>
      <c r="N108" s="544"/>
      <c r="O108" s="544"/>
      <c r="P108" s="544"/>
      <c r="Q108" s="540" t="s">
        <v>206</v>
      </c>
      <c r="R108" s="540" t="s">
        <v>206</v>
      </c>
      <c r="S108" s="541" t="s">
        <v>240</v>
      </c>
      <c r="T108" s="544" t="s">
        <v>94</v>
      </c>
      <c r="U108" s="544" t="s">
        <v>206</v>
      </c>
      <c r="V108" s="544" t="s">
        <v>206</v>
      </c>
      <c r="W108" s="541" t="s">
        <v>873</v>
      </c>
      <c r="X108" s="544" t="s">
        <v>882</v>
      </c>
      <c r="Y108" s="60" t="s">
        <v>411</v>
      </c>
      <c r="Z108" s="66">
        <v>1</v>
      </c>
      <c r="AA108" s="541" t="s">
        <v>855</v>
      </c>
      <c r="AB108" s="544" t="s">
        <v>891</v>
      </c>
      <c r="AC108" s="550">
        <v>31000000</v>
      </c>
      <c r="AD108" s="545">
        <v>1</v>
      </c>
      <c r="AE108" s="544" t="s">
        <v>16</v>
      </c>
      <c r="AF108" s="544" t="s">
        <v>21</v>
      </c>
      <c r="AG108" s="544" t="s">
        <v>206</v>
      </c>
      <c r="AH108" s="544" t="s">
        <v>678</v>
      </c>
      <c r="AI108" s="544" t="s">
        <v>77</v>
      </c>
      <c r="AJ108" s="544" t="s">
        <v>1408</v>
      </c>
      <c r="AK108" s="404" t="s">
        <v>903</v>
      </c>
      <c r="AL108" s="544" t="s">
        <v>43</v>
      </c>
      <c r="AM108" s="66">
        <v>1</v>
      </c>
      <c r="AN108" s="544" t="str">
        <f>+AB108</f>
        <v>Determinar y analizar el estado de la satisfacción laboral de los funcionarios, para identificar aspectos que puedan entorpecer la obtención de resultados de acuerdo a la misión de la entidad</v>
      </c>
      <c r="AO108" s="550">
        <v>31000000</v>
      </c>
      <c r="AP108" s="548" t="s">
        <v>46</v>
      </c>
      <c r="AQ108" s="187">
        <v>0</v>
      </c>
      <c r="AR108" s="544" t="str">
        <f>+AN108</f>
        <v>Determinar y analizar el estado de la satisfacción laboral de los funcionarios, para identificar aspectos que puedan entorpecer la obtención de resultados de acuerdo a la misión de la entidad</v>
      </c>
      <c r="AS108" s="558">
        <v>0</v>
      </c>
      <c r="AT108" s="587">
        <v>0</v>
      </c>
      <c r="AU108" s="614">
        <v>0</v>
      </c>
      <c r="AV108" s="543" t="e">
        <f t="shared" si="159"/>
        <v>#DIV/0!</v>
      </c>
      <c r="AW108" s="543" t="e">
        <f t="shared" si="160"/>
        <v>#DIV/0!</v>
      </c>
      <c r="AX108" s="543">
        <f t="shared" si="161"/>
        <v>0</v>
      </c>
      <c r="AY108" s="543">
        <f t="shared" si="171"/>
        <v>0</v>
      </c>
      <c r="AZ108" s="641" t="s">
        <v>1464</v>
      </c>
      <c r="BA108" s="187">
        <v>0</v>
      </c>
      <c r="BB108" s="544" t="str">
        <f>+AN108</f>
        <v>Determinar y analizar el estado de la satisfacción laboral de los funcionarios, para identificar aspectos que puedan entorpecer la obtención de resultados de acuerdo a la misión de la entidad</v>
      </c>
      <c r="BC108" s="542">
        <v>0</v>
      </c>
      <c r="BD108" s="73"/>
      <c r="BE108" s="73"/>
      <c r="BF108" s="543" t="e">
        <f t="shared" si="162"/>
        <v>#DIV/0!</v>
      </c>
      <c r="BG108" s="543" t="e">
        <f t="shared" si="163"/>
        <v>#DIV/0!</v>
      </c>
      <c r="BH108" s="543">
        <f t="shared" si="164"/>
        <v>0</v>
      </c>
      <c r="BI108" s="543">
        <f t="shared" si="172"/>
        <v>0</v>
      </c>
      <c r="BJ108" s="543"/>
      <c r="BK108" s="187">
        <v>1</v>
      </c>
      <c r="BL108" s="544" t="str">
        <f>+AN108</f>
        <v>Determinar y analizar el estado de la satisfacción laboral de los funcionarios, para identificar aspectos que puedan entorpecer la obtención de resultados de acuerdo a la misión de la entidad</v>
      </c>
      <c r="BM108" s="542">
        <f>+AO108</f>
        <v>31000000</v>
      </c>
      <c r="BN108" s="541"/>
      <c r="BO108" s="541"/>
      <c r="BP108" s="543">
        <f t="shared" si="165"/>
        <v>0</v>
      </c>
      <c r="BQ108" s="543">
        <f t="shared" si="166"/>
        <v>0</v>
      </c>
      <c r="BR108" s="543">
        <f t="shared" si="167"/>
        <v>0</v>
      </c>
      <c r="BS108" s="543">
        <f t="shared" si="173"/>
        <v>0</v>
      </c>
      <c r="BT108" s="543"/>
      <c r="BU108" s="552">
        <v>0</v>
      </c>
      <c r="BV108" s="544" t="str">
        <f>+AN108</f>
        <v>Determinar y analizar el estado de la satisfacción laboral de los funcionarios, para identificar aspectos que puedan entorpecer la obtención de resultados de acuerdo a la misión de la entidad</v>
      </c>
      <c r="BW108" s="542">
        <v>0</v>
      </c>
      <c r="BX108" s="541"/>
      <c r="BY108" s="541"/>
      <c r="BZ108" s="547" t="e">
        <f t="shared" si="168"/>
        <v>#DIV/0!</v>
      </c>
      <c r="CA108" s="547" t="e">
        <f t="shared" si="169"/>
        <v>#DIV/0!</v>
      </c>
      <c r="CB108" s="547">
        <f t="shared" si="170"/>
        <v>0</v>
      </c>
      <c r="CC108" s="547">
        <f t="shared" si="174"/>
        <v>0</v>
      </c>
      <c r="CD108" s="547"/>
      <c r="CE108" s="546" t="str">
        <f t="shared" si="150"/>
        <v>No Prog ni Ejec</v>
      </c>
      <c r="CF108" s="546" t="str">
        <f t="shared" si="151"/>
        <v>No Prog ni Ejec</v>
      </c>
      <c r="CG108" s="546" t="str">
        <f t="shared" si="152"/>
        <v>No Prog ni Ejec</v>
      </c>
      <c r="CH108" s="546" t="str">
        <f t="shared" si="153"/>
        <v>No Prog ni Ejec</v>
      </c>
      <c r="CI108" s="546">
        <f t="shared" si="154"/>
        <v>0</v>
      </c>
      <c r="CJ108" s="546">
        <f t="shared" si="155"/>
        <v>0</v>
      </c>
      <c r="CK108" s="546" t="str">
        <f t="shared" si="156"/>
        <v>No Prog ni Ejec</v>
      </c>
      <c r="CL108" s="546" t="str">
        <f t="shared" si="157"/>
        <v>No Prog ni Ejec</v>
      </c>
      <c r="CM108" s="157">
        <f t="shared" si="128"/>
        <v>0</v>
      </c>
      <c r="CX108" s="75">
        <v>7</v>
      </c>
      <c r="DB108" s="75">
        <v>11</v>
      </c>
    </row>
    <row r="109" spans="1:106" s="75" customFormat="1" ht="105" customHeight="1" x14ac:dyDescent="0.2">
      <c r="A109" s="541">
        <v>11700</v>
      </c>
      <c r="B109" s="544" t="s">
        <v>14</v>
      </c>
      <c r="C109" s="544" t="s">
        <v>337</v>
      </c>
      <c r="D109" s="544"/>
      <c r="E109" s="544"/>
      <c r="F109" s="544" t="s">
        <v>1108</v>
      </c>
      <c r="G109" s="544"/>
      <c r="H109" s="544" t="s">
        <v>1108</v>
      </c>
      <c r="I109" s="544"/>
      <c r="J109" s="544"/>
      <c r="K109" s="544"/>
      <c r="L109" s="544" t="s">
        <v>1108</v>
      </c>
      <c r="M109" s="544"/>
      <c r="N109" s="544"/>
      <c r="O109" s="544"/>
      <c r="P109" s="544"/>
      <c r="Q109" s="540" t="s">
        <v>206</v>
      </c>
      <c r="R109" s="540" t="s">
        <v>206</v>
      </c>
      <c r="S109" s="541" t="s">
        <v>240</v>
      </c>
      <c r="T109" s="544" t="s">
        <v>94</v>
      </c>
      <c r="U109" s="544" t="s">
        <v>206</v>
      </c>
      <c r="V109" s="544" t="s">
        <v>206</v>
      </c>
      <c r="W109" s="541" t="s">
        <v>874</v>
      </c>
      <c r="X109" s="544" t="s">
        <v>883</v>
      </c>
      <c r="Y109" s="60" t="s">
        <v>411</v>
      </c>
      <c r="Z109" s="553">
        <v>2</v>
      </c>
      <c r="AA109" s="851" t="s">
        <v>856</v>
      </c>
      <c r="AB109" s="846" t="s">
        <v>892</v>
      </c>
      <c r="AC109" s="857">
        <v>51453000</v>
      </c>
      <c r="AD109" s="545">
        <v>1</v>
      </c>
      <c r="AE109" s="544" t="s">
        <v>16</v>
      </c>
      <c r="AF109" s="544" t="s">
        <v>21</v>
      </c>
      <c r="AG109" s="544" t="s">
        <v>206</v>
      </c>
      <c r="AH109" s="544" t="s">
        <v>678</v>
      </c>
      <c r="AI109" s="544" t="s">
        <v>77</v>
      </c>
      <c r="AJ109" s="544" t="s">
        <v>1408</v>
      </c>
      <c r="AK109" s="404" t="s">
        <v>903</v>
      </c>
      <c r="AL109" s="544" t="s">
        <v>43</v>
      </c>
      <c r="AM109" s="553">
        <v>2</v>
      </c>
      <c r="AN109" s="846" t="str">
        <f>+AB109</f>
        <v>Contribuir al bienestar integral de los funcionarios, mediante la promoción de hábitos saludables, acciones de prevención de la salud, diagnostico temprano, tratamiento oportuno de los factores de riesgo</v>
      </c>
      <c r="AO109" s="857">
        <v>51453000</v>
      </c>
      <c r="AP109" s="548" t="s">
        <v>46</v>
      </c>
      <c r="AQ109" s="553">
        <v>0</v>
      </c>
      <c r="AR109" s="846" t="str">
        <f>+AN109</f>
        <v>Contribuir al bienestar integral de los funcionarios, mediante la promoción de hábitos saludables, acciones de prevención de la salud, diagnostico temprano, tratamiento oportuno de los factores de riesgo</v>
      </c>
      <c r="AS109" s="558">
        <v>0</v>
      </c>
      <c r="AT109" s="587">
        <v>0</v>
      </c>
      <c r="AU109" s="614">
        <v>0</v>
      </c>
      <c r="AV109" s="543" t="e">
        <f t="shared" si="159"/>
        <v>#DIV/0!</v>
      </c>
      <c r="AW109" s="543" t="e">
        <f t="shared" si="160"/>
        <v>#DIV/0!</v>
      </c>
      <c r="AX109" s="543">
        <f t="shared" si="161"/>
        <v>0</v>
      </c>
      <c r="AY109" s="543">
        <f t="shared" si="171"/>
        <v>0</v>
      </c>
      <c r="AZ109" s="641" t="s">
        <v>1464</v>
      </c>
      <c r="BA109" s="188">
        <v>1</v>
      </c>
      <c r="BB109" s="846" t="str">
        <f>+AN109</f>
        <v>Contribuir al bienestar integral de los funcionarios, mediante la promoción de hábitos saludables, acciones de prevención de la salud, diagnostico temprano, tratamiento oportuno de los factores de riesgo</v>
      </c>
      <c r="BC109" s="842">
        <f>+AO109/2</f>
        <v>25726500</v>
      </c>
      <c r="BD109" s="73"/>
      <c r="BE109" s="73"/>
      <c r="BF109" s="543">
        <f t="shared" si="162"/>
        <v>0</v>
      </c>
      <c r="BG109" s="543">
        <f t="shared" si="163"/>
        <v>0</v>
      </c>
      <c r="BH109" s="543">
        <f t="shared" si="164"/>
        <v>0</v>
      </c>
      <c r="BI109" s="543">
        <f t="shared" si="172"/>
        <v>0</v>
      </c>
      <c r="BJ109" s="543"/>
      <c r="BK109" s="188">
        <v>0</v>
      </c>
      <c r="BL109" s="846" t="str">
        <f>+AN109</f>
        <v>Contribuir al bienestar integral de los funcionarios, mediante la promoción de hábitos saludables, acciones de prevención de la salud, diagnostico temprano, tratamiento oportuno de los factores de riesgo</v>
      </c>
      <c r="BM109" s="542">
        <v>0</v>
      </c>
      <c r="BN109" s="541"/>
      <c r="BO109" s="541"/>
      <c r="BP109" s="543" t="e">
        <f t="shared" si="165"/>
        <v>#DIV/0!</v>
      </c>
      <c r="BQ109" s="543" t="e">
        <f t="shared" si="166"/>
        <v>#DIV/0!</v>
      </c>
      <c r="BR109" s="543">
        <f t="shared" si="167"/>
        <v>0</v>
      </c>
      <c r="BS109" s="543">
        <f t="shared" si="173"/>
        <v>0</v>
      </c>
      <c r="BT109" s="543"/>
      <c r="BU109" s="188">
        <v>1</v>
      </c>
      <c r="BV109" s="846" t="str">
        <f>+AN109</f>
        <v>Contribuir al bienestar integral de los funcionarios, mediante la promoción de hábitos saludables, acciones de prevención de la salud, diagnostico temprano, tratamiento oportuno de los factores de riesgo</v>
      </c>
      <c r="BW109" s="842">
        <f>+AO109/2</f>
        <v>25726500</v>
      </c>
      <c r="BX109" s="541"/>
      <c r="BY109" s="541"/>
      <c r="BZ109" s="547">
        <f t="shared" si="168"/>
        <v>0</v>
      </c>
      <c r="CA109" s="547">
        <f t="shared" si="169"/>
        <v>0</v>
      </c>
      <c r="CB109" s="547">
        <f t="shared" si="170"/>
        <v>0</v>
      </c>
      <c r="CC109" s="547">
        <f t="shared" si="174"/>
        <v>0</v>
      </c>
      <c r="CD109" s="547"/>
      <c r="CE109" s="546" t="str">
        <f t="shared" si="150"/>
        <v>No Prog ni Ejec</v>
      </c>
      <c r="CF109" s="546" t="str">
        <f t="shared" si="151"/>
        <v>No Prog ni Ejec</v>
      </c>
      <c r="CG109" s="546">
        <f t="shared" si="152"/>
        <v>0</v>
      </c>
      <c r="CH109" s="546">
        <f t="shared" si="153"/>
        <v>0</v>
      </c>
      <c r="CI109" s="546" t="str">
        <f t="shared" si="154"/>
        <v>No Prog ni Ejec</v>
      </c>
      <c r="CJ109" s="546" t="str">
        <f t="shared" si="155"/>
        <v>No Prog ni Ejec</v>
      </c>
      <c r="CK109" s="546">
        <f t="shared" si="156"/>
        <v>0</v>
      </c>
      <c r="CL109" s="546">
        <f t="shared" si="157"/>
        <v>0</v>
      </c>
      <c r="CM109" s="157">
        <f t="shared" si="128"/>
        <v>0</v>
      </c>
      <c r="CX109" s="75">
        <v>7</v>
      </c>
      <c r="DB109" s="75">
        <v>11</v>
      </c>
    </row>
    <row r="110" spans="1:106" s="75" customFormat="1" ht="108.75" customHeight="1" x14ac:dyDescent="0.2">
      <c r="A110" s="541">
        <v>11700</v>
      </c>
      <c r="B110" s="544" t="s">
        <v>14</v>
      </c>
      <c r="C110" s="544" t="s">
        <v>337</v>
      </c>
      <c r="D110" s="544"/>
      <c r="E110" s="544"/>
      <c r="F110" s="544" t="s">
        <v>1108</v>
      </c>
      <c r="G110" s="544"/>
      <c r="H110" s="544" t="s">
        <v>1108</v>
      </c>
      <c r="I110" s="544"/>
      <c r="J110" s="544"/>
      <c r="K110" s="544"/>
      <c r="L110" s="544" t="s">
        <v>1108</v>
      </c>
      <c r="M110" s="544"/>
      <c r="N110" s="544"/>
      <c r="O110" s="544"/>
      <c r="P110" s="544"/>
      <c r="Q110" s="540" t="s">
        <v>206</v>
      </c>
      <c r="R110" s="540" t="s">
        <v>206</v>
      </c>
      <c r="S110" s="541" t="s">
        <v>240</v>
      </c>
      <c r="T110" s="544" t="s">
        <v>94</v>
      </c>
      <c r="U110" s="544" t="s">
        <v>206</v>
      </c>
      <c r="V110" s="544" t="s">
        <v>206</v>
      </c>
      <c r="W110" s="541" t="s">
        <v>1194</v>
      </c>
      <c r="X110" s="544" t="s">
        <v>884</v>
      </c>
      <c r="Y110" s="60" t="s">
        <v>411</v>
      </c>
      <c r="Z110" s="553">
        <v>2</v>
      </c>
      <c r="AA110" s="851"/>
      <c r="AB110" s="846"/>
      <c r="AC110" s="857"/>
      <c r="AD110" s="858"/>
      <c r="AE110" s="544" t="s">
        <v>16</v>
      </c>
      <c r="AF110" s="544" t="s">
        <v>21</v>
      </c>
      <c r="AG110" s="544" t="s">
        <v>206</v>
      </c>
      <c r="AH110" s="544" t="s">
        <v>678</v>
      </c>
      <c r="AI110" s="544" t="s">
        <v>77</v>
      </c>
      <c r="AJ110" s="544" t="s">
        <v>1408</v>
      </c>
      <c r="AK110" s="404" t="s">
        <v>903</v>
      </c>
      <c r="AL110" s="544" t="s">
        <v>43</v>
      </c>
      <c r="AM110" s="553">
        <v>2</v>
      </c>
      <c r="AN110" s="846"/>
      <c r="AO110" s="857"/>
      <c r="AP110" s="548" t="s">
        <v>46</v>
      </c>
      <c r="AQ110" s="553">
        <v>0</v>
      </c>
      <c r="AR110" s="846"/>
      <c r="AS110" s="558">
        <v>0</v>
      </c>
      <c r="AT110" s="587">
        <v>0</v>
      </c>
      <c r="AU110" s="614">
        <v>0</v>
      </c>
      <c r="AV110" s="543" t="e">
        <f t="shared" si="159"/>
        <v>#DIV/0!</v>
      </c>
      <c r="AW110" s="543" t="e">
        <f t="shared" si="160"/>
        <v>#DIV/0!</v>
      </c>
      <c r="AX110" s="543">
        <f t="shared" si="161"/>
        <v>0</v>
      </c>
      <c r="AY110" s="543">
        <f>+(AU110/AO109)</f>
        <v>0</v>
      </c>
      <c r="AZ110" s="641" t="s">
        <v>1464</v>
      </c>
      <c r="BA110" s="188">
        <v>1</v>
      </c>
      <c r="BB110" s="846"/>
      <c r="BC110" s="842"/>
      <c r="BD110" s="73"/>
      <c r="BE110" s="73"/>
      <c r="BF110" s="543">
        <f t="shared" si="162"/>
        <v>0</v>
      </c>
      <c r="BG110" s="543" t="e">
        <f t="shared" si="163"/>
        <v>#DIV/0!</v>
      </c>
      <c r="BH110" s="543">
        <f t="shared" si="164"/>
        <v>0</v>
      </c>
      <c r="BI110" s="543">
        <f>+(BE110+AU110)/AO109</f>
        <v>0</v>
      </c>
      <c r="BJ110" s="543"/>
      <c r="BK110" s="188">
        <v>0</v>
      </c>
      <c r="BL110" s="846"/>
      <c r="BM110" s="542">
        <v>0</v>
      </c>
      <c r="BN110" s="541"/>
      <c r="BO110" s="541"/>
      <c r="BP110" s="543" t="e">
        <f t="shared" si="165"/>
        <v>#DIV/0!</v>
      </c>
      <c r="BQ110" s="543" t="e">
        <f t="shared" si="166"/>
        <v>#DIV/0!</v>
      </c>
      <c r="BR110" s="543">
        <f t="shared" si="167"/>
        <v>0</v>
      </c>
      <c r="BS110" s="543">
        <f>+(BE110+AU110+BO110)/AO109</f>
        <v>0</v>
      </c>
      <c r="BT110" s="543"/>
      <c r="BU110" s="188">
        <v>1</v>
      </c>
      <c r="BV110" s="846"/>
      <c r="BW110" s="842"/>
      <c r="BX110" s="541"/>
      <c r="BY110" s="541"/>
      <c r="BZ110" s="547">
        <f t="shared" si="168"/>
        <v>0</v>
      </c>
      <c r="CA110" s="547" t="e">
        <f t="shared" si="169"/>
        <v>#DIV/0!</v>
      </c>
      <c r="CB110" s="547">
        <f t="shared" si="170"/>
        <v>0</v>
      </c>
      <c r="CC110" s="547">
        <f>+(BE110+AU110+BO110+BY110)/AO109</f>
        <v>0</v>
      </c>
      <c r="CD110" s="547"/>
      <c r="CE110" s="546" t="str">
        <f t="shared" si="150"/>
        <v>No Prog ni Ejec</v>
      </c>
      <c r="CF110" s="546" t="str">
        <f t="shared" si="151"/>
        <v>No Prog ni Ejec</v>
      </c>
      <c r="CG110" s="546">
        <f t="shared" si="152"/>
        <v>0</v>
      </c>
      <c r="CH110" s="546" t="str">
        <f t="shared" si="153"/>
        <v>No Prog ni Ejec</v>
      </c>
      <c r="CI110" s="546" t="str">
        <f t="shared" si="154"/>
        <v>No Prog ni Ejec</v>
      </c>
      <c r="CJ110" s="546" t="str">
        <f t="shared" si="155"/>
        <v>No Prog ni Ejec</v>
      </c>
      <c r="CK110" s="546">
        <f t="shared" si="156"/>
        <v>0</v>
      </c>
      <c r="CL110" s="546" t="str">
        <f t="shared" si="157"/>
        <v>No Prog ni Ejec</v>
      </c>
      <c r="CM110" s="157">
        <f t="shared" si="128"/>
        <v>0</v>
      </c>
      <c r="CX110" s="75">
        <v>7</v>
      </c>
      <c r="DB110" s="75">
        <v>11</v>
      </c>
    </row>
    <row r="111" spans="1:106" s="75" customFormat="1" ht="89.25" x14ac:dyDescent="0.2">
      <c r="A111" s="541">
        <v>11700</v>
      </c>
      <c r="B111" s="544" t="s">
        <v>14</v>
      </c>
      <c r="C111" s="544" t="s">
        <v>337</v>
      </c>
      <c r="D111" s="544"/>
      <c r="E111" s="544"/>
      <c r="F111" s="544" t="s">
        <v>1108</v>
      </c>
      <c r="G111" s="544"/>
      <c r="H111" s="544" t="s">
        <v>1108</v>
      </c>
      <c r="I111" s="544"/>
      <c r="J111" s="544"/>
      <c r="K111" s="544"/>
      <c r="L111" s="544" t="s">
        <v>1108</v>
      </c>
      <c r="M111" s="544"/>
      <c r="N111" s="544"/>
      <c r="O111" s="544"/>
      <c r="P111" s="544"/>
      <c r="Q111" s="540" t="s">
        <v>206</v>
      </c>
      <c r="R111" s="540" t="s">
        <v>206</v>
      </c>
      <c r="S111" s="541" t="s">
        <v>240</v>
      </c>
      <c r="T111" s="544" t="s">
        <v>94</v>
      </c>
      <c r="U111" s="544" t="s">
        <v>206</v>
      </c>
      <c r="V111" s="544" t="s">
        <v>206</v>
      </c>
      <c r="W111" s="541" t="s">
        <v>1195</v>
      </c>
      <c r="X111" s="544" t="s">
        <v>885</v>
      </c>
      <c r="Y111" s="60" t="s">
        <v>411</v>
      </c>
      <c r="Z111" s="553">
        <v>2</v>
      </c>
      <c r="AA111" s="851"/>
      <c r="AB111" s="846"/>
      <c r="AC111" s="857"/>
      <c r="AD111" s="858"/>
      <c r="AE111" s="544" t="s">
        <v>16</v>
      </c>
      <c r="AF111" s="544" t="s">
        <v>21</v>
      </c>
      <c r="AG111" s="544" t="s">
        <v>206</v>
      </c>
      <c r="AH111" s="544" t="s">
        <v>678</v>
      </c>
      <c r="AI111" s="544" t="s">
        <v>77</v>
      </c>
      <c r="AJ111" s="544" t="s">
        <v>1408</v>
      </c>
      <c r="AK111" s="404" t="s">
        <v>903</v>
      </c>
      <c r="AL111" s="544" t="s">
        <v>43</v>
      </c>
      <c r="AM111" s="553">
        <v>2</v>
      </c>
      <c r="AN111" s="846"/>
      <c r="AO111" s="857"/>
      <c r="AP111" s="548" t="s">
        <v>46</v>
      </c>
      <c r="AQ111" s="553">
        <v>0</v>
      </c>
      <c r="AR111" s="846"/>
      <c r="AS111" s="558">
        <v>0</v>
      </c>
      <c r="AT111" s="587">
        <v>0</v>
      </c>
      <c r="AU111" s="614">
        <v>0</v>
      </c>
      <c r="AV111" s="543" t="e">
        <f t="shared" si="159"/>
        <v>#DIV/0!</v>
      </c>
      <c r="AW111" s="543" t="e">
        <f t="shared" si="160"/>
        <v>#DIV/0!</v>
      </c>
      <c r="AX111" s="543">
        <f t="shared" si="161"/>
        <v>0</v>
      </c>
      <c r="AY111" s="543">
        <f>+(AU111/AO109)</f>
        <v>0</v>
      </c>
      <c r="AZ111" s="641" t="s">
        <v>1464</v>
      </c>
      <c r="BA111" s="188">
        <v>1</v>
      </c>
      <c r="BB111" s="846"/>
      <c r="BC111" s="842"/>
      <c r="BD111" s="73"/>
      <c r="BE111" s="73"/>
      <c r="BF111" s="543">
        <f t="shared" si="162"/>
        <v>0</v>
      </c>
      <c r="BG111" s="543" t="e">
        <f t="shared" si="163"/>
        <v>#DIV/0!</v>
      </c>
      <c r="BH111" s="543">
        <f t="shared" si="164"/>
        <v>0</v>
      </c>
      <c r="BI111" s="543">
        <f>+(BE111+AU111)/AO109</f>
        <v>0</v>
      </c>
      <c r="BJ111" s="543"/>
      <c r="BK111" s="188">
        <v>0</v>
      </c>
      <c r="BL111" s="846"/>
      <c r="BM111" s="542">
        <v>0</v>
      </c>
      <c r="BN111" s="541"/>
      <c r="BO111" s="541"/>
      <c r="BP111" s="543" t="e">
        <f t="shared" si="165"/>
        <v>#DIV/0!</v>
      </c>
      <c r="BQ111" s="543" t="e">
        <f t="shared" si="166"/>
        <v>#DIV/0!</v>
      </c>
      <c r="BR111" s="543">
        <f t="shared" si="167"/>
        <v>0</v>
      </c>
      <c r="BS111" s="543">
        <f>+(BE111+AU111+BO111)/AO109</f>
        <v>0</v>
      </c>
      <c r="BT111" s="543"/>
      <c r="BU111" s="188">
        <v>1</v>
      </c>
      <c r="BV111" s="846"/>
      <c r="BW111" s="842"/>
      <c r="BX111" s="541"/>
      <c r="BY111" s="541"/>
      <c r="BZ111" s="547">
        <f t="shared" si="168"/>
        <v>0</v>
      </c>
      <c r="CA111" s="547" t="e">
        <f t="shared" si="169"/>
        <v>#DIV/0!</v>
      </c>
      <c r="CB111" s="547">
        <f t="shared" si="170"/>
        <v>0</v>
      </c>
      <c r="CC111" s="547">
        <f>+(BE111+AU111+BO111+BY111)/AO109</f>
        <v>0</v>
      </c>
      <c r="CD111" s="547"/>
      <c r="CE111" s="546" t="str">
        <f t="shared" si="150"/>
        <v>No Prog ni Ejec</v>
      </c>
      <c r="CF111" s="546" t="str">
        <f t="shared" si="151"/>
        <v>No Prog ni Ejec</v>
      </c>
      <c r="CG111" s="546">
        <f t="shared" si="152"/>
        <v>0</v>
      </c>
      <c r="CH111" s="546" t="str">
        <f t="shared" si="153"/>
        <v>No Prog ni Ejec</v>
      </c>
      <c r="CI111" s="546" t="str">
        <f t="shared" si="154"/>
        <v>No Prog ni Ejec</v>
      </c>
      <c r="CJ111" s="546" t="str">
        <f t="shared" si="155"/>
        <v>No Prog ni Ejec</v>
      </c>
      <c r="CK111" s="546">
        <f t="shared" si="156"/>
        <v>0</v>
      </c>
      <c r="CL111" s="546" t="str">
        <f t="shared" si="157"/>
        <v>No Prog ni Ejec</v>
      </c>
      <c r="CM111" s="157">
        <f t="shared" si="128"/>
        <v>0</v>
      </c>
      <c r="CX111" s="75">
        <v>7</v>
      </c>
      <c r="DB111" s="75">
        <v>11</v>
      </c>
    </row>
    <row r="112" spans="1:106" s="75" customFormat="1" ht="89.25" x14ac:dyDescent="0.2">
      <c r="A112" s="541">
        <v>11700</v>
      </c>
      <c r="B112" s="544" t="s">
        <v>14</v>
      </c>
      <c r="C112" s="544" t="s">
        <v>337</v>
      </c>
      <c r="D112" s="544"/>
      <c r="E112" s="544"/>
      <c r="F112" s="544" t="s">
        <v>1108</v>
      </c>
      <c r="G112" s="544"/>
      <c r="H112" s="544" t="s">
        <v>1108</v>
      </c>
      <c r="I112" s="544"/>
      <c r="J112" s="544"/>
      <c r="K112" s="544"/>
      <c r="L112" s="544" t="s">
        <v>1108</v>
      </c>
      <c r="M112" s="544"/>
      <c r="N112" s="544"/>
      <c r="O112" s="544"/>
      <c r="P112" s="544"/>
      <c r="Q112" s="540" t="s">
        <v>206</v>
      </c>
      <c r="R112" s="540" t="s">
        <v>206</v>
      </c>
      <c r="S112" s="541" t="s">
        <v>240</v>
      </c>
      <c r="T112" s="544" t="s">
        <v>94</v>
      </c>
      <c r="U112" s="544" t="s">
        <v>206</v>
      </c>
      <c r="V112" s="544" t="s">
        <v>206</v>
      </c>
      <c r="W112" s="541" t="s">
        <v>1196</v>
      </c>
      <c r="X112" s="544" t="s">
        <v>886</v>
      </c>
      <c r="Y112" s="60" t="s">
        <v>411</v>
      </c>
      <c r="Z112" s="553">
        <v>2</v>
      </c>
      <c r="AA112" s="851"/>
      <c r="AB112" s="846"/>
      <c r="AC112" s="857"/>
      <c r="AD112" s="858"/>
      <c r="AE112" s="544" t="s">
        <v>16</v>
      </c>
      <c r="AF112" s="544" t="s">
        <v>21</v>
      </c>
      <c r="AG112" s="544" t="s">
        <v>206</v>
      </c>
      <c r="AH112" s="544" t="s">
        <v>678</v>
      </c>
      <c r="AI112" s="544" t="s">
        <v>77</v>
      </c>
      <c r="AJ112" s="544" t="s">
        <v>1408</v>
      </c>
      <c r="AK112" s="404" t="s">
        <v>903</v>
      </c>
      <c r="AL112" s="544" t="s">
        <v>43</v>
      </c>
      <c r="AM112" s="553">
        <v>2</v>
      </c>
      <c r="AN112" s="846"/>
      <c r="AO112" s="857"/>
      <c r="AP112" s="548" t="s">
        <v>46</v>
      </c>
      <c r="AQ112" s="553">
        <v>0</v>
      </c>
      <c r="AR112" s="846"/>
      <c r="AS112" s="558">
        <v>0</v>
      </c>
      <c r="AT112" s="587">
        <v>0</v>
      </c>
      <c r="AU112" s="614">
        <v>0</v>
      </c>
      <c r="AV112" s="543" t="e">
        <f t="shared" si="159"/>
        <v>#DIV/0!</v>
      </c>
      <c r="AW112" s="543" t="e">
        <f t="shared" si="160"/>
        <v>#DIV/0!</v>
      </c>
      <c r="AX112" s="543">
        <f t="shared" si="161"/>
        <v>0</v>
      </c>
      <c r="AY112" s="543">
        <f>+(AU112/AO109)</f>
        <v>0</v>
      </c>
      <c r="AZ112" s="641" t="s">
        <v>1464</v>
      </c>
      <c r="BA112" s="188">
        <v>1</v>
      </c>
      <c r="BB112" s="846"/>
      <c r="BC112" s="842"/>
      <c r="BD112" s="73"/>
      <c r="BE112" s="73"/>
      <c r="BF112" s="543">
        <f t="shared" si="162"/>
        <v>0</v>
      </c>
      <c r="BG112" s="543" t="e">
        <f t="shared" si="163"/>
        <v>#DIV/0!</v>
      </c>
      <c r="BH112" s="543">
        <f t="shared" si="164"/>
        <v>0</v>
      </c>
      <c r="BI112" s="543">
        <f>+(BE112+AU112)/AO109</f>
        <v>0</v>
      </c>
      <c r="BJ112" s="543"/>
      <c r="BK112" s="188">
        <v>0</v>
      </c>
      <c r="BL112" s="846"/>
      <c r="BM112" s="542">
        <v>0</v>
      </c>
      <c r="BN112" s="541"/>
      <c r="BO112" s="541"/>
      <c r="BP112" s="543" t="e">
        <f t="shared" si="165"/>
        <v>#DIV/0!</v>
      </c>
      <c r="BQ112" s="543" t="e">
        <f t="shared" si="166"/>
        <v>#DIV/0!</v>
      </c>
      <c r="BR112" s="543">
        <f t="shared" si="167"/>
        <v>0</v>
      </c>
      <c r="BS112" s="543">
        <f>+(BE112+AU112+BO112)/AO109</f>
        <v>0</v>
      </c>
      <c r="BT112" s="543"/>
      <c r="BU112" s="188">
        <v>1</v>
      </c>
      <c r="BV112" s="846"/>
      <c r="BW112" s="842"/>
      <c r="BX112" s="541"/>
      <c r="BY112" s="541"/>
      <c r="BZ112" s="547">
        <f t="shared" si="168"/>
        <v>0</v>
      </c>
      <c r="CA112" s="547" t="e">
        <f t="shared" si="169"/>
        <v>#DIV/0!</v>
      </c>
      <c r="CB112" s="547">
        <f t="shared" si="170"/>
        <v>0</v>
      </c>
      <c r="CC112" s="547">
        <f>+(BE112+AU112+BO112+BY112)/AO109</f>
        <v>0</v>
      </c>
      <c r="CD112" s="547"/>
      <c r="CE112" s="546" t="str">
        <f t="shared" si="150"/>
        <v>No Prog ni Ejec</v>
      </c>
      <c r="CF112" s="546" t="str">
        <f t="shared" si="151"/>
        <v>No Prog ni Ejec</v>
      </c>
      <c r="CG112" s="546">
        <f t="shared" si="152"/>
        <v>0</v>
      </c>
      <c r="CH112" s="546" t="str">
        <f t="shared" si="153"/>
        <v>No Prog ni Ejec</v>
      </c>
      <c r="CI112" s="546" t="str">
        <f t="shared" si="154"/>
        <v>No Prog ni Ejec</v>
      </c>
      <c r="CJ112" s="546" t="str">
        <f t="shared" si="155"/>
        <v>No Prog ni Ejec</v>
      </c>
      <c r="CK112" s="546">
        <f t="shared" si="156"/>
        <v>0</v>
      </c>
      <c r="CL112" s="546" t="str">
        <f t="shared" si="157"/>
        <v>No Prog ni Ejec</v>
      </c>
      <c r="CM112" s="157">
        <f t="shared" si="128"/>
        <v>0</v>
      </c>
      <c r="CX112" s="75">
        <v>7</v>
      </c>
      <c r="DB112" s="75">
        <v>11</v>
      </c>
    </row>
    <row r="113" spans="1:107" s="75" customFormat="1" ht="105" customHeight="1" x14ac:dyDescent="0.2">
      <c r="A113" s="541">
        <v>11700</v>
      </c>
      <c r="B113" s="544" t="s">
        <v>14</v>
      </c>
      <c r="C113" s="544" t="s">
        <v>337</v>
      </c>
      <c r="D113" s="544"/>
      <c r="E113" s="544"/>
      <c r="F113" s="544" t="s">
        <v>1108</v>
      </c>
      <c r="G113" s="544"/>
      <c r="H113" s="544" t="s">
        <v>1108</v>
      </c>
      <c r="I113" s="544"/>
      <c r="J113" s="544"/>
      <c r="K113" s="544"/>
      <c r="L113" s="544" t="s">
        <v>1108</v>
      </c>
      <c r="M113" s="544"/>
      <c r="N113" s="544"/>
      <c r="O113" s="544"/>
      <c r="P113" s="544"/>
      <c r="Q113" s="540" t="s">
        <v>206</v>
      </c>
      <c r="R113" s="540" t="s">
        <v>206</v>
      </c>
      <c r="S113" s="541" t="s">
        <v>240</v>
      </c>
      <c r="T113" s="544" t="s">
        <v>94</v>
      </c>
      <c r="U113" s="544" t="s">
        <v>206</v>
      </c>
      <c r="V113" s="544" t="s">
        <v>206</v>
      </c>
      <c r="W113" s="541" t="s">
        <v>1197</v>
      </c>
      <c r="X113" s="544" t="s">
        <v>899</v>
      </c>
      <c r="Y113" s="60" t="s">
        <v>411</v>
      </c>
      <c r="Z113" s="553">
        <v>48</v>
      </c>
      <c r="AA113" s="851"/>
      <c r="AB113" s="846"/>
      <c r="AC113" s="857"/>
      <c r="AD113" s="858"/>
      <c r="AE113" s="544" t="s">
        <v>16</v>
      </c>
      <c r="AF113" s="544" t="s">
        <v>21</v>
      </c>
      <c r="AG113" s="544" t="s">
        <v>206</v>
      </c>
      <c r="AH113" s="544" t="s">
        <v>678</v>
      </c>
      <c r="AI113" s="544" t="s">
        <v>77</v>
      </c>
      <c r="AJ113" s="544" t="s">
        <v>1408</v>
      </c>
      <c r="AK113" s="404" t="s">
        <v>903</v>
      </c>
      <c r="AL113" s="544" t="s">
        <v>43</v>
      </c>
      <c r="AM113" s="553">
        <v>48</v>
      </c>
      <c r="AN113" s="846"/>
      <c r="AO113" s="857"/>
      <c r="AP113" s="548" t="s">
        <v>46</v>
      </c>
      <c r="AQ113" s="188">
        <v>12</v>
      </c>
      <c r="AR113" s="846"/>
      <c r="AS113" s="558">
        <f>+AO109/4</f>
        <v>12863250</v>
      </c>
      <c r="AT113" s="587">
        <v>3</v>
      </c>
      <c r="AU113" s="614">
        <v>0</v>
      </c>
      <c r="AV113" s="543">
        <f t="shared" si="159"/>
        <v>0.25</v>
      </c>
      <c r="AW113" s="543">
        <f t="shared" si="160"/>
        <v>0</v>
      </c>
      <c r="AX113" s="543">
        <f t="shared" si="161"/>
        <v>6.25E-2</v>
      </c>
      <c r="AY113" s="543">
        <f>+(AU113/AO109)</f>
        <v>0</v>
      </c>
      <c r="AZ113" s="586" t="s">
        <v>1473</v>
      </c>
      <c r="BA113" s="188">
        <v>12</v>
      </c>
      <c r="BB113" s="846"/>
      <c r="BC113" s="542">
        <f>+AS113</f>
        <v>12863250</v>
      </c>
      <c r="BD113" s="73"/>
      <c r="BE113" s="73"/>
      <c r="BF113" s="543">
        <f t="shared" si="162"/>
        <v>0</v>
      </c>
      <c r="BG113" s="543">
        <f t="shared" si="163"/>
        <v>0</v>
      </c>
      <c r="BH113" s="543">
        <f t="shared" si="164"/>
        <v>6.25E-2</v>
      </c>
      <c r="BI113" s="543">
        <f>+(BE113+AU113)/AO109</f>
        <v>0</v>
      </c>
      <c r="BJ113" s="543"/>
      <c r="BK113" s="188">
        <v>12</v>
      </c>
      <c r="BL113" s="846"/>
      <c r="BM113" s="542">
        <f>+BC113</f>
        <v>12863250</v>
      </c>
      <c r="BN113" s="541"/>
      <c r="BO113" s="541"/>
      <c r="BP113" s="543">
        <f t="shared" si="165"/>
        <v>0</v>
      </c>
      <c r="BQ113" s="543">
        <f t="shared" si="166"/>
        <v>0</v>
      </c>
      <c r="BR113" s="543">
        <f t="shared" si="167"/>
        <v>6.25E-2</v>
      </c>
      <c r="BS113" s="543">
        <f>+(BE113+AU113+BO113)/AO109</f>
        <v>0</v>
      </c>
      <c r="BT113" s="543"/>
      <c r="BU113" s="188">
        <v>12</v>
      </c>
      <c r="BV113" s="846"/>
      <c r="BW113" s="542">
        <f>+BM113</f>
        <v>12863250</v>
      </c>
      <c r="BX113" s="541"/>
      <c r="BY113" s="541"/>
      <c r="BZ113" s="547">
        <f t="shared" si="168"/>
        <v>0</v>
      </c>
      <c r="CA113" s="547">
        <f t="shared" si="169"/>
        <v>0</v>
      </c>
      <c r="CB113" s="547">
        <f t="shared" si="170"/>
        <v>6.25E-2</v>
      </c>
      <c r="CC113" s="547">
        <f>+(BE113+AU113+BO113+BY113)/AO109</f>
        <v>0</v>
      </c>
      <c r="CD113" s="547"/>
      <c r="CE113" s="546">
        <f t="shared" si="150"/>
        <v>0.25</v>
      </c>
      <c r="CF113" s="546">
        <f t="shared" si="151"/>
        <v>0</v>
      </c>
      <c r="CG113" s="546">
        <f t="shared" si="152"/>
        <v>0</v>
      </c>
      <c r="CH113" s="546">
        <f t="shared" si="153"/>
        <v>0</v>
      </c>
      <c r="CI113" s="546">
        <f t="shared" si="154"/>
        <v>0</v>
      </c>
      <c r="CJ113" s="546">
        <f t="shared" si="155"/>
        <v>0</v>
      </c>
      <c r="CK113" s="546">
        <f t="shared" si="156"/>
        <v>0</v>
      </c>
      <c r="CL113" s="546">
        <f t="shared" si="157"/>
        <v>0</v>
      </c>
      <c r="CM113" s="157">
        <f>+AC109-AS113-BC113-BM113-BW113</f>
        <v>0</v>
      </c>
      <c r="CX113" s="75">
        <v>7</v>
      </c>
      <c r="DB113" s="75">
        <v>11</v>
      </c>
    </row>
    <row r="114" spans="1:107" s="75" customFormat="1" ht="102" customHeight="1" x14ac:dyDescent="0.2">
      <c r="A114" s="541">
        <v>11700</v>
      </c>
      <c r="B114" s="544" t="s">
        <v>14</v>
      </c>
      <c r="C114" s="544" t="s">
        <v>337</v>
      </c>
      <c r="D114" s="544"/>
      <c r="E114" s="544"/>
      <c r="F114" s="544" t="s">
        <v>1108</v>
      </c>
      <c r="G114" s="544"/>
      <c r="H114" s="544" t="s">
        <v>1108</v>
      </c>
      <c r="I114" s="544"/>
      <c r="J114" s="544"/>
      <c r="K114" s="544"/>
      <c r="L114" s="544" t="s">
        <v>1108</v>
      </c>
      <c r="M114" s="544"/>
      <c r="N114" s="544"/>
      <c r="O114" s="544"/>
      <c r="P114" s="544"/>
      <c r="Q114" s="540" t="s">
        <v>206</v>
      </c>
      <c r="R114" s="540" t="s">
        <v>206</v>
      </c>
      <c r="S114" s="541" t="s">
        <v>240</v>
      </c>
      <c r="T114" s="544" t="s">
        <v>94</v>
      </c>
      <c r="U114" s="544" t="s">
        <v>206</v>
      </c>
      <c r="V114" s="544" t="s">
        <v>206</v>
      </c>
      <c r="W114" s="541" t="s">
        <v>875</v>
      </c>
      <c r="X114" s="544" t="s">
        <v>900</v>
      </c>
      <c r="Y114" s="60" t="s">
        <v>411</v>
      </c>
      <c r="Z114" s="553">
        <v>1</v>
      </c>
      <c r="AA114" s="541" t="s">
        <v>857</v>
      </c>
      <c r="AB114" s="544" t="s">
        <v>890</v>
      </c>
      <c r="AC114" s="550">
        <v>20000000</v>
      </c>
      <c r="AD114" s="545">
        <v>1</v>
      </c>
      <c r="AE114" s="544" t="s">
        <v>16</v>
      </c>
      <c r="AF114" s="544" t="s">
        <v>21</v>
      </c>
      <c r="AG114" s="544" t="s">
        <v>206</v>
      </c>
      <c r="AH114" s="544" t="s">
        <v>678</v>
      </c>
      <c r="AI114" s="544" t="s">
        <v>77</v>
      </c>
      <c r="AJ114" s="544" t="s">
        <v>1408</v>
      </c>
      <c r="AK114" s="404" t="s">
        <v>903</v>
      </c>
      <c r="AL114" s="544" t="s">
        <v>43</v>
      </c>
      <c r="AM114" s="553">
        <v>1</v>
      </c>
      <c r="AN114" s="544" t="str">
        <f t="shared" ref="AN114:AN121" si="175">+AB114</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AO114" s="550">
        <v>20000000</v>
      </c>
      <c r="AP114" s="548" t="s">
        <v>46</v>
      </c>
      <c r="AQ114" s="553">
        <v>0</v>
      </c>
      <c r="AR114" s="544" t="str">
        <f t="shared" ref="AR114:AR121" si="176">+AN114</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AS114" s="558">
        <v>0</v>
      </c>
      <c r="AT114" s="587">
        <v>0</v>
      </c>
      <c r="AU114" s="614">
        <v>0</v>
      </c>
      <c r="AV114" s="543" t="e">
        <f t="shared" si="159"/>
        <v>#DIV/0!</v>
      </c>
      <c r="AW114" s="543" t="e">
        <f t="shared" si="160"/>
        <v>#DIV/0!</v>
      </c>
      <c r="AX114" s="543">
        <f t="shared" si="161"/>
        <v>0</v>
      </c>
      <c r="AY114" s="543">
        <f t="shared" si="171"/>
        <v>0</v>
      </c>
      <c r="AZ114" s="641" t="s">
        <v>1464</v>
      </c>
      <c r="BA114" s="188">
        <v>0</v>
      </c>
      <c r="BB114" s="544" t="str">
        <f t="shared" ref="BB114:BB121" si="177">+AN114</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C114" s="542">
        <v>0</v>
      </c>
      <c r="BD114" s="73"/>
      <c r="BE114" s="73"/>
      <c r="BF114" s="543" t="e">
        <f t="shared" si="162"/>
        <v>#DIV/0!</v>
      </c>
      <c r="BG114" s="543" t="e">
        <f t="shared" si="163"/>
        <v>#DIV/0!</v>
      </c>
      <c r="BH114" s="543">
        <f t="shared" si="164"/>
        <v>0</v>
      </c>
      <c r="BI114" s="543">
        <f t="shared" si="172"/>
        <v>0</v>
      </c>
      <c r="BJ114" s="543"/>
      <c r="BK114" s="188">
        <v>0</v>
      </c>
      <c r="BL114" s="544" t="str">
        <f t="shared" ref="BL114:BL121" si="178">+AN114</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M114" s="542">
        <v>0</v>
      </c>
      <c r="BN114" s="541"/>
      <c r="BO114" s="541"/>
      <c r="BP114" s="543" t="e">
        <f t="shared" si="165"/>
        <v>#DIV/0!</v>
      </c>
      <c r="BQ114" s="543" t="e">
        <f t="shared" si="166"/>
        <v>#DIV/0!</v>
      </c>
      <c r="BR114" s="543">
        <f t="shared" si="167"/>
        <v>0</v>
      </c>
      <c r="BS114" s="543">
        <f t="shared" si="173"/>
        <v>0</v>
      </c>
      <c r="BT114" s="543"/>
      <c r="BU114" s="188">
        <v>1</v>
      </c>
      <c r="BV114" s="544" t="str">
        <f>+AN114</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W114" s="542">
        <f>+AO114</f>
        <v>20000000</v>
      </c>
      <c r="BX114" s="541"/>
      <c r="BY114" s="541"/>
      <c r="BZ114" s="547">
        <f t="shared" si="168"/>
        <v>0</v>
      </c>
      <c r="CA114" s="547">
        <f t="shared" si="169"/>
        <v>0</v>
      </c>
      <c r="CB114" s="547">
        <f t="shared" si="170"/>
        <v>0</v>
      </c>
      <c r="CC114" s="547">
        <f t="shared" si="174"/>
        <v>0</v>
      </c>
      <c r="CD114" s="547"/>
      <c r="CE114" s="546" t="str">
        <f t="shared" si="150"/>
        <v>No Prog ni Ejec</v>
      </c>
      <c r="CF114" s="546" t="str">
        <f t="shared" si="151"/>
        <v>No Prog ni Ejec</v>
      </c>
      <c r="CG114" s="546" t="str">
        <f t="shared" si="152"/>
        <v>No Prog ni Ejec</v>
      </c>
      <c r="CH114" s="546" t="str">
        <f t="shared" si="153"/>
        <v>No Prog ni Ejec</v>
      </c>
      <c r="CI114" s="546" t="str">
        <f t="shared" si="154"/>
        <v>No Prog ni Ejec</v>
      </c>
      <c r="CJ114" s="546" t="str">
        <f t="shared" si="155"/>
        <v>No Prog ni Ejec</v>
      </c>
      <c r="CK114" s="546">
        <f t="shared" si="156"/>
        <v>0</v>
      </c>
      <c r="CL114" s="546">
        <f t="shared" si="157"/>
        <v>0</v>
      </c>
      <c r="CM114" s="157">
        <f t="shared" si="128"/>
        <v>0</v>
      </c>
      <c r="CX114" s="75">
        <v>7</v>
      </c>
      <c r="DB114" s="75">
        <v>11</v>
      </c>
    </row>
    <row r="115" spans="1:107" s="75" customFormat="1" ht="101.25" customHeight="1" x14ac:dyDescent="0.2">
      <c r="A115" s="541">
        <v>11700</v>
      </c>
      <c r="B115" s="544" t="s">
        <v>14</v>
      </c>
      <c r="C115" s="544" t="s">
        <v>337</v>
      </c>
      <c r="D115" s="544"/>
      <c r="E115" s="544"/>
      <c r="F115" s="544" t="s">
        <v>1108</v>
      </c>
      <c r="G115" s="544"/>
      <c r="H115" s="544" t="s">
        <v>1108</v>
      </c>
      <c r="I115" s="544"/>
      <c r="J115" s="544"/>
      <c r="K115" s="544"/>
      <c r="L115" s="544" t="s">
        <v>1108</v>
      </c>
      <c r="M115" s="544"/>
      <c r="N115" s="544"/>
      <c r="O115" s="544"/>
      <c r="P115" s="544"/>
      <c r="Q115" s="540" t="s">
        <v>206</v>
      </c>
      <c r="R115" s="540" t="s">
        <v>206</v>
      </c>
      <c r="S115" s="541" t="s">
        <v>240</v>
      </c>
      <c r="T115" s="544" t="s">
        <v>94</v>
      </c>
      <c r="U115" s="544" t="s">
        <v>206</v>
      </c>
      <c r="V115" s="544" t="s">
        <v>206</v>
      </c>
      <c r="W115" s="541" t="s">
        <v>913</v>
      </c>
      <c r="X115" s="544" t="s">
        <v>901</v>
      </c>
      <c r="Y115" s="60" t="s">
        <v>411</v>
      </c>
      <c r="Z115" s="553">
        <v>1</v>
      </c>
      <c r="AA115" s="541" t="s">
        <v>904</v>
      </c>
      <c r="AB115" s="544" t="s">
        <v>902</v>
      </c>
      <c r="AC115" s="550">
        <v>25000000</v>
      </c>
      <c r="AD115" s="545">
        <v>1</v>
      </c>
      <c r="AE115" s="544" t="s">
        <v>18</v>
      </c>
      <c r="AF115" s="544" t="s">
        <v>24</v>
      </c>
      <c r="AG115" s="544" t="s">
        <v>206</v>
      </c>
      <c r="AH115" s="544" t="s">
        <v>678</v>
      </c>
      <c r="AI115" s="544" t="s">
        <v>77</v>
      </c>
      <c r="AJ115" s="544" t="s">
        <v>1408</v>
      </c>
      <c r="AK115" s="404" t="s">
        <v>903</v>
      </c>
      <c r="AL115" s="544" t="s">
        <v>40</v>
      </c>
      <c r="AM115" s="553">
        <v>1</v>
      </c>
      <c r="AN115" s="544" t="str">
        <f t="shared" si="175"/>
        <v>Consolidar una apertura de la información y la transparencia, referente a los resultados obtenidos en el año dando cumplimiento a la misión de la entidad</v>
      </c>
      <c r="AO115" s="550">
        <v>25000000</v>
      </c>
      <c r="AP115" s="548" t="s">
        <v>46</v>
      </c>
      <c r="AQ115" s="553">
        <v>0</v>
      </c>
      <c r="AR115" s="544" t="str">
        <f t="shared" si="176"/>
        <v>Consolidar una apertura de la información y la transparencia, referente a los resultados obtenidos en el año dando cumplimiento a la misión de la entidad</v>
      </c>
      <c r="AS115" s="558">
        <v>0</v>
      </c>
      <c r="AT115" s="587">
        <v>0</v>
      </c>
      <c r="AU115" s="614">
        <v>0</v>
      </c>
      <c r="AV115" s="543" t="e">
        <f t="shared" si="159"/>
        <v>#DIV/0!</v>
      </c>
      <c r="AW115" s="543" t="e">
        <f t="shared" si="160"/>
        <v>#DIV/0!</v>
      </c>
      <c r="AX115" s="543">
        <f t="shared" si="161"/>
        <v>0</v>
      </c>
      <c r="AY115" s="543">
        <f t="shared" si="171"/>
        <v>0</v>
      </c>
      <c r="AZ115" s="641" t="s">
        <v>1464</v>
      </c>
      <c r="BA115" s="188">
        <v>0</v>
      </c>
      <c r="BB115" s="544" t="str">
        <f t="shared" si="177"/>
        <v>Consolidar una apertura de la información y la transparencia, referente a los resultados obtenidos en el año dando cumplimiento a la misión de la entidad</v>
      </c>
      <c r="BC115" s="542">
        <v>0</v>
      </c>
      <c r="BD115" s="73"/>
      <c r="BE115" s="73"/>
      <c r="BF115" s="543" t="e">
        <f t="shared" si="162"/>
        <v>#DIV/0!</v>
      </c>
      <c r="BG115" s="543" t="e">
        <f t="shared" si="163"/>
        <v>#DIV/0!</v>
      </c>
      <c r="BH115" s="543">
        <f t="shared" si="164"/>
        <v>0</v>
      </c>
      <c r="BI115" s="543">
        <f t="shared" si="172"/>
        <v>0</v>
      </c>
      <c r="BJ115" s="543"/>
      <c r="BK115" s="188">
        <v>0</v>
      </c>
      <c r="BL115" s="544" t="str">
        <f t="shared" si="178"/>
        <v>Consolidar una apertura de la información y la transparencia, referente a los resultados obtenidos en el año dando cumplimiento a la misión de la entidad</v>
      </c>
      <c r="BM115" s="542">
        <v>0</v>
      </c>
      <c r="BN115" s="541"/>
      <c r="BO115" s="541"/>
      <c r="BP115" s="543" t="e">
        <f t="shared" si="165"/>
        <v>#DIV/0!</v>
      </c>
      <c r="BQ115" s="543" t="e">
        <f t="shared" si="166"/>
        <v>#DIV/0!</v>
      </c>
      <c r="BR115" s="543">
        <f t="shared" si="167"/>
        <v>0</v>
      </c>
      <c r="BS115" s="543">
        <f t="shared" si="173"/>
        <v>0</v>
      </c>
      <c r="BT115" s="543"/>
      <c r="BU115" s="188">
        <v>1</v>
      </c>
      <c r="BV115" s="544" t="str">
        <f>+AN115</f>
        <v>Consolidar una apertura de la información y la transparencia, referente a los resultados obtenidos en el año dando cumplimiento a la misión de la entidad</v>
      </c>
      <c r="BW115" s="542">
        <f>+AO115</f>
        <v>25000000</v>
      </c>
      <c r="BX115" s="541"/>
      <c r="BY115" s="541"/>
      <c r="BZ115" s="547">
        <f t="shared" si="168"/>
        <v>0</v>
      </c>
      <c r="CA115" s="547">
        <f t="shared" si="169"/>
        <v>0</v>
      </c>
      <c r="CB115" s="547">
        <f t="shared" si="170"/>
        <v>0</v>
      </c>
      <c r="CC115" s="547">
        <f t="shared" si="174"/>
        <v>0</v>
      </c>
      <c r="CD115" s="547"/>
      <c r="CE115" s="546" t="str">
        <f t="shared" si="150"/>
        <v>No Prog ni Ejec</v>
      </c>
      <c r="CF115" s="546" t="str">
        <f t="shared" si="151"/>
        <v>No Prog ni Ejec</v>
      </c>
      <c r="CG115" s="546" t="str">
        <f t="shared" si="152"/>
        <v>No Prog ni Ejec</v>
      </c>
      <c r="CH115" s="546" t="str">
        <f t="shared" si="153"/>
        <v>No Prog ni Ejec</v>
      </c>
      <c r="CI115" s="546" t="str">
        <f t="shared" si="154"/>
        <v>No Prog ni Ejec</v>
      </c>
      <c r="CJ115" s="546" t="str">
        <f t="shared" si="155"/>
        <v>No Prog ni Ejec</v>
      </c>
      <c r="CK115" s="546">
        <f t="shared" si="156"/>
        <v>0</v>
      </c>
      <c r="CL115" s="546">
        <f t="shared" si="157"/>
        <v>0</v>
      </c>
      <c r="CM115" s="157">
        <f t="shared" si="128"/>
        <v>0</v>
      </c>
      <c r="CX115" s="75">
        <v>7</v>
      </c>
      <c r="DB115" s="75">
        <v>11</v>
      </c>
    </row>
    <row r="116" spans="1:107" s="75" customFormat="1" ht="104.25" customHeight="1" x14ac:dyDescent="0.2">
      <c r="A116" s="541">
        <v>11700</v>
      </c>
      <c r="B116" s="544" t="s">
        <v>14</v>
      </c>
      <c r="C116" s="559" t="s">
        <v>922</v>
      </c>
      <c r="D116" s="216"/>
      <c r="E116" s="216"/>
      <c r="F116" s="216"/>
      <c r="G116" s="216"/>
      <c r="H116" s="216"/>
      <c r="I116" s="216"/>
      <c r="J116" s="216" t="s">
        <v>1108</v>
      </c>
      <c r="K116" s="216"/>
      <c r="L116" s="216" t="s">
        <v>1108</v>
      </c>
      <c r="M116" s="216"/>
      <c r="N116" s="216"/>
      <c r="O116" s="216"/>
      <c r="P116" s="216"/>
      <c r="Q116" s="540" t="s">
        <v>206</v>
      </c>
      <c r="R116" s="540" t="s">
        <v>206</v>
      </c>
      <c r="S116" s="541" t="s">
        <v>240</v>
      </c>
      <c r="T116" s="544" t="s">
        <v>94</v>
      </c>
      <c r="U116" s="544" t="s">
        <v>206</v>
      </c>
      <c r="V116" s="544" t="s">
        <v>206</v>
      </c>
      <c r="W116" s="541" t="s">
        <v>914</v>
      </c>
      <c r="X116" s="559" t="s">
        <v>926</v>
      </c>
      <c r="Y116" s="189" t="s">
        <v>394</v>
      </c>
      <c r="Z116" s="78">
        <v>1</v>
      </c>
      <c r="AA116" s="541" t="s">
        <v>905</v>
      </c>
      <c r="AB116" s="559" t="s">
        <v>929</v>
      </c>
      <c r="AC116" s="193">
        <v>0</v>
      </c>
      <c r="AD116" s="545">
        <v>1</v>
      </c>
      <c r="AE116" s="544" t="s">
        <v>16</v>
      </c>
      <c r="AF116" s="544" t="s">
        <v>21</v>
      </c>
      <c r="AG116" s="544" t="s">
        <v>206</v>
      </c>
      <c r="AH116" s="544" t="s">
        <v>678</v>
      </c>
      <c r="AI116" s="544" t="s">
        <v>77</v>
      </c>
      <c r="AJ116" s="544" t="s">
        <v>1399</v>
      </c>
      <c r="AK116" s="544" t="s">
        <v>932</v>
      </c>
      <c r="AL116" s="544" t="s">
        <v>43</v>
      </c>
      <c r="AM116" s="78">
        <v>1</v>
      </c>
      <c r="AN116" s="544" t="str">
        <f t="shared" si="175"/>
        <v>Actualizar el Manual de funciones de la ADRES</v>
      </c>
      <c r="AO116" s="550">
        <f t="shared" ref="AO116:AO121" si="179">+AC116</f>
        <v>0</v>
      </c>
      <c r="AP116" s="548" t="s">
        <v>48</v>
      </c>
      <c r="AQ116" s="67">
        <v>0</v>
      </c>
      <c r="AR116" s="544" t="str">
        <f t="shared" si="176"/>
        <v>Actualizar el Manual de funciones de la ADRES</v>
      </c>
      <c r="AS116" s="558">
        <v>0</v>
      </c>
      <c r="AT116" s="587">
        <v>0</v>
      </c>
      <c r="AU116" s="614">
        <v>0</v>
      </c>
      <c r="AV116" s="543" t="e">
        <f t="shared" ref="AV116:AV121" si="180">+(AT116/AQ116)</f>
        <v>#DIV/0!</v>
      </c>
      <c r="AW116" s="543" t="e">
        <f t="shared" ref="AW116:AW121" si="181">+(AU116/AS116)</f>
        <v>#DIV/0!</v>
      </c>
      <c r="AX116" s="543">
        <f t="shared" ref="AX116:AX121" si="182">+(AT116/AM116)</f>
        <v>0</v>
      </c>
      <c r="AY116" s="543" t="e">
        <f t="shared" ref="AY116:AY121" si="183">+(AU116/AO116)</f>
        <v>#DIV/0!</v>
      </c>
      <c r="AZ116" s="641" t="s">
        <v>1464</v>
      </c>
      <c r="BA116" s="67">
        <v>0</v>
      </c>
      <c r="BB116" s="544" t="str">
        <f t="shared" si="177"/>
        <v>Actualizar el Manual de funciones de la ADRES</v>
      </c>
      <c r="BC116" s="542">
        <v>0</v>
      </c>
      <c r="BD116" s="73"/>
      <c r="BE116" s="73"/>
      <c r="BF116" s="543" t="e">
        <f t="shared" ref="BF116:BF121" si="184">+(BD116/BA116)</f>
        <v>#DIV/0!</v>
      </c>
      <c r="BG116" s="543" t="e">
        <f t="shared" ref="BG116:BG121" si="185">+(BE116/BC116)</f>
        <v>#DIV/0!</v>
      </c>
      <c r="BH116" s="543">
        <f t="shared" ref="BH116:BH121" si="186">+(BD116+AT116)/AM116</f>
        <v>0</v>
      </c>
      <c r="BI116" s="543" t="e">
        <f t="shared" ref="BI116:BI121" si="187">+(BE116+AU116)/AO116</f>
        <v>#DIV/0!</v>
      </c>
      <c r="BJ116" s="543"/>
      <c r="BK116" s="78">
        <v>1</v>
      </c>
      <c r="BL116" s="544" t="str">
        <f t="shared" si="178"/>
        <v>Actualizar el Manual de funciones de la ADRES</v>
      </c>
      <c r="BM116" s="542">
        <v>0</v>
      </c>
      <c r="BN116" s="541"/>
      <c r="BO116" s="541"/>
      <c r="BP116" s="543">
        <f t="shared" ref="BP116:BP121" si="188">+(BN116/BK116)</f>
        <v>0</v>
      </c>
      <c r="BQ116" s="543" t="e">
        <f t="shared" ref="BQ116:BQ121" si="189">+(BO116/BM116)</f>
        <v>#DIV/0!</v>
      </c>
      <c r="BR116" s="543">
        <f t="shared" ref="BR116:BR121" si="190">+(BD116+AT116+BN116)/AM116</f>
        <v>0</v>
      </c>
      <c r="BS116" s="543" t="e">
        <f t="shared" ref="BS116:BS121" si="191">+(BE116+AU116+BO116)/AO116</f>
        <v>#DIV/0!</v>
      </c>
      <c r="BT116" s="543"/>
      <c r="BU116" s="67">
        <v>0</v>
      </c>
      <c r="BV116" s="544" t="str">
        <f t="shared" ref="BV116:BV121" si="192">+AN116</f>
        <v>Actualizar el Manual de funciones de la ADRES</v>
      </c>
      <c r="BW116" s="542">
        <v>0</v>
      </c>
      <c r="BX116" s="541"/>
      <c r="BY116" s="541"/>
      <c r="BZ116" s="547" t="e">
        <f t="shared" ref="BZ116:BZ121" si="193">+(BX116/BU116)</f>
        <v>#DIV/0!</v>
      </c>
      <c r="CA116" s="547" t="e">
        <f t="shared" ref="CA116:CA121" si="194">+(BY116/BW116)</f>
        <v>#DIV/0!</v>
      </c>
      <c r="CB116" s="547">
        <f t="shared" ref="CB116:CB121" si="195">+(BD116+AT116+BN116+BX116)/AM116</f>
        <v>0</v>
      </c>
      <c r="CC116" s="547" t="e">
        <f t="shared" ref="CC116:CC121" si="196">+(BE116+AU116+BO116+BY116)/AO116</f>
        <v>#DIV/0!</v>
      </c>
      <c r="CD116" s="547"/>
      <c r="CE116" s="546" t="str">
        <f t="shared" ref="CE116:CE121" si="197">IF(AND(AQ116=0,AT116=0),"No Prog ni Ejec",IF(AQ116=0,CONCATENATE("No Prog, Ejec=  ",AT116),AT116/AQ116))</f>
        <v>No Prog ni Ejec</v>
      </c>
      <c r="CF116" s="546" t="str">
        <f t="shared" ref="CF116:CF121" si="198">IF(AND(AS116=0,AU116=0),"No Prog ni Ejec",IF(AS116=0,CONCATENATE("No Prog, Ejec=  ",AU116),AU116/AS116))</f>
        <v>No Prog ni Ejec</v>
      </c>
      <c r="CG116" s="546" t="str">
        <f t="shared" ref="CG116:CG121" si="199">IF(AND(BA116=0,BD116=0),"No Prog ni Ejec",IF(BA116=0,CONCATENATE("No Prog, Ejec=  ",BD116),BD116/BA116))</f>
        <v>No Prog ni Ejec</v>
      </c>
      <c r="CH116" s="546" t="str">
        <f t="shared" ref="CH116:CH121" si="200">IF(AND(BC116=0,BE116=0),"No Prog ni Ejec",IF(BC116=0,CONCATENATE("No Prog, Ejec=  ",BE116),BE116/BC116))</f>
        <v>No Prog ni Ejec</v>
      </c>
      <c r="CI116" s="546">
        <f t="shared" ref="CI116:CI121" si="201">IF(AND(BK116=0,BN116=0),"No Prog ni Ejec",IF(BK116=0,CONCATENATE("No Prog, Ejec=  ",BN116),BN116/BK116))</f>
        <v>0</v>
      </c>
      <c r="CJ116" s="546" t="str">
        <f t="shared" ref="CJ116:CJ121" si="202">IF(AND(BM116=0,BO116=0),"No Prog ni Ejec",IF(BM116=0,CONCATENATE("No Prog, Ejec=  ",BO116),BO116/BM116))</f>
        <v>No Prog ni Ejec</v>
      </c>
      <c r="CK116" s="546" t="str">
        <f t="shared" ref="CK116:CK121" si="203">IF(AND(BU116=0,BX116=0),"No Prog ni Ejec",IF(BU116=0,CONCATENATE("No Prog, Ejec=  ",BX116),BX116/BU116))</f>
        <v>No Prog ni Ejec</v>
      </c>
      <c r="CL116" s="546" t="str">
        <f t="shared" ref="CL116:CL121" si="204">IF(AND(BW116=0,BY116=0),"No Prog ni Ejec",IF(BW116=0,CONCATENATE("No Prog, Ejec=  ",BY116),BY116/BW116))</f>
        <v>No Prog ni Ejec</v>
      </c>
      <c r="CM116" s="157">
        <f t="shared" si="128"/>
        <v>0</v>
      </c>
      <c r="CV116" s="138">
        <v>5</v>
      </c>
      <c r="DB116" s="75">
        <v>11</v>
      </c>
    </row>
    <row r="117" spans="1:107" s="75" customFormat="1" ht="99.75" customHeight="1" x14ac:dyDescent="0.2">
      <c r="A117" s="541">
        <v>11700</v>
      </c>
      <c r="B117" s="544" t="s">
        <v>14</v>
      </c>
      <c r="C117" s="559" t="s">
        <v>922</v>
      </c>
      <c r="D117" s="216"/>
      <c r="E117" s="216"/>
      <c r="F117" s="216"/>
      <c r="G117" s="216"/>
      <c r="H117" s="216"/>
      <c r="I117" s="216"/>
      <c r="J117" s="216" t="s">
        <v>1108</v>
      </c>
      <c r="K117" s="216"/>
      <c r="L117" s="216" t="s">
        <v>1108</v>
      </c>
      <c r="M117" s="216"/>
      <c r="N117" s="216"/>
      <c r="O117" s="216"/>
      <c r="P117" s="216"/>
      <c r="Q117" s="540" t="s">
        <v>206</v>
      </c>
      <c r="R117" s="540" t="s">
        <v>206</v>
      </c>
      <c r="S117" s="541" t="s">
        <v>240</v>
      </c>
      <c r="T117" s="544" t="s">
        <v>94</v>
      </c>
      <c r="U117" s="544" t="s">
        <v>206</v>
      </c>
      <c r="V117" s="544" t="s">
        <v>206</v>
      </c>
      <c r="W117" s="541" t="s">
        <v>915</v>
      </c>
      <c r="X117" s="559" t="s">
        <v>927</v>
      </c>
      <c r="Y117" s="189" t="s">
        <v>394</v>
      </c>
      <c r="Z117" s="78">
        <v>1</v>
      </c>
      <c r="AA117" s="541" t="s">
        <v>906</v>
      </c>
      <c r="AB117" s="559" t="s">
        <v>930</v>
      </c>
      <c r="AC117" s="193">
        <v>0</v>
      </c>
      <c r="AD117" s="545">
        <v>1</v>
      </c>
      <c r="AE117" s="544" t="s">
        <v>16</v>
      </c>
      <c r="AF117" s="544" t="s">
        <v>21</v>
      </c>
      <c r="AG117" s="544" t="s">
        <v>206</v>
      </c>
      <c r="AH117" s="544" t="s">
        <v>678</v>
      </c>
      <c r="AI117" s="544" t="s">
        <v>77</v>
      </c>
      <c r="AJ117" s="544" t="s">
        <v>206</v>
      </c>
      <c r="AK117" s="544" t="s">
        <v>933</v>
      </c>
      <c r="AL117" s="544" t="s">
        <v>43</v>
      </c>
      <c r="AM117" s="78">
        <v>1</v>
      </c>
      <c r="AN117" s="544" t="str">
        <f t="shared" si="175"/>
        <v xml:space="preserve">Solicitar a la CNSC, la apertura de la OPEC </v>
      </c>
      <c r="AO117" s="550">
        <f t="shared" si="179"/>
        <v>0</v>
      </c>
      <c r="AP117" s="548" t="s">
        <v>48</v>
      </c>
      <c r="AQ117" s="67">
        <v>0</v>
      </c>
      <c r="AR117" s="544" t="str">
        <f t="shared" si="176"/>
        <v xml:space="preserve">Solicitar a la CNSC, la apertura de la OPEC </v>
      </c>
      <c r="AS117" s="558">
        <v>0</v>
      </c>
      <c r="AT117" s="587">
        <v>0</v>
      </c>
      <c r="AU117" s="614">
        <v>0</v>
      </c>
      <c r="AV117" s="543" t="e">
        <f t="shared" si="180"/>
        <v>#DIV/0!</v>
      </c>
      <c r="AW117" s="543" t="e">
        <f t="shared" si="181"/>
        <v>#DIV/0!</v>
      </c>
      <c r="AX117" s="543">
        <f t="shared" si="182"/>
        <v>0</v>
      </c>
      <c r="AY117" s="543" t="e">
        <f t="shared" si="183"/>
        <v>#DIV/0!</v>
      </c>
      <c r="AZ117" s="641" t="s">
        <v>1464</v>
      </c>
      <c r="BA117" s="67">
        <v>0</v>
      </c>
      <c r="BB117" s="544" t="str">
        <f t="shared" si="177"/>
        <v xml:space="preserve">Solicitar a la CNSC, la apertura de la OPEC </v>
      </c>
      <c r="BC117" s="542">
        <v>0</v>
      </c>
      <c r="BD117" s="73"/>
      <c r="BE117" s="73"/>
      <c r="BF117" s="543" t="e">
        <f t="shared" si="184"/>
        <v>#DIV/0!</v>
      </c>
      <c r="BG117" s="543" t="e">
        <f t="shared" si="185"/>
        <v>#DIV/0!</v>
      </c>
      <c r="BH117" s="543">
        <f t="shared" si="186"/>
        <v>0</v>
      </c>
      <c r="BI117" s="543" t="e">
        <f t="shared" si="187"/>
        <v>#DIV/0!</v>
      </c>
      <c r="BJ117" s="543"/>
      <c r="BK117" s="78">
        <v>1</v>
      </c>
      <c r="BL117" s="544" t="str">
        <f t="shared" si="178"/>
        <v xml:space="preserve">Solicitar a la CNSC, la apertura de la OPEC </v>
      </c>
      <c r="BM117" s="542">
        <v>0</v>
      </c>
      <c r="BN117" s="541"/>
      <c r="BO117" s="541"/>
      <c r="BP117" s="543">
        <f t="shared" si="188"/>
        <v>0</v>
      </c>
      <c r="BQ117" s="543" t="e">
        <f t="shared" si="189"/>
        <v>#DIV/0!</v>
      </c>
      <c r="BR117" s="543">
        <f t="shared" si="190"/>
        <v>0</v>
      </c>
      <c r="BS117" s="543" t="e">
        <f t="shared" si="191"/>
        <v>#DIV/0!</v>
      </c>
      <c r="BT117" s="543"/>
      <c r="BU117" s="67">
        <v>0</v>
      </c>
      <c r="BV117" s="544" t="str">
        <f t="shared" si="192"/>
        <v xml:space="preserve">Solicitar a la CNSC, la apertura de la OPEC </v>
      </c>
      <c r="BW117" s="542">
        <v>0</v>
      </c>
      <c r="BX117" s="541"/>
      <c r="BY117" s="541"/>
      <c r="BZ117" s="547" t="e">
        <f t="shared" si="193"/>
        <v>#DIV/0!</v>
      </c>
      <c r="CA117" s="547" t="e">
        <f t="shared" si="194"/>
        <v>#DIV/0!</v>
      </c>
      <c r="CB117" s="547">
        <f t="shared" si="195"/>
        <v>0</v>
      </c>
      <c r="CC117" s="547" t="e">
        <f t="shared" si="196"/>
        <v>#DIV/0!</v>
      </c>
      <c r="CD117" s="547"/>
      <c r="CE117" s="546" t="str">
        <f t="shared" si="197"/>
        <v>No Prog ni Ejec</v>
      </c>
      <c r="CF117" s="546" t="str">
        <f t="shared" si="198"/>
        <v>No Prog ni Ejec</v>
      </c>
      <c r="CG117" s="546" t="str">
        <f t="shared" si="199"/>
        <v>No Prog ni Ejec</v>
      </c>
      <c r="CH117" s="546" t="str">
        <f t="shared" si="200"/>
        <v>No Prog ni Ejec</v>
      </c>
      <c r="CI117" s="546">
        <f t="shared" si="201"/>
        <v>0</v>
      </c>
      <c r="CJ117" s="546" t="str">
        <f t="shared" si="202"/>
        <v>No Prog ni Ejec</v>
      </c>
      <c r="CK117" s="546" t="str">
        <f t="shared" si="203"/>
        <v>No Prog ni Ejec</v>
      </c>
      <c r="CL117" s="546" t="str">
        <f t="shared" si="204"/>
        <v>No Prog ni Ejec</v>
      </c>
      <c r="CM117" s="157">
        <f t="shared" si="128"/>
        <v>0</v>
      </c>
      <c r="CV117" s="138">
        <v>5</v>
      </c>
      <c r="DB117" s="75">
        <v>11</v>
      </c>
    </row>
    <row r="118" spans="1:107" s="75" customFormat="1" ht="104.25" customHeight="1" x14ac:dyDescent="0.2">
      <c r="A118" s="541">
        <v>11700</v>
      </c>
      <c r="B118" s="544" t="s">
        <v>14</v>
      </c>
      <c r="C118" s="559" t="s">
        <v>922</v>
      </c>
      <c r="D118" s="216"/>
      <c r="E118" s="216"/>
      <c r="F118" s="216"/>
      <c r="G118" s="216"/>
      <c r="H118" s="216"/>
      <c r="I118" s="216"/>
      <c r="J118" s="216" t="s">
        <v>1108</v>
      </c>
      <c r="K118" s="216"/>
      <c r="L118" s="216" t="s">
        <v>1108</v>
      </c>
      <c r="M118" s="216"/>
      <c r="N118" s="216"/>
      <c r="O118" s="216"/>
      <c r="P118" s="216"/>
      <c r="Q118" s="540" t="s">
        <v>206</v>
      </c>
      <c r="R118" s="540" t="s">
        <v>206</v>
      </c>
      <c r="S118" s="541" t="s">
        <v>240</v>
      </c>
      <c r="T118" s="544" t="s">
        <v>94</v>
      </c>
      <c r="U118" s="544" t="s">
        <v>206</v>
      </c>
      <c r="V118" s="544" t="s">
        <v>206</v>
      </c>
      <c r="W118" s="541" t="s">
        <v>916</v>
      </c>
      <c r="X118" s="559" t="s">
        <v>928</v>
      </c>
      <c r="Y118" s="189" t="s">
        <v>394</v>
      </c>
      <c r="Z118" s="78">
        <v>1</v>
      </c>
      <c r="AA118" s="541" t="s">
        <v>907</v>
      </c>
      <c r="AB118" s="559" t="s">
        <v>931</v>
      </c>
      <c r="AC118" s="193">
        <v>0</v>
      </c>
      <c r="AD118" s="545">
        <v>1</v>
      </c>
      <c r="AE118" s="544" t="s">
        <v>16</v>
      </c>
      <c r="AF118" s="544" t="s">
        <v>21</v>
      </c>
      <c r="AG118" s="544" t="s">
        <v>206</v>
      </c>
      <c r="AH118" s="544" t="s">
        <v>678</v>
      </c>
      <c r="AI118" s="544" t="s">
        <v>77</v>
      </c>
      <c r="AJ118" s="544" t="s">
        <v>206</v>
      </c>
      <c r="AK118" s="544" t="s">
        <v>934</v>
      </c>
      <c r="AL118" s="544" t="s">
        <v>43</v>
      </c>
      <c r="AM118" s="78">
        <v>1</v>
      </c>
      <c r="AN118" s="544" t="str">
        <f t="shared" si="175"/>
        <v>Actualizar la OPEC en el aplicativo SIMO</v>
      </c>
      <c r="AO118" s="550">
        <f t="shared" si="179"/>
        <v>0</v>
      </c>
      <c r="AP118" s="548" t="s">
        <v>48</v>
      </c>
      <c r="AQ118" s="67">
        <v>0</v>
      </c>
      <c r="AR118" s="544" t="str">
        <f t="shared" si="176"/>
        <v>Actualizar la OPEC en el aplicativo SIMO</v>
      </c>
      <c r="AS118" s="558">
        <v>0</v>
      </c>
      <c r="AT118" s="587">
        <v>0</v>
      </c>
      <c r="AU118" s="614">
        <v>0</v>
      </c>
      <c r="AV118" s="543" t="e">
        <f t="shared" si="180"/>
        <v>#DIV/0!</v>
      </c>
      <c r="AW118" s="543" t="e">
        <f t="shared" si="181"/>
        <v>#DIV/0!</v>
      </c>
      <c r="AX118" s="543">
        <f t="shared" si="182"/>
        <v>0</v>
      </c>
      <c r="AY118" s="543" t="e">
        <f t="shared" si="183"/>
        <v>#DIV/0!</v>
      </c>
      <c r="AZ118" s="641" t="s">
        <v>1464</v>
      </c>
      <c r="BA118" s="67">
        <v>0</v>
      </c>
      <c r="BB118" s="544" t="str">
        <f t="shared" si="177"/>
        <v>Actualizar la OPEC en el aplicativo SIMO</v>
      </c>
      <c r="BC118" s="542">
        <v>0</v>
      </c>
      <c r="BD118" s="73"/>
      <c r="BE118" s="73"/>
      <c r="BF118" s="543" t="e">
        <f t="shared" si="184"/>
        <v>#DIV/0!</v>
      </c>
      <c r="BG118" s="543" t="e">
        <f t="shared" si="185"/>
        <v>#DIV/0!</v>
      </c>
      <c r="BH118" s="543">
        <f t="shared" si="186"/>
        <v>0</v>
      </c>
      <c r="BI118" s="543" t="e">
        <f t="shared" si="187"/>
        <v>#DIV/0!</v>
      </c>
      <c r="BJ118" s="543"/>
      <c r="BK118" s="78">
        <v>1</v>
      </c>
      <c r="BL118" s="544" t="str">
        <f t="shared" si="178"/>
        <v>Actualizar la OPEC en el aplicativo SIMO</v>
      </c>
      <c r="BM118" s="542">
        <v>0</v>
      </c>
      <c r="BN118" s="541"/>
      <c r="BO118" s="541"/>
      <c r="BP118" s="543">
        <f t="shared" si="188"/>
        <v>0</v>
      </c>
      <c r="BQ118" s="543" t="e">
        <f t="shared" si="189"/>
        <v>#DIV/0!</v>
      </c>
      <c r="BR118" s="543">
        <f t="shared" si="190"/>
        <v>0</v>
      </c>
      <c r="BS118" s="543" t="e">
        <f t="shared" si="191"/>
        <v>#DIV/0!</v>
      </c>
      <c r="BT118" s="543"/>
      <c r="BU118" s="67">
        <v>0</v>
      </c>
      <c r="BV118" s="544" t="str">
        <f t="shared" si="192"/>
        <v>Actualizar la OPEC en el aplicativo SIMO</v>
      </c>
      <c r="BW118" s="542">
        <v>0</v>
      </c>
      <c r="BX118" s="541"/>
      <c r="BY118" s="541"/>
      <c r="BZ118" s="547" t="e">
        <f t="shared" si="193"/>
        <v>#DIV/0!</v>
      </c>
      <c r="CA118" s="547" t="e">
        <f t="shared" si="194"/>
        <v>#DIV/0!</v>
      </c>
      <c r="CB118" s="547">
        <f t="shared" si="195"/>
        <v>0</v>
      </c>
      <c r="CC118" s="547" t="e">
        <f t="shared" si="196"/>
        <v>#DIV/0!</v>
      </c>
      <c r="CD118" s="547"/>
      <c r="CE118" s="546" t="str">
        <f t="shared" si="197"/>
        <v>No Prog ni Ejec</v>
      </c>
      <c r="CF118" s="546" t="str">
        <f t="shared" si="198"/>
        <v>No Prog ni Ejec</v>
      </c>
      <c r="CG118" s="546" t="str">
        <f t="shared" si="199"/>
        <v>No Prog ni Ejec</v>
      </c>
      <c r="CH118" s="546" t="str">
        <f t="shared" si="200"/>
        <v>No Prog ni Ejec</v>
      </c>
      <c r="CI118" s="546">
        <f t="shared" si="201"/>
        <v>0</v>
      </c>
      <c r="CJ118" s="546" t="str">
        <f t="shared" si="202"/>
        <v>No Prog ni Ejec</v>
      </c>
      <c r="CK118" s="546" t="str">
        <f t="shared" si="203"/>
        <v>No Prog ni Ejec</v>
      </c>
      <c r="CL118" s="546" t="str">
        <f t="shared" si="204"/>
        <v>No Prog ni Ejec</v>
      </c>
      <c r="CM118" s="157">
        <f t="shared" si="128"/>
        <v>0</v>
      </c>
      <c r="CV118" s="138">
        <v>5</v>
      </c>
      <c r="DB118" s="75">
        <v>11</v>
      </c>
    </row>
    <row r="119" spans="1:107" s="75" customFormat="1" ht="106.5" customHeight="1" x14ac:dyDescent="0.2">
      <c r="A119" s="541">
        <v>11700</v>
      </c>
      <c r="B119" s="544" t="s">
        <v>14</v>
      </c>
      <c r="C119" s="544" t="s">
        <v>332</v>
      </c>
      <c r="D119" s="145"/>
      <c r="E119" s="145" t="s">
        <v>1108</v>
      </c>
      <c r="F119" s="145" t="s">
        <v>1108</v>
      </c>
      <c r="G119" s="145"/>
      <c r="H119" s="145"/>
      <c r="I119" s="145"/>
      <c r="J119" s="145"/>
      <c r="K119" s="145"/>
      <c r="L119" s="145"/>
      <c r="M119" s="145"/>
      <c r="N119" s="145"/>
      <c r="O119" s="145"/>
      <c r="P119" s="145"/>
      <c r="Q119" s="540" t="s">
        <v>206</v>
      </c>
      <c r="R119" s="540" t="s">
        <v>206</v>
      </c>
      <c r="S119" s="541" t="s">
        <v>240</v>
      </c>
      <c r="T119" s="544" t="s">
        <v>94</v>
      </c>
      <c r="U119" s="544" t="s">
        <v>206</v>
      </c>
      <c r="V119" s="544" t="s">
        <v>206</v>
      </c>
      <c r="W119" s="541" t="s">
        <v>917</v>
      </c>
      <c r="X119" s="544" t="s">
        <v>651</v>
      </c>
      <c r="Y119" s="554" t="s">
        <v>394</v>
      </c>
      <c r="Z119" s="67">
        <v>1</v>
      </c>
      <c r="AA119" s="541" t="s">
        <v>908</v>
      </c>
      <c r="AB119" s="544" t="s">
        <v>650</v>
      </c>
      <c r="AC119" s="549">
        <v>30000000</v>
      </c>
      <c r="AD119" s="545">
        <v>1</v>
      </c>
      <c r="AE119" s="544" t="s">
        <v>17</v>
      </c>
      <c r="AF119" s="544" t="s">
        <v>23</v>
      </c>
      <c r="AG119" s="544" t="s">
        <v>206</v>
      </c>
      <c r="AH119" s="544" t="s">
        <v>678</v>
      </c>
      <c r="AI119" s="544" t="s">
        <v>78</v>
      </c>
      <c r="AJ119" s="544" t="s">
        <v>1388</v>
      </c>
      <c r="AK119" s="544" t="s">
        <v>652</v>
      </c>
      <c r="AL119" s="544" t="s">
        <v>42</v>
      </c>
      <c r="AM119" s="67">
        <v>1</v>
      </c>
      <c r="AN119" s="544" t="str">
        <f t="shared" si="175"/>
        <v>Poner en funcionamiento de un digiturno, de acuerdo a las especificaciones técnicas definidas por ADRES y evaluación satisfacción usuarios</v>
      </c>
      <c r="AO119" s="550">
        <f t="shared" si="179"/>
        <v>30000000</v>
      </c>
      <c r="AP119" s="548" t="s">
        <v>46</v>
      </c>
      <c r="AQ119" s="67">
        <v>0</v>
      </c>
      <c r="AR119" s="544" t="str">
        <f t="shared" si="176"/>
        <v>Poner en funcionamiento de un digiturno, de acuerdo a las especificaciones técnicas definidas por ADRES y evaluación satisfacción usuarios</v>
      </c>
      <c r="AS119" s="542">
        <v>0</v>
      </c>
      <c r="AT119" s="587">
        <v>0</v>
      </c>
      <c r="AU119" s="614">
        <v>0</v>
      </c>
      <c r="AV119" s="543" t="e">
        <f t="shared" si="180"/>
        <v>#DIV/0!</v>
      </c>
      <c r="AW119" s="543" t="e">
        <f t="shared" si="181"/>
        <v>#DIV/0!</v>
      </c>
      <c r="AX119" s="543">
        <f t="shared" si="182"/>
        <v>0</v>
      </c>
      <c r="AY119" s="543">
        <f t="shared" si="183"/>
        <v>0</v>
      </c>
      <c r="AZ119" s="637" t="s">
        <v>1464</v>
      </c>
      <c r="BA119" s="67">
        <v>1</v>
      </c>
      <c r="BB119" s="544" t="str">
        <f t="shared" si="177"/>
        <v>Poner en funcionamiento de un digiturno, de acuerdo a las especificaciones técnicas definidas por ADRES y evaluación satisfacción usuarios</v>
      </c>
      <c r="BC119" s="542">
        <f>+AO119</f>
        <v>30000000</v>
      </c>
      <c r="BD119" s="73"/>
      <c r="BE119" s="73"/>
      <c r="BF119" s="543">
        <f t="shared" si="184"/>
        <v>0</v>
      </c>
      <c r="BG119" s="543">
        <f t="shared" si="185"/>
        <v>0</v>
      </c>
      <c r="BH119" s="543">
        <f t="shared" si="186"/>
        <v>0</v>
      </c>
      <c r="BI119" s="543">
        <f t="shared" si="187"/>
        <v>0</v>
      </c>
      <c r="BJ119" s="543"/>
      <c r="BK119" s="67">
        <v>0</v>
      </c>
      <c r="BL119" s="544" t="str">
        <f t="shared" si="178"/>
        <v>Poner en funcionamiento de un digiturno, de acuerdo a las especificaciones técnicas definidas por ADRES y evaluación satisfacción usuarios</v>
      </c>
      <c r="BM119" s="542">
        <v>0</v>
      </c>
      <c r="BN119" s="541"/>
      <c r="BO119" s="541"/>
      <c r="BP119" s="543" t="e">
        <f t="shared" si="188"/>
        <v>#DIV/0!</v>
      </c>
      <c r="BQ119" s="543" t="e">
        <f t="shared" si="189"/>
        <v>#DIV/0!</v>
      </c>
      <c r="BR119" s="543">
        <f t="shared" si="190"/>
        <v>0</v>
      </c>
      <c r="BS119" s="543">
        <f t="shared" si="191"/>
        <v>0</v>
      </c>
      <c r="BT119" s="543"/>
      <c r="BU119" s="67">
        <v>0</v>
      </c>
      <c r="BV119" s="544" t="str">
        <f t="shared" si="192"/>
        <v>Poner en funcionamiento de un digiturno, de acuerdo a las especificaciones técnicas definidas por ADRES y evaluación satisfacción usuarios</v>
      </c>
      <c r="BW119" s="542">
        <v>0</v>
      </c>
      <c r="BX119" s="541"/>
      <c r="BY119" s="541"/>
      <c r="BZ119" s="547" t="e">
        <f t="shared" si="193"/>
        <v>#DIV/0!</v>
      </c>
      <c r="CA119" s="547" t="e">
        <f t="shared" si="194"/>
        <v>#DIV/0!</v>
      </c>
      <c r="CB119" s="547">
        <f t="shared" si="195"/>
        <v>0</v>
      </c>
      <c r="CC119" s="547">
        <f t="shared" si="196"/>
        <v>0</v>
      </c>
      <c r="CD119" s="547"/>
      <c r="CE119" s="546" t="str">
        <f t="shared" si="197"/>
        <v>No Prog ni Ejec</v>
      </c>
      <c r="CF119" s="546" t="str">
        <f t="shared" si="198"/>
        <v>No Prog ni Ejec</v>
      </c>
      <c r="CG119" s="546">
        <f t="shared" si="199"/>
        <v>0</v>
      </c>
      <c r="CH119" s="546">
        <f t="shared" si="200"/>
        <v>0</v>
      </c>
      <c r="CI119" s="546" t="str">
        <f t="shared" si="201"/>
        <v>No Prog ni Ejec</v>
      </c>
      <c r="CJ119" s="546" t="str">
        <f t="shared" si="202"/>
        <v>No Prog ni Ejec</v>
      </c>
      <c r="CK119" s="546" t="str">
        <f t="shared" si="203"/>
        <v>No Prog ni Ejec</v>
      </c>
      <c r="CL119" s="546" t="str">
        <f t="shared" si="204"/>
        <v>No Prog ni Ejec</v>
      </c>
      <c r="CM119" s="157">
        <f t="shared" si="128"/>
        <v>0</v>
      </c>
      <c r="CW119" s="138">
        <v>6</v>
      </c>
    </row>
    <row r="120" spans="1:107" s="75" customFormat="1" ht="102" x14ac:dyDescent="0.2">
      <c r="A120" s="541">
        <v>11700</v>
      </c>
      <c r="B120" s="544" t="s">
        <v>14</v>
      </c>
      <c r="C120" s="544" t="s">
        <v>332</v>
      </c>
      <c r="D120" s="145"/>
      <c r="E120" s="145" t="s">
        <v>1108</v>
      </c>
      <c r="F120" s="145" t="s">
        <v>1108</v>
      </c>
      <c r="G120" s="145"/>
      <c r="H120" s="145"/>
      <c r="I120" s="145"/>
      <c r="J120" s="145"/>
      <c r="K120" s="145"/>
      <c r="L120" s="145"/>
      <c r="M120" s="145"/>
      <c r="N120" s="145"/>
      <c r="O120" s="145"/>
      <c r="P120" s="145"/>
      <c r="Q120" s="540" t="s">
        <v>206</v>
      </c>
      <c r="R120" s="540" t="s">
        <v>206</v>
      </c>
      <c r="S120" s="541" t="s">
        <v>240</v>
      </c>
      <c r="T120" s="544" t="s">
        <v>94</v>
      </c>
      <c r="U120" s="544" t="s">
        <v>206</v>
      </c>
      <c r="V120" s="544" t="s">
        <v>206</v>
      </c>
      <c r="W120" s="541" t="s">
        <v>918</v>
      </c>
      <c r="X120" s="544" t="s">
        <v>366</v>
      </c>
      <c r="Y120" s="554" t="s">
        <v>51</v>
      </c>
      <c r="Z120" s="545">
        <v>1</v>
      </c>
      <c r="AA120" s="541" t="s">
        <v>909</v>
      </c>
      <c r="AB120" s="544" t="s">
        <v>653</v>
      </c>
      <c r="AC120" s="549">
        <f>95547737+410239094.26</f>
        <v>505786831.25999999</v>
      </c>
      <c r="AD120" s="545">
        <v>1</v>
      </c>
      <c r="AE120" s="544" t="s">
        <v>17</v>
      </c>
      <c r="AF120" s="544" t="s">
        <v>23</v>
      </c>
      <c r="AG120" s="544" t="s">
        <v>206</v>
      </c>
      <c r="AH120" s="544" t="s">
        <v>678</v>
      </c>
      <c r="AI120" s="544" t="s">
        <v>78</v>
      </c>
      <c r="AJ120" s="544" t="s">
        <v>1397</v>
      </c>
      <c r="AK120" s="87" t="s">
        <v>317</v>
      </c>
      <c r="AL120" s="544" t="s">
        <v>42</v>
      </c>
      <c r="AM120" s="545">
        <v>0.8</v>
      </c>
      <c r="AN120" s="544" t="str">
        <f t="shared" si="175"/>
        <v>Brindar atención, respuesta inmediata, seguimiento a solicitudes de los ciudadanos, empresas y servidores públicos sobre los tramites y servicios de la ADRES y para la ejecución de Campañas informativas</v>
      </c>
      <c r="AO120" s="550">
        <f t="shared" si="179"/>
        <v>505786831.25999999</v>
      </c>
      <c r="AP120" s="548" t="s">
        <v>46</v>
      </c>
      <c r="AQ120" s="545">
        <v>0.2</v>
      </c>
      <c r="AR120" s="544" t="str">
        <f t="shared" si="176"/>
        <v>Brindar atención, respuesta inmediata, seguimiento a solicitudes de los ciudadanos, empresas y servidores públicos sobre los tramites y servicios de la ADRES y para la ejecución de Campañas informativas</v>
      </c>
      <c r="AS120" s="542">
        <f>+AO120/4</f>
        <v>126446707.815</v>
      </c>
      <c r="AT120" s="594">
        <v>0.19645477937672737</v>
      </c>
      <c r="AU120" s="595">
        <v>89331190</v>
      </c>
      <c r="AV120" s="543">
        <f t="shared" si="180"/>
        <v>0.98227389688363675</v>
      </c>
      <c r="AW120" s="543">
        <f t="shared" si="181"/>
        <v>0.70647303946179063</v>
      </c>
      <c r="AX120" s="543">
        <f t="shared" si="182"/>
        <v>0.24556847422090919</v>
      </c>
      <c r="AY120" s="543">
        <f t="shared" si="183"/>
        <v>0.17661825986544766</v>
      </c>
      <c r="AZ120" s="586" t="s">
        <v>1474</v>
      </c>
      <c r="BA120" s="545">
        <v>0.2</v>
      </c>
      <c r="BB120" s="544" t="str">
        <f t="shared" si="177"/>
        <v>Brindar atención, respuesta inmediata, seguimiento a solicitudes de los ciudadanos, empresas y servidores públicos sobre los tramites y servicios de la ADRES y para la ejecución de Campañas informativas</v>
      </c>
      <c r="BC120" s="542">
        <f>+AO120/4</f>
        <v>126446707.815</v>
      </c>
      <c r="BD120" s="73"/>
      <c r="BE120" s="73"/>
      <c r="BF120" s="543">
        <f t="shared" si="184"/>
        <v>0</v>
      </c>
      <c r="BG120" s="543">
        <f t="shared" si="185"/>
        <v>0</v>
      </c>
      <c r="BH120" s="543">
        <f t="shared" si="186"/>
        <v>0.24556847422090919</v>
      </c>
      <c r="BI120" s="543">
        <f t="shared" si="187"/>
        <v>0.17661825986544766</v>
      </c>
      <c r="BJ120" s="543"/>
      <c r="BK120" s="545">
        <v>0.2</v>
      </c>
      <c r="BL120" s="544" t="str">
        <f t="shared" si="178"/>
        <v>Brindar atención, respuesta inmediata, seguimiento a solicitudes de los ciudadanos, empresas y servidores públicos sobre los tramites y servicios de la ADRES y para la ejecución de Campañas informativas</v>
      </c>
      <c r="BM120" s="542">
        <f>+AO120/4</f>
        <v>126446707.815</v>
      </c>
      <c r="BN120" s="541"/>
      <c r="BO120" s="541"/>
      <c r="BP120" s="543">
        <f t="shared" si="188"/>
        <v>0</v>
      </c>
      <c r="BQ120" s="543">
        <f t="shared" si="189"/>
        <v>0</v>
      </c>
      <c r="BR120" s="543">
        <f t="shared" si="190"/>
        <v>0.24556847422090919</v>
      </c>
      <c r="BS120" s="543">
        <f t="shared" si="191"/>
        <v>0.17661825986544766</v>
      </c>
      <c r="BT120" s="543"/>
      <c r="BU120" s="545">
        <v>0.2</v>
      </c>
      <c r="BV120" s="544" t="str">
        <f t="shared" si="192"/>
        <v>Brindar atención, respuesta inmediata, seguimiento a solicitudes de los ciudadanos, empresas y servidores públicos sobre los tramites y servicios de la ADRES y para la ejecución de Campañas informativas</v>
      </c>
      <c r="BW120" s="542">
        <f>+AO120/4</f>
        <v>126446707.815</v>
      </c>
      <c r="BX120" s="541"/>
      <c r="BY120" s="541"/>
      <c r="BZ120" s="547">
        <f t="shared" si="193"/>
        <v>0</v>
      </c>
      <c r="CA120" s="547">
        <f t="shared" si="194"/>
        <v>0</v>
      </c>
      <c r="CB120" s="547">
        <f t="shared" si="195"/>
        <v>0.24556847422090919</v>
      </c>
      <c r="CC120" s="547">
        <f t="shared" si="196"/>
        <v>0.17661825986544766</v>
      </c>
      <c r="CD120" s="547"/>
      <c r="CE120" s="546">
        <f t="shared" si="197"/>
        <v>0.98227389688363675</v>
      </c>
      <c r="CF120" s="546">
        <f t="shared" si="198"/>
        <v>0.70647303946179063</v>
      </c>
      <c r="CG120" s="546">
        <f t="shared" si="199"/>
        <v>0</v>
      </c>
      <c r="CH120" s="546">
        <f t="shared" si="200"/>
        <v>0</v>
      </c>
      <c r="CI120" s="546">
        <f t="shared" si="201"/>
        <v>0</v>
      </c>
      <c r="CJ120" s="546">
        <f t="shared" si="202"/>
        <v>0</v>
      </c>
      <c r="CK120" s="546">
        <f t="shared" si="203"/>
        <v>0</v>
      </c>
      <c r="CL120" s="546">
        <f t="shared" si="204"/>
        <v>0</v>
      </c>
      <c r="CM120" s="157">
        <f t="shared" si="128"/>
        <v>0</v>
      </c>
      <c r="CW120" s="138">
        <v>6</v>
      </c>
    </row>
    <row r="121" spans="1:107" s="75" customFormat="1" ht="106.5" customHeight="1" x14ac:dyDescent="0.2">
      <c r="A121" s="541">
        <v>11700</v>
      </c>
      <c r="B121" s="544" t="s">
        <v>14</v>
      </c>
      <c r="C121" s="544" t="s">
        <v>338</v>
      </c>
      <c r="D121" s="145" t="s">
        <v>1108</v>
      </c>
      <c r="E121" s="145"/>
      <c r="F121" s="145"/>
      <c r="G121" s="145"/>
      <c r="H121" s="145"/>
      <c r="I121" s="145"/>
      <c r="J121" s="145"/>
      <c r="K121" s="145"/>
      <c r="L121" s="145"/>
      <c r="M121" s="145"/>
      <c r="N121" s="145"/>
      <c r="O121" s="145"/>
      <c r="P121" s="145"/>
      <c r="Q121" s="544" t="s">
        <v>1233</v>
      </c>
      <c r="R121" s="544" t="s">
        <v>1238</v>
      </c>
      <c r="S121" s="541" t="s">
        <v>240</v>
      </c>
      <c r="T121" s="544" t="s">
        <v>94</v>
      </c>
      <c r="U121" s="544" t="s">
        <v>206</v>
      </c>
      <c r="V121" s="544" t="s">
        <v>206</v>
      </c>
      <c r="W121" s="541" t="s">
        <v>919</v>
      </c>
      <c r="X121" s="544" t="s">
        <v>681</v>
      </c>
      <c r="Y121" s="554" t="s">
        <v>394</v>
      </c>
      <c r="Z121" s="67">
        <v>1</v>
      </c>
      <c r="AA121" s="541" t="s">
        <v>910</v>
      </c>
      <c r="AB121" s="544" t="s">
        <v>679</v>
      </c>
      <c r="AC121" s="549">
        <v>0</v>
      </c>
      <c r="AD121" s="545">
        <v>1</v>
      </c>
      <c r="AE121" s="544" t="s">
        <v>17</v>
      </c>
      <c r="AF121" s="544" t="s">
        <v>23</v>
      </c>
      <c r="AG121" s="544" t="s">
        <v>206</v>
      </c>
      <c r="AH121" s="544" t="s">
        <v>678</v>
      </c>
      <c r="AI121" s="544" t="s">
        <v>78</v>
      </c>
      <c r="AJ121" s="544" t="s">
        <v>1397</v>
      </c>
      <c r="AK121" s="87" t="s">
        <v>680</v>
      </c>
      <c r="AL121" s="544" t="s">
        <v>42</v>
      </c>
      <c r="AM121" s="67">
        <v>1</v>
      </c>
      <c r="AN121" s="544" t="str">
        <f t="shared" si="175"/>
        <v>Actualizar el manual de la Política de Servicio al Ciudadano con el propósito de orientar la gestión al interior de la entidad y socializarlo en los programas de Inducción y Reinducción de la ADRES</v>
      </c>
      <c r="AO121" s="550">
        <f t="shared" si="179"/>
        <v>0</v>
      </c>
      <c r="AP121" s="548" t="s">
        <v>48</v>
      </c>
      <c r="AQ121" s="67">
        <v>1</v>
      </c>
      <c r="AR121" s="544" t="str">
        <f t="shared" si="176"/>
        <v>Actualizar el manual de la Política de Servicio al Ciudadano con el propósito de orientar la gestión al interior de la entidad y socializarlo en los programas de Inducción y Reinducción de la ADRES</v>
      </c>
      <c r="AS121" s="542">
        <v>0</v>
      </c>
      <c r="AT121" s="587">
        <v>1</v>
      </c>
      <c r="AU121" s="614">
        <v>0</v>
      </c>
      <c r="AV121" s="543">
        <f t="shared" si="180"/>
        <v>1</v>
      </c>
      <c r="AW121" s="543" t="e">
        <f t="shared" si="181"/>
        <v>#DIV/0!</v>
      </c>
      <c r="AX121" s="543">
        <f t="shared" si="182"/>
        <v>1</v>
      </c>
      <c r="AY121" s="543" t="e">
        <f t="shared" si="183"/>
        <v>#DIV/0!</v>
      </c>
      <c r="AZ121" s="586" t="s">
        <v>1475</v>
      </c>
      <c r="BA121" s="106">
        <v>0</v>
      </c>
      <c r="BB121" s="544" t="str">
        <f t="shared" si="177"/>
        <v>Actualizar el manual de la Política de Servicio al Ciudadano con el propósito de orientar la gestión al interior de la entidad y socializarlo en los programas de Inducción y Reinducción de la ADRES</v>
      </c>
      <c r="BC121" s="549">
        <v>0</v>
      </c>
      <c r="BD121" s="73"/>
      <c r="BE121" s="73"/>
      <c r="BF121" s="543" t="e">
        <f t="shared" si="184"/>
        <v>#DIV/0!</v>
      </c>
      <c r="BG121" s="543" t="e">
        <f t="shared" si="185"/>
        <v>#DIV/0!</v>
      </c>
      <c r="BH121" s="543">
        <f t="shared" si="186"/>
        <v>1</v>
      </c>
      <c r="BI121" s="543" t="e">
        <f t="shared" si="187"/>
        <v>#DIV/0!</v>
      </c>
      <c r="BJ121" s="543"/>
      <c r="BK121" s="106">
        <v>0</v>
      </c>
      <c r="BL121" s="544" t="str">
        <f t="shared" si="178"/>
        <v>Actualizar el manual de la Política de Servicio al Ciudadano con el propósito de orientar la gestión al interior de la entidad y socializarlo en los programas de Inducción y Reinducción de la ADRES</v>
      </c>
      <c r="BM121" s="542">
        <v>0</v>
      </c>
      <c r="BN121" s="541"/>
      <c r="BO121" s="541"/>
      <c r="BP121" s="543" t="e">
        <f t="shared" si="188"/>
        <v>#DIV/0!</v>
      </c>
      <c r="BQ121" s="543" t="e">
        <f t="shared" si="189"/>
        <v>#DIV/0!</v>
      </c>
      <c r="BR121" s="543">
        <f t="shared" si="190"/>
        <v>1</v>
      </c>
      <c r="BS121" s="543" t="e">
        <f t="shared" si="191"/>
        <v>#DIV/0!</v>
      </c>
      <c r="BT121" s="543"/>
      <c r="BU121" s="106">
        <v>0</v>
      </c>
      <c r="BV121" s="544" t="str">
        <f t="shared" si="192"/>
        <v>Actualizar el manual de la Política de Servicio al Ciudadano con el propósito de orientar la gestión al interior de la entidad y socializarlo en los programas de Inducción y Reinducción de la ADRES</v>
      </c>
      <c r="BW121" s="542">
        <v>0</v>
      </c>
      <c r="BX121" s="541"/>
      <c r="BY121" s="541"/>
      <c r="BZ121" s="547" t="e">
        <f t="shared" si="193"/>
        <v>#DIV/0!</v>
      </c>
      <c r="CA121" s="547" t="e">
        <f t="shared" si="194"/>
        <v>#DIV/0!</v>
      </c>
      <c r="CB121" s="547">
        <f t="shared" si="195"/>
        <v>1</v>
      </c>
      <c r="CC121" s="547" t="e">
        <f t="shared" si="196"/>
        <v>#DIV/0!</v>
      </c>
      <c r="CD121" s="547"/>
      <c r="CE121" s="546">
        <f t="shared" si="197"/>
        <v>1</v>
      </c>
      <c r="CF121" s="546" t="str">
        <f t="shared" si="198"/>
        <v>No Prog ni Ejec</v>
      </c>
      <c r="CG121" s="546" t="str">
        <f t="shared" si="199"/>
        <v>No Prog ni Ejec</v>
      </c>
      <c r="CH121" s="546" t="str">
        <f t="shared" si="200"/>
        <v>No Prog ni Ejec</v>
      </c>
      <c r="CI121" s="546" t="str">
        <f t="shared" si="201"/>
        <v>No Prog ni Ejec</v>
      </c>
      <c r="CJ121" s="546" t="str">
        <f t="shared" si="202"/>
        <v>No Prog ni Ejec</v>
      </c>
      <c r="CK121" s="546" t="str">
        <f t="shared" si="203"/>
        <v>No Prog ni Ejec</v>
      </c>
      <c r="CL121" s="546" t="str">
        <f t="shared" si="204"/>
        <v>No Prog ni Ejec</v>
      </c>
      <c r="CM121" s="157">
        <f t="shared" si="128"/>
        <v>0</v>
      </c>
      <c r="CW121" s="138">
        <v>6</v>
      </c>
    </row>
    <row r="122" spans="1:107" s="75" customFormat="1" ht="122.25" customHeight="1" x14ac:dyDescent="0.2">
      <c r="A122" s="541">
        <v>11700</v>
      </c>
      <c r="B122" s="544" t="s">
        <v>14</v>
      </c>
      <c r="C122" s="544" t="s">
        <v>654</v>
      </c>
      <c r="D122" s="145" t="s">
        <v>1108</v>
      </c>
      <c r="E122" s="145"/>
      <c r="F122" s="145"/>
      <c r="G122" s="145" t="s">
        <v>1108</v>
      </c>
      <c r="H122" s="145"/>
      <c r="I122" s="145"/>
      <c r="J122" s="145"/>
      <c r="K122" s="145"/>
      <c r="L122" s="145" t="s">
        <v>1108</v>
      </c>
      <c r="M122" s="145"/>
      <c r="N122" s="145"/>
      <c r="O122" s="145"/>
      <c r="P122" s="145"/>
      <c r="Q122" s="544" t="s">
        <v>1233</v>
      </c>
      <c r="R122" s="544" t="s">
        <v>1239</v>
      </c>
      <c r="S122" s="541" t="s">
        <v>240</v>
      </c>
      <c r="T122" s="544" t="s">
        <v>94</v>
      </c>
      <c r="U122" s="544" t="s">
        <v>206</v>
      </c>
      <c r="V122" s="544" t="s">
        <v>206</v>
      </c>
      <c r="W122" s="541" t="s">
        <v>920</v>
      </c>
      <c r="X122" s="544" t="s">
        <v>683</v>
      </c>
      <c r="Y122" s="554" t="s">
        <v>411</v>
      </c>
      <c r="Z122" s="66">
        <v>90</v>
      </c>
      <c r="AA122" s="541" t="s">
        <v>911</v>
      </c>
      <c r="AB122" s="559" t="s">
        <v>682</v>
      </c>
      <c r="AC122" s="542">
        <v>0</v>
      </c>
      <c r="AD122" s="545">
        <v>1</v>
      </c>
      <c r="AE122" s="544" t="s">
        <v>17</v>
      </c>
      <c r="AF122" s="544" t="s">
        <v>23</v>
      </c>
      <c r="AG122" s="544" t="s">
        <v>206</v>
      </c>
      <c r="AH122" s="544" t="s">
        <v>678</v>
      </c>
      <c r="AI122" s="544" t="s">
        <v>78</v>
      </c>
      <c r="AJ122" s="544" t="s">
        <v>1398</v>
      </c>
      <c r="AK122" s="87" t="s">
        <v>655</v>
      </c>
      <c r="AL122" s="544" t="s">
        <v>42</v>
      </c>
      <c r="AM122" s="67">
        <v>100</v>
      </c>
      <c r="AN122" s="544" t="str">
        <f t="shared" ref="AN122:AN129" si="205">+AB122</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O122" s="550">
        <f t="shared" ref="AO122:AO129" si="206">+AC122</f>
        <v>0</v>
      </c>
      <c r="AP122" s="548" t="s">
        <v>48</v>
      </c>
      <c r="AQ122" s="67">
        <v>25</v>
      </c>
      <c r="AR122" s="544" t="str">
        <f t="shared" ref="AR122:AR129" si="207">+AN122</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S122" s="542">
        <v>0</v>
      </c>
      <c r="AT122" s="587">
        <v>25</v>
      </c>
      <c r="AU122" s="614">
        <v>0</v>
      </c>
      <c r="AV122" s="543">
        <f t="shared" ref="AV122:AV129" si="208">+(AT122/AQ122)</f>
        <v>1</v>
      </c>
      <c r="AW122" s="543" t="e">
        <f t="shared" ref="AW122:AW129" si="209">+(AU122/AS122)</f>
        <v>#DIV/0!</v>
      </c>
      <c r="AX122" s="543">
        <f t="shared" ref="AX122:AX129" si="210">+(AT122/AM122)</f>
        <v>0.25</v>
      </c>
      <c r="AY122" s="543" t="e">
        <f t="shared" ref="AY122:AY129" si="211">+(AU122/AO122)</f>
        <v>#DIV/0!</v>
      </c>
      <c r="AZ122" s="586" t="s">
        <v>1476</v>
      </c>
      <c r="BA122" s="67">
        <v>25</v>
      </c>
      <c r="BB122" s="544" t="str">
        <f t="shared" ref="BB122:BB129" si="212">+AN122</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C122" s="542">
        <v>0</v>
      </c>
      <c r="BD122" s="73"/>
      <c r="BE122" s="73"/>
      <c r="BF122" s="543">
        <f t="shared" ref="BF122:BF129" si="213">+(BD122/BA122)</f>
        <v>0</v>
      </c>
      <c r="BG122" s="543" t="e">
        <f t="shared" ref="BG122:BG129" si="214">+(BE122/BC122)</f>
        <v>#DIV/0!</v>
      </c>
      <c r="BH122" s="543">
        <f t="shared" ref="BH122:BH129" si="215">+(BD122+AT122)/AM122</f>
        <v>0.25</v>
      </c>
      <c r="BI122" s="543" t="e">
        <f t="shared" ref="BI122:BI129" si="216">+(BE122+AU122)/AO122</f>
        <v>#DIV/0!</v>
      </c>
      <c r="BJ122" s="543"/>
      <c r="BK122" s="67">
        <v>25</v>
      </c>
      <c r="BL122" s="544" t="str">
        <f t="shared" ref="BL122:BL129" si="217">+AN122</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M122" s="542">
        <v>0</v>
      </c>
      <c r="BN122" s="541"/>
      <c r="BO122" s="541"/>
      <c r="BP122" s="543">
        <f t="shared" ref="BP122:BP129" si="218">+(BN122/BK122)</f>
        <v>0</v>
      </c>
      <c r="BQ122" s="543" t="e">
        <f t="shared" ref="BQ122:BQ129" si="219">+(BO122/BM122)</f>
        <v>#DIV/0!</v>
      </c>
      <c r="BR122" s="543">
        <f t="shared" ref="BR122:BR129" si="220">+(BD122+AT122+BN122)/AM122</f>
        <v>0.25</v>
      </c>
      <c r="BS122" s="543" t="e">
        <f t="shared" ref="BS122:BS129" si="221">+(BE122+AU122+BO122)/AO122</f>
        <v>#DIV/0!</v>
      </c>
      <c r="BT122" s="543"/>
      <c r="BU122" s="67">
        <v>25</v>
      </c>
      <c r="BV122" s="544" t="str">
        <f t="shared" ref="BV122:BV129" si="222">+AN122</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W122" s="542">
        <v>0</v>
      </c>
      <c r="BX122" s="541"/>
      <c r="BY122" s="541"/>
      <c r="BZ122" s="547">
        <f t="shared" ref="BZ122:BZ129" si="223">+(BX122/BU122)</f>
        <v>0</v>
      </c>
      <c r="CA122" s="547" t="e">
        <f t="shared" ref="CA122:CA129" si="224">+(BY122/BW122)</f>
        <v>#DIV/0!</v>
      </c>
      <c r="CB122" s="547">
        <f t="shared" ref="CB122:CB129" si="225">+(BD122+AT122+BN122+BX122)/AM122</f>
        <v>0.25</v>
      </c>
      <c r="CC122" s="547" t="e">
        <f t="shared" ref="CC122:CC129" si="226">+(BE122+AU122+BO122+BY122)/AO122</f>
        <v>#DIV/0!</v>
      </c>
      <c r="CD122" s="547"/>
      <c r="CE122" s="546">
        <f t="shared" ref="CE122:CE129" si="227">IF(AND(AQ122=0,AT122=0),"No Prog ni Ejec",IF(AQ122=0,CONCATENATE("No Prog, Ejec=  ",AT122),AT122/AQ122))</f>
        <v>1</v>
      </c>
      <c r="CF122" s="546" t="str">
        <f t="shared" ref="CF122:CF129" si="228">IF(AND(AS122=0,AU122=0),"No Prog ni Ejec",IF(AS122=0,CONCATENATE("No Prog, Ejec=  ",AU122),AU122/AS122))</f>
        <v>No Prog ni Ejec</v>
      </c>
      <c r="CG122" s="546">
        <f t="shared" ref="CG122:CG129" si="229">IF(AND(BA122=0,BD122=0),"No Prog ni Ejec",IF(BA122=0,CONCATENATE("No Prog, Ejec=  ",BD122),BD122/BA122))</f>
        <v>0</v>
      </c>
      <c r="CH122" s="546" t="str">
        <f t="shared" ref="CH122:CH129" si="230">IF(AND(BC122=0,BE122=0),"No Prog ni Ejec",IF(BC122=0,CONCATENATE("No Prog, Ejec=  ",BE122),BE122/BC122))</f>
        <v>No Prog ni Ejec</v>
      </c>
      <c r="CI122" s="546">
        <f t="shared" ref="CI122:CI129" si="231">IF(AND(BK122=0,BN122=0),"No Prog ni Ejec",IF(BK122=0,CONCATENATE("No Prog, Ejec=  ",BN122),BN122/BK122))</f>
        <v>0</v>
      </c>
      <c r="CJ122" s="546" t="str">
        <f t="shared" ref="CJ122:CJ129" si="232">IF(AND(BM122=0,BO122=0),"No Prog ni Ejec",IF(BM122=0,CONCATENATE("No Prog, Ejec=  ",BO122),BO122/BM122))</f>
        <v>No Prog ni Ejec</v>
      </c>
      <c r="CK122" s="546">
        <f t="shared" ref="CK122:CK129" si="233">IF(AND(BU122=0,BX122=0),"No Prog ni Ejec",IF(BU122=0,CONCATENATE("No Prog, Ejec=  ",BX122),BX122/BU122))</f>
        <v>0</v>
      </c>
      <c r="CL122" s="546" t="str">
        <f t="shared" ref="CL122:CL129" si="234">IF(AND(BW122=0,BY122=0),"No Prog ni Ejec",IF(BW122=0,CONCATENATE("No Prog, Ejec=  ",BY122),BY122/BW122))</f>
        <v>No Prog ni Ejec</v>
      </c>
      <c r="CM122" s="157">
        <f t="shared" si="128"/>
        <v>0</v>
      </c>
      <c r="CU122" s="138">
        <v>4</v>
      </c>
      <c r="DB122" s="75">
        <v>11</v>
      </c>
    </row>
    <row r="123" spans="1:107" s="75" customFormat="1" ht="188.25" customHeight="1" x14ac:dyDescent="0.2">
      <c r="A123" s="541">
        <v>11700</v>
      </c>
      <c r="B123" s="544" t="s">
        <v>14</v>
      </c>
      <c r="C123" s="544" t="s">
        <v>338</v>
      </c>
      <c r="D123" s="145" t="s">
        <v>1108</v>
      </c>
      <c r="E123" s="145"/>
      <c r="F123" s="145"/>
      <c r="G123" s="145"/>
      <c r="H123" s="145"/>
      <c r="I123" s="145"/>
      <c r="J123" s="145"/>
      <c r="K123" s="145"/>
      <c r="L123" s="145"/>
      <c r="M123" s="145"/>
      <c r="N123" s="145"/>
      <c r="O123" s="145"/>
      <c r="P123" s="145"/>
      <c r="Q123" s="544" t="s">
        <v>1233</v>
      </c>
      <c r="R123" s="544" t="s">
        <v>1240</v>
      </c>
      <c r="S123" s="541" t="s">
        <v>240</v>
      </c>
      <c r="T123" s="544" t="s">
        <v>94</v>
      </c>
      <c r="U123" s="544" t="s">
        <v>206</v>
      </c>
      <c r="V123" s="544" t="s">
        <v>206</v>
      </c>
      <c r="W123" s="541" t="s">
        <v>921</v>
      </c>
      <c r="X123" s="544" t="s">
        <v>367</v>
      </c>
      <c r="Y123" s="554" t="s">
        <v>411</v>
      </c>
      <c r="Z123" s="545">
        <v>1</v>
      </c>
      <c r="AA123" s="541" t="s">
        <v>912</v>
      </c>
      <c r="AB123" s="544" t="s">
        <v>372</v>
      </c>
      <c r="AC123" s="542">
        <v>0</v>
      </c>
      <c r="AD123" s="545">
        <v>1</v>
      </c>
      <c r="AE123" s="544" t="s">
        <v>17</v>
      </c>
      <c r="AF123" s="544" t="s">
        <v>23</v>
      </c>
      <c r="AG123" s="544" t="s">
        <v>206</v>
      </c>
      <c r="AH123" s="544" t="s">
        <v>678</v>
      </c>
      <c r="AI123" s="544" t="s">
        <v>78</v>
      </c>
      <c r="AJ123" s="544" t="s">
        <v>206</v>
      </c>
      <c r="AK123" s="87" t="s">
        <v>656</v>
      </c>
      <c r="AL123" s="544" t="s">
        <v>42</v>
      </c>
      <c r="AM123" s="545">
        <v>1</v>
      </c>
      <c r="AN123" s="544" t="str">
        <f t="shared" si="205"/>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O123" s="550">
        <f t="shared" si="206"/>
        <v>0</v>
      </c>
      <c r="AP123" s="548" t="s">
        <v>48</v>
      </c>
      <c r="AQ123" s="547">
        <v>0.25</v>
      </c>
      <c r="AR123" s="544" t="str">
        <f t="shared" si="207"/>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S123" s="542">
        <v>0</v>
      </c>
      <c r="AT123" s="640">
        <v>0.25</v>
      </c>
      <c r="AU123" s="614">
        <v>0</v>
      </c>
      <c r="AV123" s="543">
        <f t="shared" si="208"/>
        <v>1</v>
      </c>
      <c r="AW123" s="543" t="e">
        <f t="shared" si="209"/>
        <v>#DIV/0!</v>
      </c>
      <c r="AX123" s="543">
        <f t="shared" si="210"/>
        <v>0.25</v>
      </c>
      <c r="AY123" s="543" t="e">
        <f t="shared" si="211"/>
        <v>#DIV/0!</v>
      </c>
      <c r="AZ123" s="586" t="s">
        <v>1477</v>
      </c>
      <c r="BA123" s="547">
        <v>0.25</v>
      </c>
      <c r="BB123" s="544" t="str">
        <f t="shared" si="212"/>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C123" s="542">
        <v>0</v>
      </c>
      <c r="BD123" s="73"/>
      <c r="BE123" s="73"/>
      <c r="BF123" s="543">
        <f t="shared" si="213"/>
        <v>0</v>
      </c>
      <c r="BG123" s="543" t="e">
        <f t="shared" si="214"/>
        <v>#DIV/0!</v>
      </c>
      <c r="BH123" s="543">
        <f t="shared" si="215"/>
        <v>0.25</v>
      </c>
      <c r="BI123" s="543" t="e">
        <f t="shared" si="216"/>
        <v>#DIV/0!</v>
      </c>
      <c r="BJ123" s="543"/>
      <c r="BK123" s="547">
        <v>0.25</v>
      </c>
      <c r="BL123" s="544" t="str">
        <f t="shared" si="217"/>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M123" s="542">
        <v>0</v>
      </c>
      <c r="BN123" s="541"/>
      <c r="BO123" s="541"/>
      <c r="BP123" s="543">
        <f t="shared" si="218"/>
        <v>0</v>
      </c>
      <c r="BQ123" s="543" t="e">
        <f t="shared" si="219"/>
        <v>#DIV/0!</v>
      </c>
      <c r="BR123" s="543">
        <f t="shared" si="220"/>
        <v>0.25</v>
      </c>
      <c r="BS123" s="543" t="e">
        <f t="shared" si="221"/>
        <v>#DIV/0!</v>
      </c>
      <c r="BT123" s="543"/>
      <c r="BU123" s="547">
        <v>0.25</v>
      </c>
      <c r="BV123" s="544" t="str">
        <f t="shared" si="222"/>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W123" s="542">
        <v>0</v>
      </c>
      <c r="BX123" s="541"/>
      <c r="BY123" s="541"/>
      <c r="BZ123" s="547">
        <f t="shared" si="223"/>
        <v>0</v>
      </c>
      <c r="CA123" s="547" t="e">
        <f t="shared" si="224"/>
        <v>#DIV/0!</v>
      </c>
      <c r="CB123" s="547">
        <f t="shared" si="225"/>
        <v>0.25</v>
      </c>
      <c r="CC123" s="547" t="e">
        <f t="shared" si="226"/>
        <v>#DIV/0!</v>
      </c>
      <c r="CD123" s="547"/>
      <c r="CE123" s="546">
        <f t="shared" si="227"/>
        <v>1</v>
      </c>
      <c r="CF123" s="546" t="str">
        <f t="shared" si="228"/>
        <v>No Prog ni Ejec</v>
      </c>
      <c r="CG123" s="546">
        <f t="shared" si="229"/>
        <v>0</v>
      </c>
      <c r="CH123" s="546" t="str">
        <f t="shared" si="230"/>
        <v>No Prog ni Ejec</v>
      </c>
      <c r="CI123" s="546">
        <f t="shared" si="231"/>
        <v>0</v>
      </c>
      <c r="CJ123" s="546" t="str">
        <f t="shared" si="232"/>
        <v>No Prog ni Ejec</v>
      </c>
      <c r="CK123" s="546">
        <f t="shared" si="233"/>
        <v>0</v>
      </c>
      <c r="CL123" s="546" t="str">
        <f t="shared" si="234"/>
        <v>No Prog ni Ejec</v>
      </c>
      <c r="CM123" s="157">
        <f t="shared" si="128"/>
        <v>0</v>
      </c>
      <c r="CR123" s="138">
        <v>1</v>
      </c>
      <c r="CS123" s="138"/>
      <c r="CT123" s="138"/>
      <c r="CU123" s="138"/>
      <c r="CV123" s="138"/>
      <c r="CW123" s="138"/>
      <c r="CX123" s="138"/>
      <c r="CY123" s="138"/>
      <c r="CZ123" s="138"/>
      <c r="DA123" s="138"/>
      <c r="DB123" s="138"/>
      <c r="DC123" s="138"/>
    </row>
    <row r="124" spans="1:107" s="75" customFormat="1" ht="111" customHeight="1" x14ac:dyDescent="0.2">
      <c r="A124" s="541">
        <v>11700</v>
      </c>
      <c r="B124" s="544" t="s">
        <v>14</v>
      </c>
      <c r="C124" s="544" t="s">
        <v>338</v>
      </c>
      <c r="D124" s="145" t="s">
        <v>1108</v>
      </c>
      <c r="E124" s="145"/>
      <c r="F124" s="145"/>
      <c r="G124" s="145"/>
      <c r="H124" s="145"/>
      <c r="I124" s="145"/>
      <c r="J124" s="145"/>
      <c r="K124" s="145"/>
      <c r="L124" s="145"/>
      <c r="M124" s="145"/>
      <c r="N124" s="145"/>
      <c r="O124" s="145"/>
      <c r="P124" s="145"/>
      <c r="Q124" s="544" t="s">
        <v>1233</v>
      </c>
      <c r="R124" s="544" t="s">
        <v>1238</v>
      </c>
      <c r="S124" s="541" t="s">
        <v>240</v>
      </c>
      <c r="T124" s="544" t="s">
        <v>94</v>
      </c>
      <c r="U124" s="544" t="s">
        <v>206</v>
      </c>
      <c r="V124" s="544" t="s">
        <v>206</v>
      </c>
      <c r="W124" s="541" t="s">
        <v>935</v>
      </c>
      <c r="X124" s="544" t="s">
        <v>657</v>
      </c>
      <c r="Y124" s="554" t="s">
        <v>411</v>
      </c>
      <c r="Z124" s="547">
        <v>1</v>
      </c>
      <c r="AA124" s="541" t="s">
        <v>923</v>
      </c>
      <c r="AB124" s="544" t="s">
        <v>373</v>
      </c>
      <c r="AC124" s="542">
        <v>0</v>
      </c>
      <c r="AD124" s="545">
        <v>1</v>
      </c>
      <c r="AE124" s="544" t="s">
        <v>17</v>
      </c>
      <c r="AF124" s="544" t="s">
        <v>23</v>
      </c>
      <c r="AG124" s="544" t="s">
        <v>206</v>
      </c>
      <c r="AH124" s="544" t="s">
        <v>678</v>
      </c>
      <c r="AI124" s="544" t="s">
        <v>78</v>
      </c>
      <c r="AJ124" s="544" t="s">
        <v>1397</v>
      </c>
      <c r="AK124" s="87" t="s">
        <v>435</v>
      </c>
      <c r="AL124" s="544" t="s">
        <v>42</v>
      </c>
      <c r="AM124" s="545">
        <v>1</v>
      </c>
      <c r="AN124" s="544" t="str">
        <f t="shared" si="205"/>
        <v>Evaluar bimensualmente un promedio de 30 respuestas a PQRSD y presentar recomendaciones a las dependencias competentes</v>
      </c>
      <c r="AO124" s="550">
        <f t="shared" si="206"/>
        <v>0</v>
      </c>
      <c r="AP124" s="548" t="s">
        <v>48</v>
      </c>
      <c r="AQ124" s="547">
        <v>0.25</v>
      </c>
      <c r="AR124" s="544" t="str">
        <f t="shared" si="207"/>
        <v>Evaluar bimensualmente un promedio de 30 respuestas a PQRSD y presentar recomendaciones a las dependencias competentes</v>
      </c>
      <c r="AS124" s="542">
        <v>0</v>
      </c>
      <c r="AT124" s="580">
        <v>0.25</v>
      </c>
      <c r="AU124" s="614">
        <v>0</v>
      </c>
      <c r="AV124" s="543">
        <f t="shared" si="208"/>
        <v>1</v>
      </c>
      <c r="AW124" s="543" t="e">
        <f t="shared" si="209"/>
        <v>#DIV/0!</v>
      </c>
      <c r="AX124" s="543">
        <f t="shared" si="210"/>
        <v>0.25</v>
      </c>
      <c r="AY124" s="543" t="e">
        <f t="shared" si="211"/>
        <v>#DIV/0!</v>
      </c>
      <c r="AZ124" s="586" t="s">
        <v>1478</v>
      </c>
      <c r="BA124" s="547">
        <v>0.25</v>
      </c>
      <c r="BB124" s="544" t="str">
        <f t="shared" si="212"/>
        <v>Evaluar bimensualmente un promedio de 30 respuestas a PQRSD y presentar recomendaciones a las dependencias competentes</v>
      </c>
      <c r="BC124" s="542">
        <v>0</v>
      </c>
      <c r="BD124" s="73"/>
      <c r="BE124" s="73"/>
      <c r="BF124" s="543">
        <f t="shared" si="213"/>
        <v>0</v>
      </c>
      <c r="BG124" s="543" t="e">
        <f t="shared" si="214"/>
        <v>#DIV/0!</v>
      </c>
      <c r="BH124" s="543">
        <f t="shared" si="215"/>
        <v>0.25</v>
      </c>
      <c r="BI124" s="543" t="e">
        <f t="shared" si="216"/>
        <v>#DIV/0!</v>
      </c>
      <c r="BJ124" s="543"/>
      <c r="BK124" s="547">
        <v>0.25</v>
      </c>
      <c r="BL124" s="544" t="str">
        <f t="shared" si="217"/>
        <v>Evaluar bimensualmente un promedio de 30 respuestas a PQRSD y presentar recomendaciones a las dependencias competentes</v>
      </c>
      <c r="BM124" s="542">
        <v>0</v>
      </c>
      <c r="BN124" s="541"/>
      <c r="BO124" s="541"/>
      <c r="BP124" s="543">
        <f t="shared" si="218"/>
        <v>0</v>
      </c>
      <c r="BQ124" s="543" t="e">
        <f t="shared" si="219"/>
        <v>#DIV/0!</v>
      </c>
      <c r="BR124" s="543">
        <f t="shared" si="220"/>
        <v>0.25</v>
      </c>
      <c r="BS124" s="543" t="e">
        <f t="shared" si="221"/>
        <v>#DIV/0!</v>
      </c>
      <c r="BT124" s="543"/>
      <c r="BU124" s="547">
        <v>0.25</v>
      </c>
      <c r="BV124" s="544" t="str">
        <f t="shared" si="222"/>
        <v>Evaluar bimensualmente un promedio de 30 respuestas a PQRSD y presentar recomendaciones a las dependencias competentes</v>
      </c>
      <c r="BW124" s="542">
        <v>0</v>
      </c>
      <c r="BX124" s="541"/>
      <c r="BY124" s="541"/>
      <c r="BZ124" s="547">
        <f t="shared" si="223"/>
        <v>0</v>
      </c>
      <c r="CA124" s="547" t="e">
        <f t="shared" si="224"/>
        <v>#DIV/0!</v>
      </c>
      <c r="CB124" s="547">
        <f t="shared" si="225"/>
        <v>0.25</v>
      </c>
      <c r="CC124" s="547" t="e">
        <f t="shared" si="226"/>
        <v>#DIV/0!</v>
      </c>
      <c r="CD124" s="547"/>
      <c r="CE124" s="546">
        <f t="shared" si="227"/>
        <v>1</v>
      </c>
      <c r="CF124" s="546" t="str">
        <f t="shared" si="228"/>
        <v>No Prog ni Ejec</v>
      </c>
      <c r="CG124" s="546">
        <f t="shared" si="229"/>
        <v>0</v>
      </c>
      <c r="CH124" s="546" t="str">
        <f t="shared" si="230"/>
        <v>No Prog ni Ejec</v>
      </c>
      <c r="CI124" s="546">
        <f t="shared" si="231"/>
        <v>0</v>
      </c>
      <c r="CJ124" s="546" t="str">
        <f t="shared" si="232"/>
        <v>No Prog ni Ejec</v>
      </c>
      <c r="CK124" s="546">
        <f t="shared" si="233"/>
        <v>0</v>
      </c>
      <c r="CL124" s="546" t="str">
        <f t="shared" si="234"/>
        <v>No Prog ni Ejec</v>
      </c>
      <c r="CM124" s="157">
        <f t="shared" si="128"/>
        <v>0</v>
      </c>
      <c r="CR124" s="138">
        <v>1</v>
      </c>
      <c r="CS124" s="138"/>
      <c r="CT124" s="138"/>
      <c r="CU124" s="138"/>
      <c r="CV124" s="138"/>
      <c r="CW124" s="138"/>
      <c r="CX124" s="138"/>
      <c r="CY124" s="138"/>
      <c r="CZ124" s="138"/>
      <c r="DA124" s="138"/>
      <c r="DB124" s="138"/>
      <c r="DC124" s="138"/>
    </row>
    <row r="125" spans="1:107" s="75" customFormat="1" ht="114.75" x14ac:dyDescent="0.2">
      <c r="A125" s="541">
        <v>11700</v>
      </c>
      <c r="B125" s="544" t="s">
        <v>14</v>
      </c>
      <c r="C125" s="544" t="s">
        <v>338</v>
      </c>
      <c r="D125" s="145" t="s">
        <v>1108</v>
      </c>
      <c r="E125" s="145"/>
      <c r="F125" s="145"/>
      <c r="G125" s="145"/>
      <c r="H125" s="145"/>
      <c r="I125" s="145"/>
      <c r="J125" s="145"/>
      <c r="K125" s="145"/>
      <c r="L125" s="145"/>
      <c r="M125" s="145"/>
      <c r="N125" s="145"/>
      <c r="O125" s="145"/>
      <c r="P125" s="145"/>
      <c r="Q125" s="544" t="s">
        <v>1233</v>
      </c>
      <c r="R125" s="544" t="s">
        <v>1239</v>
      </c>
      <c r="S125" s="541" t="s">
        <v>240</v>
      </c>
      <c r="T125" s="544" t="s">
        <v>94</v>
      </c>
      <c r="U125" s="544" t="s">
        <v>206</v>
      </c>
      <c r="V125" s="544" t="s">
        <v>206</v>
      </c>
      <c r="W125" s="541" t="s">
        <v>936</v>
      </c>
      <c r="X125" s="544" t="s">
        <v>368</v>
      </c>
      <c r="Y125" s="554" t="s">
        <v>411</v>
      </c>
      <c r="Z125" s="547">
        <v>0.9</v>
      </c>
      <c r="AA125" s="541" t="s">
        <v>924</v>
      </c>
      <c r="AB125" s="544" t="s">
        <v>440</v>
      </c>
      <c r="AC125" s="542">
        <v>0</v>
      </c>
      <c r="AD125" s="545">
        <v>1</v>
      </c>
      <c r="AE125" s="544" t="s">
        <v>17</v>
      </c>
      <c r="AF125" s="544" t="s">
        <v>23</v>
      </c>
      <c r="AG125" s="544" t="s">
        <v>206</v>
      </c>
      <c r="AH125" s="544" t="s">
        <v>678</v>
      </c>
      <c r="AI125" s="544" t="s">
        <v>78</v>
      </c>
      <c r="AJ125" s="544" t="s">
        <v>206</v>
      </c>
      <c r="AK125" s="87" t="s">
        <v>436</v>
      </c>
      <c r="AL125" s="544" t="s">
        <v>42</v>
      </c>
      <c r="AM125" s="545">
        <v>0.9</v>
      </c>
      <c r="AN125" s="544" t="str">
        <f t="shared" si="205"/>
        <v>Realizar los informes trimestrales de satisfacción a los servicios prestados por la entidad por el canal presencial y presentar las recomendaciones a las áreas de la entidad.</v>
      </c>
      <c r="AO125" s="550">
        <f t="shared" si="206"/>
        <v>0</v>
      </c>
      <c r="AP125" s="548" t="s">
        <v>48</v>
      </c>
      <c r="AQ125" s="103">
        <v>0.22500000000000001</v>
      </c>
      <c r="AR125" s="544" t="str">
        <f t="shared" si="207"/>
        <v>Realizar los informes trimestrales de satisfacción a los servicios prestados por la entidad por el canal presencial y presentar las recomendaciones a las áreas de la entidad.</v>
      </c>
      <c r="AS125" s="542">
        <v>0</v>
      </c>
      <c r="AT125" s="596">
        <v>0.22500000000000001</v>
      </c>
      <c r="AU125" s="614">
        <v>0</v>
      </c>
      <c r="AV125" s="543">
        <f t="shared" si="208"/>
        <v>1</v>
      </c>
      <c r="AW125" s="543" t="e">
        <f t="shared" si="209"/>
        <v>#DIV/0!</v>
      </c>
      <c r="AX125" s="543">
        <f t="shared" si="210"/>
        <v>0.25</v>
      </c>
      <c r="AY125" s="543" t="e">
        <f t="shared" si="211"/>
        <v>#DIV/0!</v>
      </c>
      <c r="AZ125" s="586" t="s">
        <v>1479</v>
      </c>
      <c r="BA125" s="103">
        <v>0.22500000000000001</v>
      </c>
      <c r="BB125" s="544" t="str">
        <f t="shared" si="212"/>
        <v>Realizar los informes trimestrales de satisfacción a los servicios prestados por la entidad por el canal presencial y presentar las recomendaciones a las áreas de la entidad.</v>
      </c>
      <c r="BC125" s="542">
        <v>0</v>
      </c>
      <c r="BD125" s="73"/>
      <c r="BE125" s="73"/>
      <c r="BF125" s="543">
        <f t="shared" si="213"/>
        <v>0</v>
      </c>
      <c r="BG125" s="543" t="e">
        <f t="shared" si="214"/>
        <v>#DIV/0!</v>
      </c>
      <c r="BH125" s="543">
        <f t="shared" si="215"/>
        <v>0.25</v>
      </c>
      <c r="BI125" s="543" t="e">
        <f t="shared" si="216"/>
        <v>#DIV/0!</v>
      </c>
      <c r="BJ125" s="543"/>
      <c r="BK125" s="103">
        <v>0.22500000000000001</v>
      </c>
      <c r="BL125" s="544" t="str">
        <f t="shared" si="217"/>
        <v>Realizar los informes trimestrales de satisfacción a los servicios prestados por la entidad por el canal presencial y presentar las recomendaciones a las áreas de la entidad.</v>
      </c>
      <c r="BM125" s="542">
        <v>0</v>
      </c>
      <c r="BN125" s="541"/>
      <c r="BO125" s="541"/>
      <c r="BP125" s="543">
        <f t="shared" si="218"/>
        <v>0</v>
      </c>
      <c r="BQ125" s="543" t="e">
        <f t="shared" si="219"/>
        <v>#DIV/0!</v>
      </c>
      <c r="BR125" s="543">
        <f t="shared" si="220"/>
        <v>0.25</v>
      </c>
      <c r="BS125" s="543" t="e">
        <f t="shared" si="221"/>
        <v>#DIV/0!</v>
      </c>
      <c r="BT125" s="543"/>
      <c r="BU125" s="103">
        <v>0.22500000000000001</v>
      </c>
      <c r="BV125" s="544" t="str">
        <f t="shared" si="222"/>
        <v>Realizar los informes trimestrales de satisfacción a los servicios prestados por la entidad por el canal presencial y presentar las recomendaciones a las áreas de la entidad.</v>
      </c>
      <c r="BW125" s="542">
        <v>0</v>
      </c>
      <c r="BX125" s="541"/>
      <c r="BY125" s="541"/>
      <c r="BZ125" s="547">
        <f t="shared" si="223"/>
        <v>0</v>
      </c>
      <c r="CA125" s="547" t="e">
        <f t="shared" si="224"/>
        <v>#DIV/0!</v>
      </c>
      <c r="CB125" s="547">
        <f t="shared" si="225"/>
        <v>0.25</v>
      </c>
      <c r="CC125" s="547" t="e">
        <f t="shared" si="226"/>
        <v>#DIV/0!</v>
      </c>
      <c r="CD125" s="547"/>
      <c r="CE125" s="546">
        <f t="shared" si="227"/>
        <v>1</v>
      </c>
      <c r="CF125" s="546" t="str">
        <f t="shared" si="228"/>
        <v>No Prog ni Ejec</v>
      </c>
      <c r="CG125" s="546">
        <f t="shared" si="229"/>
        <v>0</v>
      </c>
      <c r="CH125" s="546" t="str">
        <f t="shared" si="230"/>
        <v>No Prog ni Ejec</v>
      </c>
      <c r="CI125" s="546">
        <f t="shared" si="231"/>
        <v>0</v>
      </c>
      <c r="CJ125" s="546" t="str">
        <f t="shared" si="232"/>
        <v>No Prog ni Ejec</v>
      </c>
      <c r="CK125" s="546">
        <f t="shared" si="233"/>
        <v>0</v>
      </c>
      <c r="CL125" s="546" t="str">
        <f t="shared" si="234"/>
        <v>No Prog ni Ejec</v>
      </c>
      <c r="CM125" s="157">
        <f t="shared" si="128"/>
        <v>0</v>
      </c>
      <c r="CR125" s="138">
        <v>1</v>
      </c>
      <c r="CS125" s="138"/>
      <c r="CT125" s="138"/>
      <c r="CU125" s="138"/>
      <c r="CV125" s="138"/>
      <c r="CW125" s="138"/>
      <c r="CX125" s="138"/>
      <c r="CY125" s="138"/>
      <c r="CZ125" s="138"/>
      <c r="DA125" s="138"/>
      <c r="DB125" s="138"/>
      <c r="DC125" s="138"/>
    </row>
    <row r="126" spans="1:107" s="75" customFormat="1" ht="89.25" x14ac:dyDescent="0.2">
      <c r="A126" s="541">
        <v>11700</v>
      </c>
      <c r="B126" s="544" t="s">
        <v>14</v>
      </c>
      <c r="C126" s="544" t="s">
        <v>338</v>
      </c>
      <c r="D126" s="145" t="s">
        <v>1108</v>
      </c>
      <c r="E126" s="145"/>
      <c r="F126" s="145"/>
      <c r="G126" s="145"/>
      <c r="H126" s="145"/>
      <c r="I126" s="145"/>
      <c r="J126" s="145"/>
      <c r="K126" s="145"/>
      <c r="L126" s="145"/>
      <c r="M126" s="145"/>
      <c r="N126" s="145"/>
      <c r="O126" s="145"/>
      <c r="P126" s="145"/>
      <c r="Q126" s="544" t="s">
        <v>1233</v>
      </c>
      <c r="R126" s="544" t="s">
        <v>1240</v>
      </c>
      <c r="S126" s="541" t="s">
        <v>240</v>
      </c>
      <c r="T126" s="544" t="s">
        <v>94</v>
      </c>
      <c r="U126" s="544" t="s">
        <v>206</v>
      </c>
      <c r="V126" s="544" t="s">
        <v>206</v>
      </c>
      <c r="W126" s="541" t="s">
        <v>937</v>
      </c>
      <c r="X126" s="544" t="s">
        <v>509</v>
      </c>
      <c r="Y126" s="554" t="s">
        <v>51</v>
      </c>
      <c r="Z126" s="547">
        <v>1</v>
      </c>
      <c r="AA126" s="541" t="s">
        <v>925</v>
      </c>
      <c r="AB126" s="544" t="s">
        <v>369</v>
      </c>
      <c r="AC126" s="542">
        <v>0</v>
      </c>
      <c r="AD126" s="545">
        <v>1</v>
      </c>
      <c r="AE126" s="544" t="s">
        <v>17</v>
      </c>
      <c r="AF126" s="544" t="s">
        <v>23</v>
      </c>
      <c r="AG126" s="544" t="s">
        <v>206</v>
      </c>
      <c r="AH126" s="544" t="s">
        <v>678</v>
      </c>
      <c r="AI126" s="544" t="s">
        <v>78</v>
      </c>
      <c r="AJ126" s="544" t="s">
        <v>1388</v>
      </c>
      <c r="AK126" s="87" t="s">
        <v>510</v>
      </c>
      <c r="AL126" s="544" t="s">
        <v>42</v>
      </c>
      <c r="AM126" s="545">
        <v>1</v>
      </c>
      <c r="AN126" s="544" t="str">
        <f t="shared" si="205"/>
        <v>Implementar las recomendaciones generadas por CIDCCA bajo ajustes razonables al punto de Atención al Ciudadano y Correspondencia</v>
      </c>
      <c r="AO126" s="550">
        <f t="shared" si="206"/>
        <v>0</v>
      </c>
      <c r="AP126" s="548" t="s">
        <v>48</v>
      </c>
      <c r="AQ126" s="547">
        <v>0</v>
      </c>
      <c r="AR126" s="544" t="str">
        <f t="shared" si="207"/>
        <v>Implementar las recomendaciones generadas por CIDCCA bajo ajustes razonables al punto de Atención al Ciudadano y Correspondencia</v>
      </c>
      <c r="AS126" s="542">
        <v>0</v>
      </c>
      <c r="AT126" s="587">
        <v>0</v>
      </c>
      <c r="AU126" s="614">
        <v>0</v>
      </c>
      <c r="AV126" s="543" t="e">
        <f t="shared" si="208"/>
        <v>#DIV/0!</v>
      </c>
      <c r="AW126" s="543" t="e">
        <f t="shared" si="209"/>
        <v>#DIV/0!</v>
      </c>
      <c r="AX126" s="543">
        <f t="shared" si="210"/>
        <v>0</v>
      </c>
      <c r="AY126" s="543" t="e">
        <f t="shared" si="211"/>
        <v>#DIV/0!</v>
      </c>
      <c r="AZ126" s="637" t="s">
        <v>1464</v>
      </c>
      <c r="BA126" s="547">
        <v>0</v>
      </c>
      <c r="BB126" s="544" t="str">
        <f t="shared" si="212"/>
        <v>Implementar las recomendaciones generadas por CIDCCA bajo ajustes razonables al punto de Atención al Ciudadano y Correspondencia</v>
      </c>
      <c r="BC126" s="542">
        <v>0</v>
      </c>
      <c r="BD126" s="73"/>
      <c r="BE126" s="73"/>
      <c r="BF126" s="543" t="e">
        <f t="shared" si="213"/>
        <v>#DIV/0!</v>
      </c>
      <c r="BG126" s="543" t="e">
        <f t="shared" si="214"/>
        <v>#DIV/0!</v>
      </c>
      <c r="BH126" s="543">
        <f t="shared" si="215"/>
        <v>0</v>
      </c>
      <c r="BI126" s="543" t="e">
        <f t="shared" si="216"/>
        <v>#DIV/0!</v>
      </c>
      <c r="BJ126" s="543"/>
      <c r="BK126" s="547">
        <v>0.5</v>
      </c>
      <c r="BL126" s="544" t="str">
        <f t="shared" si="217"/>
        <v>Implementar las recomendaciones generadas por CIDCCA bajo ajustes razonables al punto de Atención al Ciudadano y Correspondencia</v>
      </c>
      <c r="BM126" s="542">
        <v>0</v>
      </c>
      <c r="BN126" s="541"/>
      <c r="BO126" s="541"/>
      <c r="BP126" s="543">
        <f t="shared" si="218"/>
        <v>0</v>
      </c>
      <c r="BQ126" s="543" t="e">
        <f t="shared" si="219"/>
        <v>#DIV/0!</v>
      </c>
      <c r="BR126" s="543">
        <f t="shared" si="220"/>
        <v>0</v>
      </c>
      <c r="BS126" s="543" t="e">
        <f t="shared" si="221"/>
        <v>#DIV/0!</v>
      </c>
      <c r="BT126" s="543"/>
      <c r="BU126" s="547">
        <v>0.5</v>
      </c>
      <c r="BV126" s="544" t="str">
        <f t="shared" si="222"/>
        <v>Implementar las recomendaciones generadas por CIDCCA bajo ajustes razonables al punto de Atención al Ciudadano y Correspondencia</v>
      </c>
      <c r="BW126" s="542">
        <v>0</v>
      </c>
      <c r="BX126" s="541"/>
      <c r="BY126" s="541"/>
      <c r="BZ126" s="547">
        <f t="shared" si="223"/>
        <v>0</v>
      </c>
      <c r="CA126" s="547" t="e">
        <f t="shared" si="224"/>
        <v>#DIV/0!</v>
      </c>
      <c r="CB126" s="547">
        <f t="shared" si="225"/>
        <v>0</v>
      </c>
      <c r="CC126" s="547" t="e">
        <f t="shared" si="226"/>
        <v>#DIV/0!</v>
      </c>
      <c r="CD126" s="547"/>
      <c r="CE126" s="546" t="str">
        <f t="shared" si="227"/>
        <v>No Prog ni Ejec</v>
      </c>
      <c r="CF126" s="546" t="str">
        <f t="shared" si="228"/>
        <v>No Prog ni Ejec</v>
      </c>
      <c r="CG126" s="546" t="str">
        <f t="shared" si="229"/>
        <v>No Prog ni Ejec</v>
      </c>
      <c r="CH126" s="546" t="str">
        <f t="shared" si="230"/>
        <v>No Prog ni Ejec</v>
      </c>
      <c r="CI126" s="546">
        <f t="shared" si="231"/>
        <v>0</v>
      </c>
      <c r="CJ126" s="546" t="str">
        <f t="shared" si="232"/>
        <v>No Prog ni Ejec</v>
      </c>
      <c r="CK126" s="546">
        <f t="shared" si="233"/>
        <v>0</v>
      </c>
      <c r="CL126" s="546" t="str">
        <f t="shared" si="234"/>
        <v>No Prog ni Ejec</v>
      </c>
      <c r="CM126" s="157">
        <f t="shared" si="128"/>
        <v>0</v>
      </c>
      <c r="CR126" s="138">
        <v>1</v>
      </c>
      <c r="CS126" s="138"/>
      <c r="CT126" s="138"/>
      <c r="CU126" s="138"/>
      <c r="CV126" s="138"/>
      <c r="CW126" s="138"/>
      <c r="CX126" s="138"/>
      <c r="CY126" s="138"/>
      <c r="CZ126" s="138"/>
      <c r="DA126" s="138"/>
      <c r="DB126" s="138"/>
      <c r="DC126" s="138"/>
    </row>
    <row r="127" spans="1:107" s="75" customFormat="1" ht="116.25" customHeight="1" x14ac:dyDescent="0.2">
      <c r="A127" s="541">
        <v>11700</v>
      </c>
      <c r="B127" s="544" t="s">
        <v>14</v>
      </c>
      <c r="C127" s="544" t="s">
        <v>338</v>
      </c>
      <c r="D127" s="145" t="s">
        <v>1108</v>
      </c>
      <c r="E127" s="145"/>
      <c r="F127" s="145"/>
      <c r="G127" s="145"/>
      <c r="H127" s="145"/>
      <c r="I127" s="145"/>
      <c r="J127" s="145"/>
      <c r="K127" s="145"/>
      <c r="L127" s="145"/>
      <c r="M127" s="145"/>
      <c r="N127" s="145"/>
      <c r="O127" s="145"/>
      <c r="P127" s="145"/>
      <c r="Q127" s="544" t="s">
        <v>1233</v>
      </c>
      <c r="R127" s="544" t="s">
        <v>1240</v>
      </c>
      <c r="S127" s="541" t="s">
        <v>240</v>
      </c>
      <c r="T127" s="544" t="s">
        <v>94</v>
      </c>
      <c r="U127" s="544" t="s">
        <v>206</v>
      </c>
      <c r="V127" s="544" t="s">
        <v>206</v>
      </c>
      <c r="W127" s="541" t="s">
        <v>947</v>
      </c>
      <c r="X127" s="544" t="s">
        <v>507</v>
      </c>
      <c r="Y127" s="554" t="s">
        <v>51</v>
      </c>
      <c r="Z127" s="547">
        <v>1</v>
      </c>
      <c r="AA127" s="541" t="s">
        <v>938</v>
      </c>
      <c r="AB127" s="544" t="s">
        <v>374</v>
      </c>
      <c r="AC127" s="542">
        <v>0</v>
      </c>
      <c r="AD127" s="545">
        <v>1</v>
      </c>
      <c r="AE127" s="544" t="s">
        <v>17</v>
      </c>
      <c r="AF127" s="544" t="s">
        <v>23</v>
      </c>
      <c r="AG127" s="544" t="s">
        <v>206</v>
      </c>
      <c r="AH127" s="544" t="s">
        <v>678</v>
      </c>
      <c r="AI127" s="544" t="s">
        <v>78</v>
      </c>
      <c r="AJ127" s="544" t="s">
        <v>1388</v>
      </c>
      <c r="AK127" s="87" t="s">
        <v>508</v>
      </c>
      <c r="AL127" s="544" t="s">
        <v>42</v>
      </c>
      <c r="AM127" s="545">
        <v>1</v>
      </c>
      <c r="AN127" s="544" t="str">
        <f t="shared" si="205"/>
        <v>Participar en la Ferias del Servicio al Ciudadano del PNSC en las que la entidad decida asistir</v>
      </c>
      <c r="AO127" s="550">
        <f t="shared" si="206"/>
        <v>0</v>
      </c>
      <c r="AP127" s="548" t="s">
        <v>48</v>
      </c>
      <c r="AQ127" s="547">
        <v>0</v>
      </c>
      <c r="AR127" s="544" t="str">
        <f t="shared" si="207"/>
        <v>Participar en la Ferias del Servicio al Ciudadano del PNSC en las que la entidad decida asistir</v>
      </c>
      <c r="AS127" s="542">
        <v>0</v>
      </c>
      <c r="AT127" s="587">
        <v>0</v>
      </c>
      <c r="AU127" s="614">
        <v>0</v>
      </c>
      <c r="AV127" s="543" t="e">
        <f t="shared" si="208"/>
        <v>#DIV/0!</v>
      </c>
      <c r="AW127" s="543" t="e">
        <f t="shared" si="209"/>
        <v>#DIV/0!</v>
      </c>
      <c r="AX127" s="543">
        <f t="shared" si="210"/>
        <v>0</v>
      </c>
      <c r="AY127" s="543" t="e">
        <f t="shared" si="211"/>
        <v>#DIV/0!</v>
      </c>
      <c r="AZ127" s="637" t="s">
        <v>1464</v>
      </c>
      <c r="BA127" s="547">
        <v>0.33</v>
      </c>
      <c r="BB127" s="544" t="str">
        <f t="shared" si="212"/>
        <v>Participar en la Ferias del Servicio al Ciudadano del PNSC en las que la entidad decida asistir</v>
      </c>
      <c r="BC127" s="542">
        <v>0</v>
      </c>
      <c r="BD127" s="73"/>
      <c r="BE127" s="73"/>
      <c r="BF127" s="543">
        <f t="shared" si="213"/>
        <v>0</v>
      </c>
      <c r="BG127" s="543" t="e">
        <f t="shared" si="214"/>
        <v>#DIV/0!</v>
      </c>
      <c r="BH127" s="543">
        <f t="shared" si="215"/>
        <v>0</v>
      </c>
      <c r="BI127" s="543" t="e">
        <f t="shared" si="216"/>
        <v>#DIV/0!</v>
      </c>
      <c r="BJ127" s="543"/>
      <c r="BK127" s="547">
        <v>0.33</v>
      </c>
      <c r="BL127" s="544" t="str">
        <f t="shared" si="217"/>
        <v>Participar en la Ferias del Servicio al Ciudadano del PNSC en las que la entidad decida asistir</v>
      </c>
      <c r="BM127" s="542">
        <v>0</v>
      </c>
      <c r="BN127" s="541"/>
      <c r="BO127" s="541"/>
      <c r="BP127" s="543">
        <f t="shared" si="218"/>
        <v>0</v>
      </c>
      <c r="BQ127" s="543" t="e">
        <f t="shared" si="219"/>
        <v>#DIV/0!</v>
      </c>
      <c r="BR127" s="543">
        <f t="shared" si="220"/>
        <v>0</v>
      </c>
      <c r="BS127" s="543" t="e">
        <f t="shared" si="221"/>
        <v>#DIV/0!</v>
      </c>
      <c r="BT127" s="543"/>
      <c r="BU127" s="547">
        <v>0.33</v>
      </c>
      <c r="BV127" s="544" t="str">
        <f t="shared" si="222"/>
        <v>Participar en la Ferias del Servicio al Ciudadano del PNSC en las que la entidad decida asistir</v>
      </c>
      <c r="BW127" s="542">
        <v>0</v>
      </c>
      <c r="BX127" s="541"/>
      <c r="BY127" s="541"/>
      <c r="BZ127" s="547">
        <f t="shared" si="223"/>
        <v>0</v>
      </c>
      <c r="CA127" s="547" t="e">
        <f t="shared" si="224"/>
        <v>#DIV/0!</v>
      </c>
      <c r="CB127" s="547">
        <f t="shared" si="225"/>
        <v>0</v>
      </c>
      <c r="CC127" s="547" t="e">
        <f t="shared" si="226"/>
        <v>#DIV/0!</v>
      </c>
      <c r="CD127" s="547"/>
      <c r="CE127" s="546" t="str">
        <f t="shared" si="227"/>
        <v>No Prog ni Ejec</v>
      </c>
      <c r="CF127" s="546" t="str">
        <f t="shared" si="228"/>
        <v>No Prog ni Ejec</v>
      </c>
      <c r="CG127" s="546">
        <f t="shared" si="229"/>
        <v>0</v>
      </c>
      <c r="CH127" s="546" t="str">
        <f t="shared" si="230"/>
        <v>No Prog ni Ejec</v>
      </c>
      <c r="CI127" s="546">
        <f t="shared" si="231"/>
        <v>0</v>
      </c>
      <c r="CJ127" s="546" t="str">
        <f t="shared" si="232"/>
        <v>No Prog ni Ejec</v>
      </c>
      <c r="CK127" s="546">
        <f t="shared" si="233"/>
        <v>0</v>
      </c>
      <c r="CL127" s="546" t="str">
        <f t="shared" si="234"/>
        <v>No Prog ni Ejec</v>
      </c>
      <c r="CM127" s="157">
        <f t="shared" si="128"/>
        <v>0</v>
      </c>
      <c r="CR127" s="138">
        <v>1</v>
      </c>
      <c r="CS127" s="138"/>
      <c r="CT127" s="138"/>
      <c r="CU127" s="138"/>
      <c r="CV127" s="138"/>
      <c r="CW127" s="138"/>
      <c r="CX127" s="138"/>
      <c r="CY127" s="138"/>
      <c r="CZ127" s="138"/>
      <c r="DA127" s="138"/>
      <c r="DB127" s="138"/>
      <c r="DC127" s="138"/>
    </row>
    <row r="128" spans="1:107" s="75" customFormat="1" ht="154.5" customHeight="1" x14ac:dyDescent="0.2">
      <c r="A128" s="541">
        <v>11700</v>
      </c>
      <c r="B128" s="544" t="s">
        <v>14</v>
      </c>
      <c r="C128" s="544" t="s">
        <v>338</v>
      </c>
      <c r="D128" s="145" t="s">
        <v>1108</v>
      </c>
      <c r="E128" s="145"/>
      <c r="F128" s="145"/>
      <c r="G128" s="145"/>
      <c r="H128" s="145"/>
      <c r="I128" s="145"/>
      <c r="J128" s="145"/>
      <c r="K128" s="145"/>
      <c r="L128" s="145"/>
      <c r="M128" s="145"/>
      <c r="N128" s="145"/>
      <c r="O128" s="145"/>
      <c r="P128" s="145"/>
      <c r="Q128" s="544" t="s">
        <v>1233</v>
      </c>
      <c r="R128" s="544" t="s">
        <v>1238</v>
      </c>
      <c r="S128" s="541" t="s">
        <v>240</v>
      </c>
      <c r="T128" s="544" t="s">
        <v>94</v>
      </c>
      <c r="U128" s="544" t="s">
        <v>206</v>
      </c>
      <c r="V128" s="544" t="s">
        <v>206</v>
      </c>
      <c r="W128" s="541" t="s">
        <v>948</v>
      </c>
      <c r="X128" s="544" t="s">
        <v>370</v>
      </c>
      <c r="Y128" s="554" t="s">
        <v>411</v>
      </c>
      <c r="Z128" s="541">
        <v>2</v>
      </c>
      <c r="AA128" s="541" t="s">
        <v>939</v>
      </c>
      <c r="AB128" s="544" t="s">
        <v>375</v>
      </c>
      <c r="AC128" s="542">
        <v>0</v>
      </c>
      <c r="AD128" s="545">
        <v>1</v>
      </c>
      <c r="AE128" s="544" t="s">
        <v>17</v>
      </c>
      <c r="AF128" s="544" t="s">
        <v>23</v>
      </c>
      <c r="AG128" s="544" t="s">
        <v>206</v>
      </c>
      <c r="AH128" s="544" t="s">
        <v>678</v>
      </c>
      <c r="AI128" s="544" t="s">
        <v>78</v>
      </c>
      <c r="AJ128" s="544" t="s">
        <v>1397</v>
      </c>
      <c r="AK128" s="87" t="s">
        <v>377</v>
      </c>
      <c r="AL128" s="544" t="s">
        <v>42</v>
      </c>
      <c r="AM128" s="541">
        <v>2</v>
      </c>
      <c r="AN128" s="544" t="str">
        <f t="shared" si="205"/>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O128" s="550">
        <f t="shared" si="206"/>
        <v>0</v>
      </c>
      <c r="AP128" s="548" t="s">
        <v>48</v>
      </c>
      <c r="AQ128" s="541">
        <v>1</v>
      </c>
      <c r="AR128" s="544" t="str">
        <f t="shared" si="207"/>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S128" s="542">
        <v>0</v>
      </c>
      <c r="AT128" s="587">
        <v>1</v>
      </c>
      <c r="AU128" s="614">
        <v>0</v>
      </c>
      <c r="AV128" s="543">
        <f t="shared" si="208"/>
        <v>1</v>
      </c>
      <c r="AW128" s="543" t="e">
        <f t="shared" si="209"/>
        <v>#DIV/0!</v>
      </c>
      <c r="AX128" s="543">
        <f t="shared" si="210"/>
        <v>0.5</v>
      </c>
      <c r="AY128" s="543" t="e">
        <f t="shared" si="211"/>
        <v>#DIV/0!</v>
      </c>
      <c r="AZ128" s="586" t="s">
        <v>1480</v>
      </c>
      <c r="BA128" s="541">
        <v>0</v>
      </c>
      <c r="BB128" s="544" t="str">
        <f t="shared" si="212"/>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C128" s="542">
        <v>0</v>
      </c>
      <c r="BD128" s="73"/>
      <c r="BE128" s="73"/>
      <c r="BF128" s="543" t="e">
        <f t="shared" si="213"/>
        <v>#DIV/0!</v>
      </c>
      <c r="BG128" s="543" t="e">
        <f t="shared" si="214"/>
        <v>#DIV/0!</v>
      </c>
      <c r="BH128" s="543">
        <f t="shared" si="215"/>
        <v>0.5</v>
      </c>
      <c r="BI128" s="543" t="e">
        <f t="shared" si="216"/>
        <v>#DIV/0!</v>
      </c>
      <c r="BJ128" s="543"/>
      <c r="BK128" s="541">
        <v>1</v>
      </c>
      <c r="BL128" s="544" t="str">
        <f t="shared" si="217"/>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M128" s="542">
        <v>0</v>
      </c>
      <c r="BN128" s="541"/>
      <c r="BO128" s="541"/>
      <c r="BP128" s="543">
        <f t="shared" si="218"/>
        <v>0</v>
      </c>
      <c r="BQ128" s="543" t="e">
        <f t="shared" si="219"/>
        <v>#DIV/0!</v>
      </c>
      <c r="BR128" s="543">
        <f t="shared" si="220"/>
        <v>0.5</v>
      </c>
      <c r="BS128" s="543" t="e">
        <f t="shared" si="221"/>
        <v>#DIV/0!</v>
      </c>
      <c r="BT128" s="543"/>
      <c r="BU128" s="541">
        <v>0</v>
      </c>
      <c r="BV128" s="544" t="str">
        <f t="shared" si="222"/>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W128" s="542">
        <v>0</v>
      </c>
      <c r="BX128" s="541"/>
      <c r="BY128" s="541"/>
      <c r="BZ128" s="547" t="e">
        <f t="shared" si="223"/>
        <v>#DIV/0!</v>
      </c>
      <c r="CA128" s="547" t="e">
        <f t="shared" si="224"/>
        <v>#DIV/0!</v>
      </c>
      <c r="CB128" s="547">
        <f t="shared" si="225"/>
        <v>0.5</v>
      </c>
      <c r="CC128" s="547" t="e">
        <f t="shared" si="226"/>
        <v>#DIV/0!</v>
      </c>
      <c r="CD128" s="547"/>
      <c r="CE128" s="546">
        <f t="shared" si="227"/>
        <v>1</v>
      </c>
      <c r="CF128" s="546" t="str">
        <f t="shared" si="228"/>
        <v>No Prog ni Ejec</v>
      </c>
      <c r="CG128" s="546" t="str">
        <f t="shared" si="229"/>
        <v>No Prog ni Ejec</v>
      </c>
      <c r="CH128" s="546" t="str">
        <f t="shared" si="230"/>
        <v>No Prog ni Ejec</v>
      </c>
      <c r="CI128" s="546">
        <f t="shared" si="231"/>
        <v>0</v>
      </c>
      <c r="CJ128" s="546" t="str">
        <f t="shared" si="232"/>
        <v>No Prog ni Ejec</v>
      </c>
      <c r="CK128" s="546" t="str">
        <f t="shared" si="233"/>
        <v>No Prog ni Ejec</v>
      </c>
      <c r="CL128" s="546" t="str">
        <f t="shared" si="234"/>
        <v>No Prog ni Ejec</v>
      </c>
      <c r="CM128" s="157">
        <f t="shared" si="128"/>
        <v>0</v>
      </c>
      <c r="CR128" s="138">
        <v>1</v>
      </c>
      <c r="CS128" s="138"/>
      <c r="CT128" s="138"/>
      <c r="CU128" s="138"/>
      <c r="CV128" s="138"/>
      <c r="CW128" s="138"/>
      <c r="CX128" s="138"/>
      <c r="CY128" s="138"/>
      <c r="CZ128" s="138"/>
      <c r="DA128" s="138"/>
      <c r="DB128" s="138"/>
      <c r="DC128" s="138"/>
    </row>
    <row r="129" spans="1:107" s="75" customFormat="1" ht="111.75" customHeight="1" x14ac:dyDescent="0.2">
      <c r="A129" s="541">
        <v>11700</v>
      </c>
      <c r="B129" s="544" t="s">
        <v>14</v>
      </c>
      <c r="C129" s="544" t="s">
        <v>338</v>
      </c>
      <c r="D129" s="145" t="s">
        <v>1108</v>
      </c>
      <c r="E129" s="145"/>
      <c r="F129" s="145"/>
      <c r="G129" s="145"/>
      <c r="H129" s="145"/>
      <c r="I129" s="145"/>
      <c r="J129" s="145"/>
      <c r="K129" s="145"/>
      <c r="L129" s="145"/>
      <c r="M129" s="145"/>
      <c r="N129" s="145"/>
      <c r="O129" s="145"/>
      <c r="P129" s="145"/>
      <c r="Q129" s="544" t="s">
        <v>1233</v>
      </c>
      <c r="R129" s="544" t="s">
        <v>1238</v>
      </c>
      <c r="S129" s="541" t="s">
        <v>240</v>
      </c>
      <c r="T129" s="544" t="s">
        <v>94</v>
      </c>
      <c r="U129" s="544" t="s">
        <v>206</v>
      </c>
      <c r="V129" s="544" t="s">
        <v>206</v>
      </c>
      <c r="W129" s="541" t="s">
        <v>949</v>
      </c>
      <c r="X129" s="544" t="s">
        <v>371</v>
      </c>
      <c r="Y129" s="554" t="s">
        <v>411</v>
      </c>
      <c r="Z129" s="541">
        <v>4</v>
      </c>
      <c r="AA129" s="541" t="s">
        <v>940</v>
      </c>
      <c r="AB129" s="544" t="s">
        <v>376</v>
      </c>
      <c r="AC129" s="542">
        <v>0</v>
      </c>
      <c r="AD129" s="545">
        <v>1</v>
      </c>
      <c r="AE129" s="544" t="s">
        <v>17</v>
      </c>
      <c r="AF129" s="544" t="s">
        <v>23</v>
      </c>
      <c r="AG129" s="544" t="s">
        <v>206</v>
      </c>
      <c r="AH129" s="544" t="s">
        <v>678</v>
      </c>
      <c r="AI129" s="544" t="s">
        <v>78</v>
      </c>
      <c r="AJ129" s="544" t="s">
        <v>1397</v>
      </c>
      <c r="AK129" s="87" t="s">
        <v>437</v>
      </c>
      <c r="AL129" s="544" t="s">
        <v>42</v>
      </c>
      <c r="AM129" s="541">
        <v>4</v>
      </c>
      <c r="AN129" s="544" t="str">
        <f t="shared" si="205"/>
        <v>Informes trimestrales de PQRS presentado a la OCI de la Entidad</v>
      </c>
      <c r="AO129" s="550">
        <f t="shared" si="206"/>
        <v>0</v>
      </c>
      <c r="AP129" s="548" t="s">
        <v>48</v>
      </c>
      <c r="AQ129" s="541">
        <v>1</v>
      </c>
      <c r="AR129" s="544" t="str">
        <f t="shared" si="207"/>
        <v>Informes trimestrales de PQRS presentado a la OCI de la Entidad</v>
      </c>
      <c r="AS129" s="542">
        <v>0</v>
      </c>
      <c r="AT129" s="587">
        <v>1</v>
      </c>
      <c r="AU129" s="614">
        <v>0</v>
      </c>
      <c r="AV129" s="543">
        <f t="shared" si="208"/>
        <v>1</v>
      </c>
      <c r="AW129" s="543" t="e">
        <f t="shared" si="209"/>
        <v>#DIV/0!</v>
      </c>
      <c r="AX129" s="543">
        <f t="shared" si="210"/>
        <v>0.25</v>
      </c>
      <c r="AY129" s="543" t="e">
        <f t="shared" si="211"/>
        <v>#DIV/0!</v>
      </c>
      <c r="AZ129" s="586" t="s">
        <v>1481</v>
      </c>
      <c r="BA129" s="541">
        <v>1</v>
      </c>
      <c r="BB129" s="544" t="str">
        <f t="shared" si="212"/>
        <v>Informes trimestrales de PQRS presentado a la OCI de la Entidad</v>
      </c>
      <c r="BC129" s="542">
        <v>0</v>
      </c>
      <c r="BD129" s="73"/>
      <c r="BE129" s="73"/>
      <c r="BF129" s="543">
        <f t="shared" si="213"/>
        <v>0</v>
      </c>
      <c r="BG129" s="543" t="e">
        <f t="shared" si="214"/>
        <v>#DIV/0!</v>
      </c>
      <c r="BH129" s="543">
        <f t="shared" si="215"/>
        <v>0.25</v>
      </c>
      <c r="BI129" s="543" t="e">
        <f t="shared" si="216"/>
        <v>#DIV/0!</v>
      </c>
      <c r="BJ129" s="543"/>
      <c r="BK129" s="541">
        <v>1</v>
      </c>
      <c r="BL129" s="544" t="str">
        <f t="shared" si="217"/>
        <v>Informes trimestrales de PQRS presentado a la OCI de la Entidad</v>
      </c>
      <c r="BM129" s="542">
        <v>0</v>
      </c>
      <c r="BN129" s="541"/>
      <c r="BO129" s="541"/>
      <c r="BP129" s="543">
        <f t="shared" si="218"/>
        <v>0</v>
      </c>
      <c r="BQ129" s="543" t="e">
        <f t="shared" si="219"/>
        <v>#DIV/0!</v>
      </c>
      <c r="BR129" s="543">
        <f t="shared" si="220"/>
        <v>0.25</v>
      </c>
      <c r="BS129" s="543" t="e">
        <f t="shared" si="221"/>
        <v>#DIV/0!</v>
      </c>
      <c r="BT129" s="543"/>
      <c r="BU129" s="541">
        <v>1</v>
      </c>
      <c r="BV129" s="544" t="str">
        <f t="shared" si="222"/>
        <v>Informes trimestrales de PQRS presentado a la OCI de la Entidad</v>
      </c>
      <c r="BW129" s="542">
        <v>0</v>
      </c>
      <c r="BX129" s="541"/>
      <c r="BY129" s="541"/>
      <c r="BZ129" s="547">
        <f t="shared" si="223"/>
        <v>0</v>
      </c>
      <c r="CA129" s="547" t="e">
        <f t="shared" si="224"/>
        <v>#DIV/0!</v>
      </c>
      <c r="CB129" s="547">
        <f t="shared" si="225"/>
        <v>0.25</v>
      </c>
      <c r="CC129" s="547" t="e">
        <f t="shared" si="226"/>
        <v>#DIV/0!</v>
      </c>
      <c r="CD129" s="547"/>
      <c r="CE129" s="546">
        <f t="shared" si="227"/>
        <v>1</v>
      </c>
      <c r="CF129" s="546" t="str">
        <f t="shared" si="228"/>
        <v>No Prog ni Ejec</v>
      </c>
      <c r="CG129" s="546">
        <f t="shared" si="229"/>
        <v>0</v>
      </c>
      <c r="CH129" s="546" t="str">
        <f t="shared" si="230"/>
        <v>No Prog ni Ejec</v>
      </c>
      <c r="CI129" s="546">
        <f t="shared" si="231"/>
        <v>0</v>
      </c>
      <c r="CJ129" s="546" t="str">
        <f t="shared" si="232"/>
        <v>No Prog ni Ejec</v>
      </c>
      <c r="CK129" s="546">
        <f t="shared" si="233"/>
        <v>0</v>
      </c>
      <c r="CL129" s="546" t="str">
        <f t="shared" si="234"/>
        <v>No Prog ni Ejec</v>
      </c>
      <c r="CM129" s="157">
        <f t="shared" si="128"/>
        <v>0</v>
      </c>
      <c r="CR129" s="138">
        <v>1</v>
      </c>
      <c r="CS129" s="138"/>
      <c r="CT129" s="138"/>
      <c r="CU129" s="138"/>
      <c r="CV129" s="138"/>
      <c r="CW129" s="138"/>
      <c r="CX129" s="138"/>
      <c r="CY129" s="138"/>
      <c r="CZ129" s="138"/>
      <c r="DA129" s="138"/>
      <c r="DB129" s="138"/>
      <c r="DC129" s="138"/>
    </row>
    <row r="130" spans="1:107" s="75" customFormat="1" ht="112.5" customHeight="1" x14ac:dyDescent="0.2">
      <c r="A130" s="541">
        <v>11700</v>
      </c>
      <c r="B130" s="544" t="s">
        <v>14</v>
      </c>
      <c r="C130" s="544" t="s">
        <v>338</v>
      </c>
      <c r="D130" s="145" t="s">
        <v>1108</v>
      </c>
      <c r="E130" s="145"/>
      <c r="F130" s="145"/>
      <c r="G130" s="145"/>
      <c r="H130" s="145"/>
      <c r="I130" s="145"/>
      <c r="J130" s="145"/>
      <c r="K130" s="145"/>
      <c r="L130" s="145"/>
      <c r="M130" s="145"/>
      <c r="N130" s="145"/>
      <c r="O130" s="145"/>
      <c r="P130" s="145"/>
      <c r="Q130" s="544" t="s">
        <v>1234</v>
      </c>
      <c r="R130" s="544" t="s">
        <v>1241</v>
      </c>
      <c r="S130" s="541" t="s">
        <v>240</v>
      </c>
      <c r="T130" s="544" t="s">
        <v>94</v>
      </c>
      <c r="U130" s="544" t="s">
        <v>206</v>
      </c>
      <c r="V130" s="544" t="s">
        <v>206</v>
      </c>
      <c r="W130" s="541" t="s">
        <v>950</v>
      </c>
      <c r="X130" s="544" t="s">
        <v>984</v>
      </c>
      <c r="Y130" s="554" t="s">
        <v>51</v>
      </c>
      <c r="Z130" s="547">
        <v>1</v>
      </c>
      <c r="AA130" s="541" t="s">
        <v>941</v>
      </c>
      <c r="AB130" s="544" t="s">
        <v>985</v>
      </c>
      <c r="AC130" s="549">
        <v>0</v>
      </c>
      <c r="AD130" s="545">
        <v>1</v>
      </c>
      <c r="AE130" s="544" t="s">
        <v>18</v>
      </c>
      <c r="AF130" s="544" t="s">
        <v>24</v>
      </c>
      <c r="AG130" s="544" t="s">
        <v>206</v>
      </c>
      <c r="AH130" s="544" t="s">
        <v>678</v>
      </c>
      <c r="AI130" s="544" t="s">
        <v>76</v>
      </c>
      <c r="AJ130" s="544" t="s">
        <v>1388</v>
      </c>
      <c r="AK130" s="544" t="s">
        <v>986</v>
      </c>
      <c r="AL130" s="544" t="s">
        <v>40</v>
      </c>
      <c r="AM130" s="92">
        <v>1</v>
      </c>
      <c r="AN130" s="544" t="str">
        <f t="shared" ref="AN130:AO134" si="235">+AB130</f>
        <v xml:space="preserve">Convocar a las veedurías ciudadanas para que participen el proceso de licitación pública </v>
      </c>
      <c r="AO130" s="550">
        <f t="shared" si="235"/>
        <v>0</v>
      </c>
      <c r="AP130" s="548" t="s">
        <v>48</v>
      </c>
      <c r="AQ130" s="545">
        <v>0</v>
      </c>
      <c r="AR130" s="544" t="str">
        <f>+AN130</f>
        <v xml:space="preserve">Convocar a las veedurías ciudadanas para que participen el proceso de licitación pública </v>
      </c>
      <c r="AS130" s="542">
        <v>0</v>
      </c>
      <c r="AT130" s="587">
        <v>0</v>
      </c>
      <c r="AU130" s="614">
        <v>0</v>
      </c>
      <c r="AV130" s="543" t="e">
        <f t="shared" ref="AV130:AV143" si="236">+(AT130/AQ130)</f>
        <v>#DIV/0!</v>
      </c>
      <c r="AW130" s="543" t="e">
        <f t="shared" ref="AW130:AW149" si="237">+(AU130/AS130)</f>
        <v>#DIV/0!</v>
      </c>
      <c r="AX130" s="543">
        <f t="shared" ref="AX130:AX143" si="238">+(AT130/AM130)</f>
        <v>0</v>
      </c>
      <c r="AY130" s="543" t="e">
        <f t="shared" ref="AY130:AY143" si="239">+(AU130/AO130)</f>
        <v>#DIV/0!</v>
      </c>
      <c r="AZ130" s="586" t="s">
        <v>1482</v>
      </c>
      <c r="BA130" s="545">
        <v>0</v>
      </c>
      <c r="BB130" s="544" t="str">
        <f>+AN130</f>
        <v xml:space="preserve">Convocar a las veedurías ciudadanas para que participen el proceso de licitación pública </v>
      </c>
      <c r="BC130" s="542">
        <v>0</v>
      </c>
      <c r="BD130" s="73"/>
      <c r="BE130" s="73"/>
      <c r="BF130" s="543" t="e">
        <f t="shared" ref="BF130:BF149" si="240">+(BD130/BA130)</f>
        <v>#DIV/0!</v>
      </c>
      <c r="BG130" s="543" t="e">
        <f t="shared" ref="BG130:BG149" si="241">+(BE130/BC130)</f>
        <v>#DIV/0!</v>
      </c>
      <c r="BH130" s="543">
        <f t="shared" ref="BH130:BH149" si="242">+(BD130+AT130)/AM130</f>
        <v>0</v>
      </c>
      <c r="BI130" s="543" t="e">
        <f t="shared" ref="BI130:BI149" si="243">+(BE130+AU130)/AO130</f>
        <v>#DIV/0!</v>
      </c>
      <c r="BJ130" s="543"/>
      <c r="BK130" s="545">
        <v>0</v>
      </c>
      <c r="BL130" s="544" t="str">
        <f>+AN130</f>
        <v xml:space="preserve">Convocar a las veedurías ciudadanas para que participen el proceso de licitación pública </v>
      </c>
      <c r="BM130" s="542">
        <v>0</v>
      </c>
      <c r="BN130" s="541"/>
      <c r="BO130" s="541"/>
      <c r="BP130" s="543" t="e">
        <f t="shared" ref="BP130:BP139" si="244">+(BN130/BK130)</f>
        <v>#DIV/0!</v>
      </c>
      <c r="BQ130" s="543" t="e">
        <f t="shared" ref="BQ130:BQ139" si="245">+(BO130/BM130)</f>
        <v>#DIV/0!</v>
      </c>
      <c r="BR130" s="543">
        <f t="shared" ref="BR130:BR139" si="246">+(BD130+AT130+BN130)/AM130</f>
        <v>0</v>
      </c>
      <c r="BS130" s="543" t="e">
        <f t="shared" ref="BS130:BS139" si="247">+(BE130+AU130+BO130)/AO130</f>
        <v>#DIV/0!</v>
      </c>
      <c r="BT130" s="543"/>
      <c r="BU130" s="545">
        <v>1</v>
      </c>
      <c r="BV130" s="544" t="str">
        <f>+AN130</f>
        <v xml:space="preserve">Convocar a las veedurías ciudadanas para que participen el proceso de licitación pública </v>
      </c>
      <c r="BW130" s="542">
        <v>0</v>
      </c>
      <c r="BX130" s="541"/>
      <c r="BY130" s="541"/>
      <c r="BZ130" s="547">
        <f t="shared" ref="BZ130:BZ139" si="248">+(BX130/BU130)</f>
        <v>0</v>
      </c>
      <c r="CA130" s="547" t="e">
        <f t="shared" ref="CA130:CA139" si="249">+(BY130/BW130)</f>
        <v>#DIV/0!</v>
      </c>
      <c r="CB130" s="547">
        <f t="shared" ref="CB130:CB139" si="250">+(BD130+AT130+BN130+BX130)/AM130</f>
        <v>0</v>
      </c>
      <c r="CC130" s="547" t="e">
        <f t="shared" ref="CC130:CC139" si="251">+(BE130+AU130+BO130+BY130)/AO130</f>
        <v>#DIV/0!</v>
      </c>
      <c r="CD130" s="547"/>
      <c r="CE130" s="546" t="str">
        <f t="shared" ref="CE130:CE139" si="252">IF(AND(AQ130=0,AT130=0),"No Prog ni Ejec",IF(AQ130=0,CONCATENATE("No Prog, Ejec=  ",AT130),AT130/AQ130))</f>
        <v>No Prog ni Ejec</v>
      </c>
      <c r="CF130" s="546" t="str">
        <f t="shared" ref="CF130:CF139" si="253">IF(AND(AS130=0,AU130=0),"No Prog ni Ejec",IF(AS130=0,CONCATENATE("No Prog, Ejec=  ",AU130),AU130/AS130))</f>
        <v>No Prog ni Ejec</v>
      </c>
      <c r="CG130" s="546" t="str">
        <f t="shared" ref="CG130:CG139" si="254">IF(AND(BA130=0,BD130=0),"No Prog ni Ejec",IF(BA130=0,CONCATENATE("No Prog, Ejec=  ",BD130),BD130/BA130))</f>
        <v>No Prog ni Ejec</v>
      </c>
      <c r="CH130" s="546" t="str">
        <f t="shared" ref="CH130:CH139" si="255">IF(AND(BC130=0,BE130=0),"No Prog ni Ejec",IF(BC130=0,CONCATENATE("No Prog, Ejec=  ",BE130),BE130/BC130))</f>
        <v>No Prog ni Ejec</v>
      </c>
      <c r="CI130" s="546" t="str">
        <f t="shared" ref="CI130:CI139" si="256">IF(AND(BK130=0,BN130=0),"No Prog ni Ejec",IF(BK130=0,CONCATENATE("No Prog, Ejec=  ",BN130),BN130/BK130))</f>
        <v>No Prog ni Ejec</v>
      </c>
      <c r="CJ130" s="546" t="str">
        <f t="shared" ref="CJ130:CJ139" si="257">IF(AND(BM130=0,BO130=0),"No Prog ni Ejec",IF(BM130=0,CONCATENATE("No Prog, Ejec=  ",BO130),BO130/BM130))</f>
        <v>No Prog ni Ejec</v>
      </c>
      <c r="CK130" s="546">
        <f t="shared" ref="CK130:CK139" si="258">IF(AND(BU130=0,BX130=0),"No Prog ni Ejec",IF(BU130=0,CONCATENATE("No Prog, Ejec=  ",BX130),BX130/BU130))</f>
        <v>0</v>
      </c>
      <c r="CL130" s="546" t="str">
        <f t="shared" ref="CL130:CL139" si="259">IF(AND(BW130=0,BY130=0),"No Prog ni Ejec",IF(BW130=0,CONCATENATE("No Prog, Ejec=  ",BY130),BY130/BW130))</f>
        <v>No Prog ni Ejec</v>
      </c>
      <c r="CM130" s="157">
        <f t="shared" si="128"/>
        <v>0</v>
      </c>
      <c r="CR130" s="138">
        <v>1</v>
      </c>
      <c r="CS130" s="138"/>
      <c r="CT130" s="138"/>
      <c r="CU130" s="138"/>
      <c r="CV130" s="138"/>
      <c r="CW130" s="138"/>
      <c r="CX130" s="138"/>
      <c r="CY130" s="138"/>
      <c r="CZ130" s="138"/>
      <c r="DA130" s="138"/>
      <c r="DB130" s="138"/>
      <c r="DC130" s="138"/>
    </row>
    <row r="131" spans="1:107" s="75" customFormat="1" ht="112.5" customHeight="1" x14ac:dyDescent="0.2">
      <c r="A131" s="541">
        <v>11700</v>
      </c>
      <c r="B131" s="544" t="s">
        <v>14</v>
      </c>
      <c r="C131" s="544" t="s">
        <v>338</v>
      </c>
      <c r="D131" s="145" t="s">
        <v>1108</v>
      </c>
      <c r="E131" s="145"/>
      <c r="F131" s="145"/>
      <c r="G131" s="145"/>
      <c r="H131" s="145"/>
      <c r="I131" s="145"/>
      <c r="J131" s="145"/>
      <c r="K131" s="145"/>
      <c r="L131" s="145"/>
      <c r="M131" s="145"/>
      <c r="N131" s="145"/>
      <c r="O131" s="145"/>
      <c r="P131" s="145"/>
      <c r="Q131" s="544" t="s">
        <v>1230</v>
      </c>
      <c r="R131" s="544" t="s">
        <v>1237</v>
      </c>
      <c r="S131" s="541" t="s">
        <v>240</v>
      </c>
      <c r="T131" s="544" t="s">
        <v>94</v>
      </c>
      <c r="U131" s="544" t="s">
        <v>206</v>
      </c>
      <c r="V131" s="544" t="s">
        <v>206</v>
      </c>
      <c r="W131" s="541" t="s">
        <v>951</v>
      </c>
      <c r="X131" s="544" t="s">
        <v>1146</v>
      </c>
      <c r="Y131" s="554" t="s">
        <v>394</v>
      </c>
      <c r="Z131" s="66">
        <v>3</v>
      </c>
      <c r="AA131" s="541" t="s">
        <v>942</v>
      </c>
      <c r="AB131" s="544" t="s">
        <v>1145</v>
      </c>
      <c r="AC131" s="542">
        <v>0</v>
      </c>
      <c r="AD131" s="545">
        <v>1</v>
      </c>
      <c r="AE131" s="544" t="s">
        <v>17</v>
      </c>
      <c r="AF131" s="544" t="s">
        <v>297</v>
      </c>
      <c r="AG131" s="544" t="s">
        <v>206</v>
      </c>
      <c r="AH131" s="544" t="s">
        <v>678</v>
      </c>
      <c r="AI131" s="544" t="s">
        <v>1136</v>
      </c>
      <c r="AJ131" s="544" t="s">
        <v>1396</v>
      </c>
      <c r="AK131" s="544" t="s">
        <v>1147</v>
      </c>
      <c r="AL131" s="544" t="s">
        <v>206</v>
      </c>
      <c r="AM131" s="67">
        <v>3</v>
      </c>
      <c r="AN131" s="544" t="str">
        <f t="shared" si="235"/>
        <v>Realizar reuniones de autocontrol y seguimiento a los procesos que evidencien el monitoreo a los riesgos, indicadores, planes de mejoramiento, manuales y documentos asociados</v>
      </c>
      <c r="AO131" s="550">
        <f t="shared" si="235"/>
        <v>0</v>
      </c>
      <c r="AP131" s="548" t="s">
        <v>48</v>
      </c>
      <c r="AQ131" s="67">
        <v>0</v>
      </c>
      <c r="AR131" s="544" t="str">
        <f>+AN131</f>
        <v>Realizar reuniones de autocontrol y seguimiento a los procesos que evidencien el monitoreo a los riesgos, indicadores, planes de mejoramiento, manuales y documentos asociados</v>
      </c>
      <c r="AS131" s="542">
        <f>+AO131/4</f>
        <v>0</v>
      </c>
      <c r="AT131" s="587">
        <v>0</v>
      </c>
      <c r="AU131" s="587">
        <v>0</v>
      </c>
      <c r="AV131" s="543" t="e">
        <f t="shared" si="236"/>
        <v>#DIV/0!</v>
      </c>
      <c r="AW131" s="543" t="e">
        <f t="shared" si="237"/>
        <v>#DIV/0!</v>
      </c>
      <c r="AX131" s="543">
        <f t="shared" si="238"/>
        <v>0</v>
      </c>
      <c r="AY131" s="543" t="e">
        <f t="shared" si="239"/>
        <v>#DIV/0!</v>
      </c>
      <c r="AZ131" s="637" t="s">
        <v>1483</v>
      </c>
      <c r="BA131" s="67">
        <v>1</v>
      </c>
      <c r="BB131" s="544" t="str">
        <f>+AN131</f>
        <v>Realizar reuniones de autocontrol y seguimiento a los procesos que evidencien el monitoreo a los riesgos, indicadores, planes de mejoramiento, manuales y documentos asociados</v>
      </c>
      <c r="BC131" s="542">
        <f>+AO131/4</f>
        <v>0</v>
      </c>
      <c r="BD131" s="73"/>
      <c r="BE131" s="73"/>
      <c r="BF131" s="543">
        <f t="shared" si="240"/>
        <v>0</v>
      </c>
      <c r="BG131" s="543" t="e">
        <f t="shared" si="241"/>
        <v>#DIV/0!</v>
      </c>
      <c r="BH131" s="543">
        <f t="shared" si="242"/>
        <v>0</v>
      </c>
      <c r="BI131" s="543" t="e">
        <f t="shared" si="243"/>
        <v>#DIV/0!</v>
      </c>
      <c r="BJ131" s="543"/>
      <c r="BK131" s="67">
        <v>1</v>
      </c>
      <c r="BL131" s="544" t="str">
        <f>+AN131</f>
        <v>Realizar reuniones de autocontrol y seguimiento a los procesos que evidencien el monitoreo a los riesgos, indicadores, planes de mejoramiento, manuales y documentos asociados</v>
      </c>
      <c r="BM131" s="542">
        <f>+AO131/4</f>
        <v>0</v>
      </c>
      <c r="BN131" s="541"/>
      <c r="BO131" s="541"/>
      <c r="BP131" s="543">
        <f t="shared" si="244"/>
        <v>0</v>
      </c>
      <c r="BQ131" s="543" t="e">
        <f t="shared" si="245"/>
        <v>#DIV/0!</v>
      </c>
      <c r="BR131" s="543">
        <f t="shared" si="246"/>
        <v>0</v>
      </c>
      <c r="BS131" s="543" t="e">
        <f t="shared" si="247"/>
        <v>#DIV/0!</v>
      </c>
      <c r="BT131" s="543"/>
      <c r="BU131" s="67">
        <v>1</v>
      </c>
      <c r="BV131" s="544" t="str">
        <f>+AN131</f>
        <v>Realizar reuniones de autocontrol y seguimiento a los procesos que evidencien el monitoreo a los riesgos, indicadores, planes de mejoramiento, manuales y documentos asociados</v>
      </c>
      <c r="BW131" s="542">
        <f>+AO131/4</f>
        <v>0</v>
      </c>
      <c r="BX131" s="541"/>
      <c r="BY131" s="541"/>
      <c r="BZ131" s="547">
        <f t="shared" si="248"/>
        <v>0</v>
      </c>
      <c r="CA131" s="547" t="e">
        <f t="shared" si="249"/>
        <v>#DIV/0!</v>
      </c>
      <c r="CB131" s="547">
        <f t="shared" si="250"/>
        <v>0</v>
      </c>
      <c r="CC131" s="547" t="e">
        <f t="shared" si="251"/>
        <v>#DIV/0!</v>
      </c>
      <c r="CD131" s="547"/>
      <c r="CE131" s="546" t="str">
        <f t="shared" si="252"/>
        <v>No Prog ni Ejec</v>
      </c>
      <c r="CF131" s="546" t="str">
        <f t="shared" si="253"/>
        <v>No Prog ni Ejec</v>
      </c>
      <c r="CG131" s="546">
        <f t="shared" si="254"/>
        <v>0</v>
      </c>
      <c r="CH131" s="546" t="str">
        <f t="shared" si="255"/>
        <v>No Prog ni Ejec</v>
      </c>
      <c r="CI131" s="546">
        <f t="shared" si="256"/>
        <v>0</v>
      </c>
      <c r="CJ131" s="546" t="str">
        <f t="shared" si="257"/>
        <v>No Prog ni Ejec</v>
      </c>
      <c r="CK131" s="546">
        <f t="shared" si="258"/>
        <v>0</v>
      </c>
      <c r="CL131" s="546" t="str">
        <f t="shared" si="259"/>
        <v>No Prog ni Ejec</v>
      </c>
      <c r="CM131" s="157">
        <f t="shared" si="128"/>
        <v>0</v>
      </c>
      <c r="CR131" s="138"/>
      <c r="CS131" s="138"/>
      <c r="CT131" s="138"/>
      <c r="CU131" s="138"/>
      <c r="CV131" s="138"/>
      <c r="CW131" s="138"/>
      <c r="CX131" s="138"/>
      <c r="CY131" s="138"/>
      <c r="CZ131" s="138"/>
      <c r="DA131" s="138"/>
      <c r="DB131" s="138"/>
      <c r="DC131" s="138"/>
    </row>
    <row r="132" spans="1:107" s="75" customFormat="1" ht="409.5" x14ac:dyDescent="0.2">
      <c r="A132" s="541">
        <v>11600</v>
      </c>
      <c r="B132" s="544" t="s">
        <v>4</v>
      </c>
      <c r="C132" s="544" t="s">
        <v>332</v>
      </c>
      <c r="D132" s="145"/>
      <c r="E132" s="145" t="s">
        <v>1108</v>
      </c>
      <c r="F132" s="145" t="s">
        <v>1108</v>
      </c>
      <c r="G132" s="145"/>
      <c r="H132" s="145"/>
      <c r="I132" s="145"/>
      <c r="J132" s="145"/>
      <c r="K132" s="145"/>
      <c r="L132" s="145"/>
      <c r="M132" s="145"/>
      <c r="N132" s="145"/>
      <c r="O132" s="145"/>
      <c r="P132" s="145"/>
      <c r="Q132" s="540" t="s">
        <v>206</v>
      </c>
      <c r="R132" s="540" t="s">
        <v>206</v>
      </c>
      <c r="S132" s="541" t="s">
        <v>100</v>
      </c>
      <c r="T132" s="544" t="s">
        <v>94</v>
      </c>
      <c r="U132" s="544" t="s">
        <v>206</v>
      </c>
      <c r="V132" s="544" t="s">
        <v>206</v>
      </c>
      <c r="W132" s="541" t="s">
        <v>105</v>
      </c>
      <c r="X132" s="544" t="s">
        <v>390</v>
      </c>
      <c r="Y132" s="554" t="s">
        <v>51</v>
      </c>
      <c r="Z132" s="194">
        <v>0.9</v>
      </c>
      <c r="AA132" s="541" t="s">
        <v>102</v>
      </c>
      <c r="AB132" s="544" t="s">
        <v>353</v>
      </c>
      <c r="AC132" s="549">
        <f>178704377.103774+48960000</f>
        <v>227664377.10377401</v>
      </c>
      <c r="AD132" s="545">
        <v>1</v>
      </c>
      <c r="AE132" s="544" t="s">
        <v>17</v>
      </c>
      <c r="AF132" s="544" t="s">
        <v>27</v>
      </c>
      <c r="AG132" s="544" t="s">
        <v>206</v>
      </c>
      <c r="AH132" s="544" t="s">
        <v>678</v>
      </c>
      <c r="AI132" s="544" t="s">
        <v>82</v>
      </c>
      <c r="AJ132" s="544" t="s">
        <v>1395</v>
      </c>
      <c r="AK132" s="544" t="s">
        <v>1421</v>
      </c>
      <c r="AL132" s="544" t="s">
        <v>44</v>
      </c>
      <c r="AM132" s="194">
        <v>0.9</v>
      </c>
      <c r="AN132" s="544" t="str">
        <f t="shared" si="235"/>
        <v>Servicio BPO-Mesa de ayuda</v>
      </c>
      <c r="AO132" s="550">
        <f t="shared" si="235"/>
        <v>227664377.10377401</v>
      </c>
      <c r="AP132" s="548" t="s">
        <v>46</v>
      </c>
      <c r="AQ132" s="191">
        <v>0.22500000000000001</v>
      </c>
      <c r="AR132" s="544" t="str">
        <f>+AN132</f>
        <v>Servicio BPO-Mesa de ayuda</v>
      </c>
      <c r="AS132" s="549">
        <f>+AC132*0.1</f>
        <v>22766437.710377403</v>
      </c>
      <c r="AT132" s="671">
        <f>(189/189)*AQ132</f>
        <v>0.22500000000000001</v>
      </c>
      <c r="AU132" s="631">
        <f>952000+4080000+4080000</f>
        <v>9112000</v>
      </c>
      <c r="AV132" s="543">
        <f t="shared" si="236"/>
        <v>1</v>
      </c>
      <c r="AW132" s="543">
        <f t="shared" si="237"/>
        <v>0.40023828566937225</v>
      </c>
      <c r="AX132" s="543">
        <f t="shared" si="238"/>
        <v>0.25</v>
      </c>
      <c r="AY132" s="543">
        <f t="shared" si="239"/>
        <v>4.0023828566937231E-2</v>
      </c>
      <c r="AZ132" s="685" t="s">
        <v>1535</v>
      </c>
      <c r="BA132" s="191">
        <v>0.22500000000000001</v>
      </c>
      <c r="BB132" s="544" t="str">
        <f>+AN132</f>
        <v>Servicio BPO-Mesa de ayuda</v>
      </c>
      <c r="BC132" s="549">
        <f>+AO132*0.3</f>
        <v>68299313.1311322</v>
      </c>
      <c r="BD132" s="73"/>
      <c r="BE132" s="73"/>
      <c r="BF132" s="543">
        <f t="shared" si="240"/>
        <v>0</v>
      </c>
      <c r="BG132" s="543">
        <f t="shared" si="241"/>
        <v>0</v>
      </c>
      <c r="BH132" s="543">
        <f t="shared" si="242"/>
        <v>0.25</v>
      </c>
      <c r="BI132" s="543">
        <f t="shared" si="243"/>
        <v>4.0023828566937231E-2</v>
      </c>
      <c r="BJ132" s="543"/>
      <c r="BK132" s="191">
        <v>0.22500000000000001</v>
      </c>
      <c r="BL132" s="544" t="str">
        <f>+AN132</f>
        <v>Servicio BPO-Mesa de ayuda</v>
      </c>
      <c r="BM132" s="549">
        <f>+AO132*0.3</f>
        <v>68299313.1311322</v>
      </c>
      <c r="BN132" s="541"/>
      <c r="BO132" s="541"/>
      <c r="BP132" s="543">
        <f t="shared" si="244"/>
        <v>0</v>
      </c>
      <c r="BQ132" s="543">
        <f t="shared" si="245"/>
        <v>0</v>
      </c>
      <c r="BR132" s="543">
        <f t="shared" si="246"/>
        <v>0.25</v>
      </c>
      <c r="BS132" s="543">
        <f t="shared" si="247"/>
        <v>4.0023828566937231E-2</v>
      </c>
      <c r="BT132" s="543"/>
      <c r="BU132" s="191">
        <v>0.22500000000000001</v>
      </c>
      <c r="BV132" s="544" t="str">
        <f>+AN132</f>
        <v>Servicio BPO-Mesa de ayuda</v>
      </c>
      <c r="BW132" s="542">
        <f>+AO132*0.3</f>
        <v>68299313.1311322</v>
      </c>
      <c r="BX132" s="541"/>
      <c r="BY132" s="541"/>
      <c r="BZ132" s="547">
        <f t="shared" si="248"/>
        <v>0</v>
      </c>
      <c r="CA132" s="547">
        <f t="shared" si="249"/>
        <v>0</v>
      </c>
      <c r="CB132" s="547">
        <f t="shared" si="250"/>
        <v>0.25</v>
      </c>
      <c r="CC132" s="547">
        <f t="shared" si="251"/>
        <v>4.0023828566937231E-2</v>
      </c>
      <c r="CD132" s="547"/>
      <c r="CE132" s="546">
        <f t="shared" si="252"/>
        <v>1</v>
      </c>
      <c r="CF132" s="546">
        <f t="shared" si="253"/>
        <v>0.40023828566937225</v>
      </c>
      <c r="CG132" s="546">
        <f t="shared" si="254"/>
        <v>0</v>
      </c>
      <c r="CH132" s="546">
        <f t="shared" si="255"/>
        <v>0</v>
      </c>
      <c r="CI132" s="546">
        <f t="shared" si="256"/>
        <v>0</v>
      </c>
      <c r="CJ132" s="546">
        <f t="shared" si="257"/>
        <v>0</v>
      </c>
      <c r="CK132" s="546">
        <f t="shared" si="258"/>
        <v>0</v>
      </c>
      <c r="CL132" s="546">
        <f t="shared" si="259"/>
        <v>0</v>
      </c>
      <c r="CM132" s="157">
        <f t="shared" si="128"/>
        <v>0</v>
      </c>
      <c r="CW132" s="138">
        <v>6</v>
      </c>
    </row>
    <row r="133" spans="1:107" s="75" customFormat="1" ht="99.75" customHeight="1" x14ac:dyDescent="0.2">
      <c r="A133" s="541">
        <v>11600</v>
      </c>
      <c r="B133" s="544" t="s">
        <v>4</v>
      </c>
      <c r="C133" s="559" t="s">
        <v>561</v>
      </c>
      <c r="D133" s="216"/>
      <c r="E133" s="216" t="s">
        <v>1108</v>
      </c>
      <c r="F133" s="216" t="s">
        <v>1108</v>
      </c>
      <c r="G133" s="216"/>
      <c r="H133" s="216"/>
      <c r="I133" s="216"/>
      <c r="J133" s="216"/>
      <c r="K133" s="216"/>
      <c r="L133" s="216"/>
      <c r="M133" s="216"/>
      <c r="N133" s="216"/>
      <c r="O133" s="216" t="s">
        <v>1108</v>
      </c>
      <c r="P133" s="216"/>
      <c r="Q133" s="540" t="s">
        <v>206</v>
      </c>
      <c r="R133" s="540" t="s">
        <v>206</v>
      </c>
      <c r="S133" s="541" t="s">
        <v>100</v>
      </c>
      <c r="T133" s="544" t="s">
        <v>94</v>
      </c>
      <c r="U133" s="544" t="s">
        <v>206</v>
      </c>
      <c r="V133" s="544" t="s">
        <v>206</v>
      </c>
      <c r="W133" s="541" t="s">
        <v>106</v>
      </c>
      <c r="X133" s="544" t="s">
        <v>441</v>
      </c>
      <c r="Y133" s="554" t="s">
        <v>51</v>
      </c>
      <c r="Z133" s="191">
        <v>1</v>
      </c>
      <c r="AA133" s="541" t="s">
        <v>103</v>
      </c>
      <c r="AB133" s="544" t="s">
        <v>354</v>
      </c>
      <c r="AC133" s="549">
        <v>203562225</v>
      </c>
      <c r="AD133" s="545">
        <v>1</v>
      </c>
      <c r="AE133" s="544" t="s">
        <v>17</v>
      </c>
      <c r="AF133" s="544" t="s">
        <v>299</v>
      </c>
      <c r="AG133" s="544" t="s">
        <v>206</v>
      </c>
      <c r="AH133" s="544" t="s">
        <v>678</v>
      </c>
      <c r="AI133" s="544" t="s">
        <v>81</v>
      </c>
      <c r="AJ133" s="544" t="s">
        <v>1385</v>
      </c>
      <c r="AK133" s="544" t="s">
        <v>442</v>
      </c>
      <c r="AL133" s="544" t="s">
        <v>44</v>
      </c>
      <c r="AM133" s="194">
        <v>1</v>
      </c>
      <c r="AN133" s="544" t="str">
        <f t="shared" si="235"/>
        <v>Contratar una consultoría para la planeación, diagnóstico, alistamiento, implementación y monitoreo para la adopción del protocolo IPV6.</v>
      </c>
      <c r="AO133" s="550">
        <f t="shared" si="235"/>
        <v>203562225</v>
      </c>
      <c r="AP133" s="548" t="s">
        <v>46</v>
      </c>
      <c r="AQ133" s="191">
        <v>0</v>
      </c>
      <c r="AR133" s="544" t="str">
        <f>+AN133</f>
        <v>Contratar una consultoría para la planeación, diagnóstico, alistamiento, implementación y monitoreo para la adopción del protocolo IPV6.</v>
      </c>
      <c r="AS133" s="549">
        <f>+AO133*0</f>
        <v>0</v>
      </c>
      <c r="AT133" s="191">
        <v>0</v>
      </c>
      <c r="AU133" s="631">
        <v>0</v>
      </c>
      <c r="AV133" s="543" t="e">
        <f t="shared" si="236"/>
        <v>#DIV/0!</v>
      </c>
      <c r="AW133" s="543" t="e">
        <f t="shared" si="237"/>
        <v>#DIV/0!</v>
      </c>
      <c r="AX133" s="543">
        <f t="shared" si="238"/>
        <v>0</v>
      </c>
      <c r="AY133" s="543">
        <f t="shared" si="239"/>
        <v>0</v>
      </c>
      <c r="AZ133" s="577" t="s">
        <v>1437</v>
      </c>
      <c r="BA133" s="191">
        <v>0</v>
      </c>
      <c r="BB133" s="544" t="str">
        <f>+AN133</f>
        <v>Contratar una consultoría para la planeación, diagnóstico, alistamiento, implementación y monitoreo para la adopción del protocolo IPV6.</v>
      </c>
      <c r="BC133" s="549">
        <f>+AO133*0.17</f>
        <v>34605578.25</v>
      </c>
      <c r="BD133" s="73"/>
      <c r="BE133" s="73"/>
      <c r="BF133" s="543" t="e">
        <f t="shared" si="240"/>
        <v>#DIV/0!</v>
      </c>
      <c r="BG133" s="543">
        <f t="shared" si="241"/>
        <v>0</v>
      </c>
      <c r="BH133" s="543">
        <f t="shared" si="242"/>
        <v>0</v>
      </c>
      <c r="BI133" s="543">
        <f t="shared" si="243"/>
        <v>0</v>
      </c>
      <c r="BJ133" s="543"/>
      <c r="BK133" s="191">
        <v>0</v>
      </c>
      <c r="BL133" s="544" t="str">
        <f>+AN133</f>
        <v>Contratar una consultoría para la planeación, diagnóstico, alistamiento, implementación y monitoreo para la adopción del protocolo IPV6.</v>
      </c>
      <c r="BM133" s="549">
        <f>+AO133*0.5</f>
        <v>101781112.5</v>
      </c>
      <c r="BN133" s="541"/>
      <c r="BO133" s="541"/>
      <c r="BP133" s="543" t="e">
        <f t="shared" si="244"/>
        <v>#DIV/0!</v>
      </c>
      <c r="BQ133" s="543">
        <f t="shared" si="245"/>
        <v>0</v>
      </c>
      <c r="BR133" s="543">
        <f t="shared" si="246"/>
        <v>0</v>
      </c>
      <c r="BS133" s="543">
        <f t="shared" si="247"/>
        <v>0</v>
      </c>
      <c r="BT133" s="543"/>
      <c r="BU133" s="191">
        <v>1</v>
      </c>
      <c r="BV133" s="544" t="str">
        <f>+AN133</f>
        <v>Contratar una consultoría para la planeación, diagnóstico, alistamiento, implementación y monitoreo para la adopción del protocolo IPV6.</v>
      </c>
      <c r="BW133" s="549">
        <f>+AO133*0.33</f>
        <v>67175534.25</v>
      </c>
      <c r="BX133" s="541"/>
      <c r="BY133" s="541"/>
      <c r="BZ133" s="547">
        <f t="shared" si="248"/>
        <v>0</v>
      </c>
      <c r="CA133" s="547">
        <f t="shared" si="249"/>
        <v>0</v>
      </c>
      <c r="CB133" s="547">
        <f t="shared" si="250"/>
        <v>0</v>
      </c>
      <c r="CC133" s="547">
        <f t="shared" si="251"/>
        <v>0</v>
      </c>
      <c r="CD133" s="547"/>
      <c r="CE133" s="546" t="str">
        <f t="shared" si="252"/>
        <v>No Prog ni Ejec</v>
      </c>
      <c r="CF133" s="546" t="str">
        <f t="shared" si="253"/>
        <v>No Prog ni Ejec</v>
      </c>
      <c r="CG133" s="546" t="str">
        <f t="shared" si="254"/>
        <v>No Prog ni Ejec</v>
      </c>
      <c r="CH133" s="546">
        <f t="shared" si="255"/>
        <v>0</v>
      </c>
      <c r="CI133" s="546" t="str">
        <f t="shared" si="256"/>
        <v>No Prog ni Ejec</v>
      </c>
      <c r="CJ133" s="546">
        <f t="shared" si="257"/>
        <v>0</v>
      </c>
      <c r="CK133" s="546">
        <f t="shared" si="258"/>
        <v>0</v>
      </c>
      <c r="CL133" s="546">
        <f t="shared" si="259"/>
        <v>0</v>
      </c>
      <c r="CM133" s="157">
        <f t="shared" si="128"/>
        <v>0</v>
      </c>
      <c r="CT133" s="138">
        <v>3</v>
      </c>
    </row>
    <row r="134" spans="1:107" s="75" customFormat="1" ht="111" customHeight="1" x14ac:dyDescent="0.2">
      <c r="A134" s="541">
        <v>11600</v>
      </c>
      <c r="B134" s="544" t="s">
        <v>4</v>
      </c>
      <c r="C134" s="559" t="s">
        <v>561</v>
      </c>
      <c r="D134" s="216"/>
      <c r="E134" s="216" t="s">
        <v>1108</v>
      </c>
      <c r="F134" s="216" t="s">
        <v>1108</v>
      </c>
      <c r="G134" s="216"/>
      <c r="H134" s="216"/>
      <c r="I134" s="216"/>
      <c r="J134" s="216"/>
      <c r="K134" s="216"/>
      <c r="L134" s="216"/>
      <c r="M134" s="216"/>
      <c r="N134" s="216"/>
      <c r="O134" s="216" t="s">
        <v>1108</v>
      </c>
      <c r="P134" s="216"/>
      <c r="Q134" s="540" t="s">
        <v>206</v>
      </c>
      <c r="R134" s="540" t="s">
        <v>206</v>
      </c>
      <c r="S134" s="541" t="s">
        <v>100</v>
      </c>
      <c r="T134" s="544" t="s">
        <v>94</v>
      </c>
      <c r="U134" s="544" t="s">
        <v>206</v>
      </c>
      <c r="V134" s="544" t="s">
        <v>206</v>
      </c>
      <c r="W134" s="541" t="s">
        <v>1209</v>
      </c>
      <c r="X134" s="544" t="s">
        <v>443</v>
      </c>
      <c r="Y134" s="145" t="s">
        <v>394</v>
      </c>
      <c r="Z134" s="106">
        <v>1</v>
      </c>
      <c r="AA134" s="723" t="s">
        <v>1198</v>
      </c>
      <c r="AB134" s="872" t="s">
        <v>355</v>
      </c>
      <c r="AC134" s="549">
        <v>84770477.298000008</v>
      </c>
      <c r="AD134" s="545">
        <v>1</v>
      </c>
      <c r="AE134" s="544" t="s">
        <v>17</v>
      </c>
      <c r="AF134" s="544" t="s">
        <v>299</v>
      </c>
      <c r="AG134" s="544" t="s">
        <v>206</v>
      </c>
      <c r="AH134" s="544" t="s">
        <v>678</v>
      </c>
      <c r="AI134" s="544" t="s">
        <v>81</v>
      </c>
      <c r="AJ134" s="713" t="s">
        <v>1385</v>
      </c>
      <c r="AK134" s="544" t="s">
        <v>438</v>
      </c>
      <c r="AL134" s="544" t="s">
        <v>44</v>
      </c>
      <c r="AM134" s="106">
        <v>1</v>
      </c>
      <c r="AN134" s="713" t="str">
        <f t="shared" si="235"/>
        <v>Contratar la prestación de servicios técnicos para realizar análisis de vulnerabilidades, Ethical Hacking y pruebas de Ingeniería Social</v>
      </c>
      <c r="AO134" s="550">
        <f t="shared" si="235"/>
        <v>84770477.298000008</v>
      </c>
      <c r="AP134" s="548" t="s">
        <v>46</v>
      </c>
      <c r="AQ134" s="106">
        <v>0</v>
      </c>
      <c r="AR134" s="713" t="str">
        <f>+AN134</f>
        <v>Contratar la prestación de servicios técnicos para realizar análisis de vulnerabilidades, Ethical Hacking y pruebas de Ingeniería Social</v>
      </c>
      <c r="AS134" s="549">
        <f>+AO134*0</f>
        <v>0</v>
      </c>
      <c r="AT134" s="630">
        <v>0</v>
      </c>
      <c r="AU134" s="631">
        <v>0</v>
      </c>
      <c r="AV134" s="543" t="e">
        <f t="shared" si="236"/>
        <v>#DIV/0!</v>
      </c>
      <c r="AW134" s="543" t="e">
        <f t="shared" si="237"/>
        <v>#DIV/0!</v>
      </c>
      <c r="AX134" s="543">
        <f t="shared" si="238"/>
        <v>0</v>
      </c>
      <c r="AY134" s="543">
        <f t="shared" si="239"/>
        <v>0</v>
      </c>
      <c r="AZ134" s="577" t="s">
        <v>1437</v>
      </c>
      <c r="BA134" s="106">
        <v>0</v>
      </c>
      <c r="BB134" s="713" t="str">
        <f>+AN134</f>
        <v>Contratar la prestación de servicios técnicos para realizar análisis de vulnerabilidades, Ethical Hacking y pruebas de Ingeniería Social</v>
      </c>
      <c r="BC134" s="549">
        <f>+AO134*0.25</f>
        <v>21192619.324500002</v>
      </c>
      <c r="BD134" s="73"/>
      <c r="BE134" s="73"/>
      <c r="BF134" s="543" t="e">
        <f t="shared" si="240"/>
        <v>#DIV/0!</v>
      </c>
      <c r="BG134" s="543">
        <f t="shared" si="241"/>
        <v>0</v>
      </c>
      <c r="BH134" s="543">
        <f t="shared" si="242"/>
        <v>0</v>
      </c>
      <c r="BI134" s="543">
        <f t="shared" si="243"/>
        <v>0</v>
      </c>
      <c r="BJ134" s="543"/>
      <c r="BK134" s="106">
        <v>0</v>
      </c>
      <c r="BL134" s="713" t="str">
        <f>+AN134</f>
        <v>Contratar la prestación de servicios técnicos para realizar análisis de vulnerabilidades, Ethical Hacking y pruebas de Ingeniería Social</v>
      </c>
      <c r="BM134" s="549">
        <f>+AO134*0.75</f>
        <v>63577857.973500006</v>
      </c>
      <c r="BN134" s="541"/>
      <c r="BO134" s="541"/>
      <c r="BP134" s="543" t="e">
        <f t="shared" si="244"/>
        <v>#DIV/0!</v>
      </c>
      <c r="BQ134" s="543">
        <f t="shared" si="245"/>
        <v>0</v>
      </c>
      <c r="BR134" s="543">
        <f t="shared" si="246"/>
        <v>0</v>
      </c>
      <c r="BS134" s="543">
        <f t="shared" si="247"/>
        <v>0</v>
      </c>
      <c r="BT134" s="543"/>
      <c r="BU134" s="106">
        <v>1</v>
      </c>
      <c r="BV134" s="713" t="str">
        <f>+AN134</f>
        <v>Contratar la prestación de servicios técnicos para realizar análisis de vulnerabilidades, Ethical Hacking y pruebas de Ingeniería Social</v>
      </c>
      <c r="BW134" s="549">
        <f>+AO134*0</f>
        <v>0</v>
      </c>
      <c r="BX134" s="541"/>
      <c r="BY134" s="541"/>
      <c r="BZ134" s="547">
        <f t="shared" si="248"/>
        <v>0</v>
      </c>
      <c r="CA134" s="547" t="e">
        <f t="shared" si="249"/>
        <v>#DIV/0!</v>
      </c>
      <c r="CB134" s="547">
        <f t="shared" si="250"/>
        <v>0</v>
      </c>
      <c r="CC134" s="547">
        <f t="shared" si="251"/>
        <v>0</v>
      </c>
      <c r="CD134" s="547"/>
      <c r="CE134" s="546" t="str">
        <f t="shared" si="252"/>
        <v>No Prog ni Ejec</v>
      </c>
      <c r="CF134" s="546" t="str">
        <f t="shared" si="253"/>
        <v>No Prog ni Ejec</v>
      </c>
      <c r="CG134" s="546" t="str">
        <f t="shared" si="254"/>
        <v>No Prog ni Ejec</v>
      </c>
      <c r="CH134" s="546">
        <f t="shared" si="255"/>
        <v>0</v>
      </c>
      <c r="CI134" s="546" t="str">
        <f t="shared" si="256"/>
        <v>No Prog ni Ejec</v>
      </c>
      <c r="CJ134" s="546">
        <f t="shared" si="257"/>
        <v>0</v>
      </c>
      <c r="CK134" s="546">
        <f t="shared" si="258"/>
        <v>0</v>
      </c>
      <c r="CL134" s="546" t="str">
        <f t="shared" si="259"/>
        <v>No Prog ni Ejec</v>
      </c>
      <c r="CM134" s="157">
        <f t="shared" si="128"/>
        <v>0</v>
      </c>
      <c r="CT134" s="138">
        <v>3</v>
      </c>
    </row>
    <row r="135" spans="1:107" s="75" customFormat="1" ht="111" customHeight="1" x14ac:dyDescent="0.2">
      <c r="A135" s="541">
        <v>11600</v>
      </c>
      <c r="B135" s="544" t="s">
        <v>4</v>
      </c>
      <c r="C135" s="559" t="s">
        <v>561</v>
      </c>
      <c r="D135" s="216"/>
      <c r="E135" s="216" t="s">
        <v>1108</v>
      </c>
      <c r="F135" s="216" t="s">
        <v>1108</v>
      </c>
      <c r="G135" s="216"/>
      <c r="H135" s="216"/>
      <c r="I135" s="216"/>
      <c r="J135" s="216"/>
      <c r="K135" s="216"/>
      <c r="L135" s="216"/>
      <c r="M135" s="216"/>
      <c r="N135" s="216"/>
      <c r="O135" s="216" t="s">
        <v>1108</v>
      </c>
      <c r="P135" s="216"/>
      <c r="Q135" s="540" t="s">
        <v>206</v>
      </c>
      <c r="R135" s="540" t="s">
        <v>206</v>
      </c>
      <c r="S135" s="541" t="s">
        <v>100</v>
      </c>
      <c r="T135" s="544" t="s">
        <v>94</v>
      </c>
      <c r="U135" s="544" t="s">
        <v>206</v>
      </c>
      <c r="V135" s="544" t="s">
        <v>206</v>
      </c>
      <c r="W135" s="541" t="s">
        <v>1249</v>
      </c>
      <c r="X135" s="544" t="s">
        <v>1251</v>
      </c>
      <c r="Y135" s="554" t="s">
        <v>51</v>
      </c>
      <c r="Z135" s="191">
        <v>0.8</v>
      </c>
      <c r="AA135" s="724"/>
      <c r="AB135" s="873"/>
      <c r="AC135" s="549">
        <v>0</v>
      </c>
      <c r="AD135" s="545">
        <v>1</v>
      </c>
      <c r="AE135" s="544" t="s">
        <v>17</v>
      </c>
      <c r="AF135" s="544" t="s">
        <v>299</v>
      </c>
      <c r="AG135" s="544" t="s">
        <v>206</v>
      </c>
      <c r="AH135" s="544" t="s">
        <v>678</v>
      </c>
      <c r="AI135" s="544" t="s">
        <v>81</v>
      </c>
      <c r="AJ135" s="715"/>
      <c r="AK135" s="544" t="s">
        <v>1250</v>
      </c>
      <c r="AL135" s="544" t="s">
        <v>44</v>
      </c>
      <c r="AM135" s="194">
        <v>0.8</v>
      </c>
      <c r="AN135" s="715"/>
      <c r="AO135" s="550">
        <f t="shared" ref="AO135:AO143" si="260">+AC135</f>
        <v>0</v>
      </c>
      <c r="AP135" s="548" t="s">
        <v>46</v>
      </c>
      <c r="AQ135" s="194">
        <v>0.2</v>
      </c>
      <c r="AR135" s="715"/>
      <c r="AS135" s="549">
        <v>0</v>
      </c>
      <c r="AT135" s="194">
        <f>6/30</f>
        <v>0.2</v>
      </c>
      <c r="AU135" s="631">
        <v>0</v>
      </c>
      <c r="AV135" s="543">
        <f t="shared" si="236"/>
        <v>1</v>
      </c>
      <c r="AW135" s="543" t="e">
        <f t="shared" si="237"/>
        <v>#DIV/0!</v>
      </c>
      <c r="AX135" s="543">
        <f t="shared" si="238"/>
        <v>0.25</v>
      </c>
      <c r="AY135" s="543" t="e">
        <f t="shared" si="239"/>
        <v>#DIV/0!</v>
      </c>
      <c r="AZ135" s="577" t="s">
        <v>1536</v>
      </c>
      <c r="BA135" s="194">
        <v>0.2</v>
      </c>
      <c r="BB135" s="715"/>
      <c r="BC135" s="549">
        <v>0</v>
      </c>
      <c r="BD135" s="73"/>
      <c r="BE135" s="73"/>
      <c r="BF135" s="543">
        <f t="shared" si="240"/>
        <v>0</v>
      </c>
      <c r="BG135" s="543" t="e">
        <f t="shared" si="241"/>
        <v>#DIV/0!</v>
      </c>
      <c r="BH135" s="543">
        <f t="shared" si="242"/>
        <v>0.25</v>
      </c>
      <c r="BI135" s="543" t="e">
        <f t="shared" si="243"/>
        <v>#DIV/0!</v>
      </c>
      <c r="BJ135" s="543"/>
      <c r="BK135" s="194">
        <v>0.2</v>
      </c>
      <c r="BL135" s="715"/>
      <c r="BM135" s="549">
        <v>0</v>
      </c>
      <c r="BN135" s="541"/>
      <c r="BO135" s="541"/>
      <c r="BP135" s="543">
        <f t="shared" si="244"/>
        <v>0</v>
      </c>
      <c r="BQ135" s="543" t="e">
        <f t="shared" si="245"/>
        <v>#DIV/0!</v>
      </c>
      <c r="BR135" s="543">
        <f t="shared" si="246"/>
        <v>0.25</v>
      </c>
      <c r="BS135" s="543" t="e">
        <f t="shared" si="247"/>
        <v>#DIV/0!</v>
      </c>
      <c r="BT135" s="543"/>
      <c r="BU135" s="194">
        <v>0.2</v>
      </c>
      <c r="BV135" s="715"/>
      <c r="BW135" s="549">
        <v>0</v>
      </c>
      <c r="BX135" s="541"/>
      <c r="BY135" s="541"/>
      <c r="BZ135" s="547">
        <f t="shared" si="248"/>
        <v>0</v>
      </c>
      <c r="CA135" s="547" t="e">
        <f t="shared" si="249"/>
        <v>#DIV/0!</v>
      </c>
      <c r="CB135" s="547">
        <f t="shared" si="250"/>
        <v>0.25</v>
      </c>
      <c r="CC135" s="547" t="e">
        <f t="shared" si="251"/>
        <v>#DIV/0!</v>
      </c>
      <c r="CD135" s="547"/>
      <c r="CE135" s="546">
        <f t="shared" si="252"/>
        <v>1</v>
      </c>
      <c r="CF135" s="546" t="str">
        <f t="shared" si="253"/>
        <v>No Prog ni Ejec</v>
      </c>
      <c r="CG135" s="546">
        <f t="shared" si="254"/>
        <v>0</v>
      </c>
      <c r="CH135" s="546" t="str">
        <f t="shared" si="255"/>
        <v>No Prog ni Ejec</v>
      </c>
      <c r="CI135" s="546">
        <f t="shared" si="256"/>
        <v>0</v>
      </c>
      <c r="CJ135" s="546" t="str">
        <f t="shared" si="257"/>
        <v>No Prog ni Ejec</v>
      </c>
      <c r="CK135" s="546">
        <f t="shared" si="258"/>
        <v>0</v>
      </c>
      <c r="CL135" s="546" t="str">
        <f t="shared" si="259"/>
        <v>No Prog ni Ejec</v>
      </c>
      <c r="CM135" s="157"/>
      <c r="CT135" s="138"/>
    </row>
    <row r="136" spans="1:107" s="75" customFormat="1" ht="114.75" customHeight="1" x14ac:dyDescent="0.2">
      <c r="A136" s="541">
        <v>11600</v>
      </c>
      <c r="B136" s="544" t="s">
        <v>4</v>
      </c>
      <c r="C136" s="544" t="s">
        <v>332</v>
      </c>
      <c r="D136" s="145"/>
      <c r="E136" s="145" t="s">
        <v>1108</v>
      </c>
      <c r="F136" s="145" t="s">
        <v>1108</v>
      </c>
      <c r="G136" s="145"/>
      <c r="H136" s="145"/>
      <c r="I136" s="145"/>
      <c r="J136" s="145"/>
      <c r="K136" s="145"/>
      <c r="L136" s="145"/>
      <c r="M136" s="145"/>
      <c r="N136" s="145"/>
      <c r="O136" s="145"/>
      <c r="P136" s="145"/>
      <c r="Q136" s="540" t="s">
        <v>206</v>
      </c>
      <c r="R136" s="540" t="s">
        <v>206</v>
      </c>
      <c r="S136" s="541" t="s">
        <v>100</v>
      </c>
      <c r="T136" s="544" t="s">
        <v>94</v>
      </c>
      <c r="U136" s="544" t="s">
        <v>206</v>
      </c>
      <c r="V136" s="544" t="s">
        <v>206</v>
      </c>
      <c r="W136" s="541" t="s">
        <v>1210</v>
      </c>
      <c r="X136" s="544" t="s">
        <v>408</v>
      </c>
      <c r="Y136" s="554" t="s">
        <v>51</v>
      </c>
      <c r="Z136" s="191">
        <v>1</v>
      </c>
      <c r="AA136" s="541" t="s">
        <v>1199</v>
      </c>
      <c r="AB136" s="544" t="s">
        <v>356</v>
      </c>
      <c r="AC136" s="549">
        <v>400000000</v>
      </c>
      <c r="AD136" s="545">
        <v>1</v>
      </c>
      <c r="AE136" s="544" t="s">
        <v>17</v>
      </c>
      <c r="AF136" s="544" t="s">
        <v>27</v>
      </c>
      <c r="AG136" s="544" t="s">
        <v>206</v>
      </c>
      <c r="AH136" s="544" t="s">
        <v>678</v>
      </c>
      <c r="AI136" s="544" t="s">
        <v>82</v>
      </c>
      <c r="AJ136" s="544" t="s">
        <v>1385</v>
      </c>
      <c r="AK136" s="544" t="s">
        <v>410</v>
      </c>
      <c r="AL136" s="544" t="s">
        <v>44</v>
      </c>
      <c r="AM136" s="194">
        <v>1</v>
      </c>
      <c r="AN136" s="544" t="str">
        <f>+AB136</f>
        <v>Implementación de los diferentes flujos de correspondencia, que incluya impresión de stickers, firma digital de documentos, estampado cronológico, reconocimiento OCR e integración con los flujos de PQRSD y Tutelas</v>
      </c>
      <c r="AO136" s="550">
        <f t="shared" si="260"/>
        <v>400000000</v>
      </c>
      <c r="AP136" s="548" t="s">
        <v>46</v>
      </c>
      <c r="AQ136" s="191">
        <v>0</v>
      </c>
      <c r="AR136" s="544" t="str">
        <f t="shared" ref="AR136:AR149" si="261">+AN136</f>
        <v>Implementación de los diferentes flujos de correspondencia, que incluya impresión de stickers, firma digital de documentos, estampado cronológico, reconocimiento OCR e integración con los flujos de PQRSD y Tutelas</v>
      </c>
      <c r="AS136" s="549">
        <v>0</v>
      </c>
      <c r="AT136" s="191">
        <v>0</v>
      </c>
      <c r="AU136" s="612">
        <v>0</v>
      </c>
      <c r="AV136" s="543" t="e">
        <f t="shared" si="236"/>
        <v>#DIV/0!</v>
      </c>
      <c r="AW136" s="543" t="e">
        <f t="shared" si="237"/>
        <v>#DIV/0!</v>
      </c>
      <c r="AX136" s="543">
        <f t="shared" si="238"/>
        <v>0</v>
      </c>
      <c r="AY136" s="543">
        <f t="shared" si="239"/>
        <v>0</v>
      </c>
      <c r="AZ136" s="577" t="s">
        <v>1437</v>
      </c>
      <c r="BA136" s="191">
        <v>0</v>
      </c>
      <c r="BB136" s="544" t="str">
        <f t="shared" ref="BB136:BB143" si="262">+AN136</f>
        <v>Implementación de los diferentes flujos de correspondencia, que incluya impresión de stickers, firma digital de documentos, estampado cronológico, reconocimiento OCR e integración con los flujos de PQRSD y Tutelas</v>
      </c>
      <c r="BC136" s="549">
        <v>0</v>
      </c>
      <c r="BD136" s="73"/>
      <c r="BE136" s="73"/>
      <c r="BF136" s="543" t="e">
        <f t="shared" si="240"/>
        <v>#DIV/0!</v>
      </c>
      <c r="BG136" s="543" t="e">
        <f t="shared" si="241"/>
        <v>#DIV/0!</v>
      </c>
      <c r="BH136" s="543">
        <f t="shared" si="242"/>
        <v>0</v>
      </c>
      <c r="BI136" s="543">
        <f t="shared" si="243"/>
        <v>0</v>
      </c>
      <c r="BJ136" s="543"/>
      <c r="BK136" s="191">
        <f>0/5</f>
        <v>0</v>
      </c>
      <c r="BL136" s="544" t="str">
        <f t="shared" ref="BL136:BL149" si="263">+AN136</f>
        <v>Implementación de los diferentes flujos de correspondencia, que incluya impresión de stickers, firma digital de documentos, estampado cronológico, reconocimiento OCR e integración con los flujos de PQRSD y Tutelas</v>
      </c>
      <c r="BM136" s="549">
        <v>160000000</v>
      </c>
      <c r="BN136" s="541"/>
      <c r="BO136" s="541"/>
      <c r="BP136" s="543" t="e">
        <f t="shared" si="244"/>
        <v>#DIV/0!</v>
      </c>
      <c r="BQ136" s="543">
        <f t="shared" si="245"/>
        <v>0</v>
      </c>
      <c r="BR136" s="543">
        <f t="shared" si="246"/>
        <v>0</v>
      </c>
      <c r="BS136" s="543">
        <f t="shared" si="247"/>
        <v>0</v>
      </c>
      <c r="BT136" s="543"/>
      <c r="BU136" s="194">
        <v>1</v>
      </c>
      <c r="BV136" s="544" t="str">
        <f t="shared" ref="BV136:BV149" si="264">+AN136</f>
        <v>Implementación de los diferentes flujos de correspondencia, que incluya impresión de stickers, firma digital de documentos, estampado cronológico, reconocimiento OCR e integración con los flujos de PQRSD y Tutelas</v>
      </c>
      <c r="BW136" s="549">
        <v>240000000</v>
      </c>
      <c r="BX136" s="541"/>
      <c r="BY136" s="541"/>
      <c r="BZ136" s="547">
        <f t="shared" si="248"/>
        <v>0</v>
      </c>
      <c r="CA136" s="547">
        <f t="shared" si="249"/>
        <v>0</v>
      </c>
      <c r="CB136" s="547">
        <f t="shared" si="250"/>
        <v>0</v>
      </c>
      <c r="CC136" s="547">
        <f t="shared" si="251"/>
        <v>0</v>
      </c>
      <c r="CD136" s="547"/>
      <c r="CE136" s="546" t="str">
        <f t="shared" si="252"/>
        <v>No Prog ni Ejec</v>
      </c>
      <c r="CF136" s="546" t="str">
        <f t="shared" si="253"/>
        <v>No Prog ni Ejec</v>
      </c>
      <c r="CG136" s="546" t="str">
        <f t="shared" si="254"/>
        <v>No Prog ni Ejec</v>
      </c>
      <c r="CH136" s="546" t="str">
        <f t="shared" si="255"/>
        <v>No Prog ni Ejec</v>
      </c>
      <c r="CI136" s="546" t="str">
        <f t="shared" si="256"/>
        <v>No Prog ni Ejec</v>
      </c>
      <c r="CJ136" s="546">
        <f t="shared" si="257"/>
        <v>0</v>
      </c>
      <c r="CK136" s="546">
        <f t="shared" si="258"/>
        <v>0</v>
      </c>
      <c r="CL136" s="546">
        <f t="shared" si="259"/>
        <v>0</v>
      </c>
      <c r="CM136" s="157">
        <f t="shared" ref="CM136:CM173" si="265">+AC136-AS136-BC136-BM136-BW136</f>
        <v>0</v>
      </c>
      <c r="CW136" s="138">
        <v>6</v>
      </c>
    </row>
    <row r="137" spans="1:107" s="75" customFormat="1" ht="102.75" customHeight="1" x14ac:dyDescent="0.2">
      <c r="A137" s="541">
        <v>11600</v>
      </c>
      <c r="B137" s="544" t="s">
        <v>4</v>
      </c>
      <c r="C137" s="544" t="s">
        <v>333</v>
      </c>
      <c r="D137" s="145"/>
      <c r="E137" s="145"/>
      <c r="F137" s="145" t="s">
        <v>1108</v>
      </c>
      <c r="G137" s="145"/>
      <c r="H137" s="145"/>
      <c r="I137" s="145"/>
      <c r="J137" s="145"/>
      <c r="K137" s="145"/>
      <c r="L137" s="145"/>
      <c r="M137" s="145"/>
      <c r="N137" s="145" t="s">
        <v>1108</v>
      </c>
      <c r="O137" s="145"/>
      <c r="P137" s="145"/>
      <c r="Q137" s="540" t="s">
        <v>206</v>
      </c>
      <c r="R137" s="540" t="s">
        <v>206</v>
      </c>
      <c r="S137" s="541" t="s">
        <v>100</v>
      </c>
      <c r="T137" s="544" t="s">
        <v>94</v>
      </c>
      <c r="U137" s="544" t="s">
        <v>206</v>
      </c>
      <c r="V137" s="544" t="s">
        <v>206</v>
      </c>
      <c r="W137" s="541" t="s">
        <v>1211</v>
      </c>
      <c r="X137" s="544" t="s">
        <v>1201</v>
      </c>
      <c r="Y137" s="145" t="s">
        <v>394</v>
      </c>
      <c r="Z137" s="106">
        <v>1</v>
      </c>
      <c r="AA137" s="541" t="s">
        <v>1200</v>
      </c>
      <c r="AB137" s="544" t="s">
        <v>358</v>
      </c>
      <c r="AC137" s="549">
        <v>305665660.84805673</v>
      </c>
      <c r="AD137" s="545">
        <v>1</v>
      </c>
      <c r="AE137" s="544" t="s">
        <v>20</v>
      </c>
      <c r="AF137" s="544" t="s">
        <v>22</v>
      </c>
      <c r="AG137" s="544" t="s">
        <v>206</v>
      </c>
      <c r="AH137" s="544" t="s">
        <v>678</v>
      </c>
      <c r="AI137" s="544" t="s">
        <v>81</v>
      </c>
      <c r="AJ137" s="544" t="s">
        <v>206</v>
      </c>
      <c r="AK137" s="544" t="s">
        <v>1252</v>
      </c>
      <c r="AL137" s="544" t="s">
        <v>44</v>
      </c>
      <c r="AM137" s="106">
        <v>1</v>
      </c>
      <c r="AN137" s="544" t="str">
        <f>+AB137</f>
        <v>Estructuración y elaboración del Plan Estratégico de TI</v>
      </c>
      <c r="AO137" s="550">
        <f t="shared" si="260"/>
        <v>305665660.84805673</v>
      </c>
      <c r="AP137" s="548" t="s">
        <v>46</v>
      </c>
      <c r="AQ137" s="195">
        <f>0/3</f>
        <v>0</v>
      </c>
      <c r="AR137" s="544" t="str">
        <f t="shared" si="261"/>
        <v>Estructuración y elaboración del Plan Estratégico de TI</v>
      </c>
      <c r="AS137" s="549">
        <f>+AO137*0</f>
        <v>0</v>
      </c>
      <c r="AT137" s="607">
        <v>0</v>
      </c>
      <c r="AU137" s="612">
        <v>0</v>
      </c>
      <c r="AV137" s="543" t="e">
        <f t="shared" si="236"/>
        <v>#DIV/0!</v>
      </c>
      <c r="AW137" s="543" t="e">
        <f t="shared" si="237"/>
        <v>#DIV/0!</v>
      </c>
      <c r="AX137" s="543">
        <f t="shared" si="238"/>
        <v>0</v>
      </c>
      <c r="AY137" s="543">
        <f t="shared" si="239"/>
        <v>0</v>
      </c>
      <c r="AZ137" s="577" t="s">
        <v>1437</v>
      </c>
      <c r="BA137" s="195">
        <f>0/3</f>
        <v>0</v>
      </c>
      <c r="BB137" s="544" t="str">
        <f t="shared" si="262"/>
        <v>Estructuración y elaboración del Plan Estratégico de TI</v>
      </c>
      <c r="BC137" s="549">
        <v>0</v>
      </c>
      <c r="BD137" s="73"/>
      <c r="BE137" s="73"/>
      <c r="BF137" s="543" t="e">
        <f t="shared" si="240"/>
        <v>#DIV/0!</v>
      </c>
      <c r="BG137" s="543" t="e">
        <f t="shared" si="241"/>
        <v>#DIV/0!</v>
      </c>
      <c r="BH137" s="543">
        <f t="shared" si="242"/>
        <v>0</v>
      </c>
      <c r="BI137" s="543">
        <f t="shared" si="243"/>
        <v>0</v>
      </c>
      <c r="BJ137" s="543"/>
      <c r="BK137" s="195">
        <v>0</v>
      </c>
      <c r="BL137" s="544" t="str">
        <f t="shared" si="263"/>
        <v>Estructuración y elaboración del Plan Estratégico de TI</v>
      </c>
      <c r="BM137" s="549">
        <f>+AC137*0.67</f>
        <v>204795992.76819801</v>
      </c>
      <c r="BN137" s="541"/>
      <c r="BO137" s="541"/>
      <c r="BP137" s="543" t="e">
        <f t="shared" si="244"/>
        <v>#DIV/0!</v>
      </c>
      <c r="BQ137" s="543">
        <f t="shared" si="245"/>
        <v>0</v>
      </c>
      <c r="BR137" s="543">
        <f t="shared" si="246"/>
        <v>0</v>
      </c>
      <c r="BS137" s="543">
        <f t="shared" si="247"/>
        <v>0</v>
      </c>
      <c r="BT137" s="543"/>
      <c r="BU137" s="195">
        <v>1</v>
      </c>
      <c r="BV137" s="544" t="str">
        <f t="shared" si="264"/>
        <v>Estructuración y elaboración del Plan Estratégico de TI</v>
      </c>
      <c r="BW137" s="549">
        <f>+AC137*0.33</f>
        <v>100869668.07985872</v>
      </c>
      <c r="BX137" s="541"/>
      <c r="BY137" s="541"/>
      <c r="BZ137" s="547">
        <f t="shared" si="248"/>
        <v>0</v>
      </c>
      <c r="CA137" s="547">
        <f t="shared" si="249"/>
        <v>0</v>
      </c>
      <c r="CB137" s="547">
        <f t="shared" si="250"/>
        <v>0</v>
      </c>
      <c r="CC137" s="547">
        <f t="shared" si="251"/>
        <v>0</v>
      </c>
      <c r="CD137" s="547"/>
      <c r="CE137" s="546" t="str">
        <f t="shared" si="252"/>
        <v>No Prog ni Ejec</v>
      </c>
      <c r="CF137" s="546" t="str">
        <f t="shared" si="253"/>
        <v>No Prog ni Ejec</v>
      </c>
      <c r="CG137" s="546" t="str">
        <f t="shared" si="254"/>
        <v>No Prog ni Ejec</v>
      </c>
      <c r="CH137" s="546" t="str">
        <f t="shared" si="255"/>
        <v>No Prog ni Ejec</v>
      </c>
      <c r="CI137" s="546" t="str">
        <f t="shared" si="256"/>
        <v>No Prog ni Ejec</v>
      </c>
      <c r="CJ137" s="546">
        <f t="shared" si="257"/>
        <v>0</v>
      </c>
      <c r="CK137" s="546">
        <f t="shared" si="258"/>
        <v>0</v>
      </c>
      <c r="CL137" s="546">
        <f t="shared" si="259"/>
        <v>0</v>
      </c>
      <c r="CM137" s="157">
        <f t="shared" si="265"/>
        <v>0</v>
      </c>
      <c r="CZ137" s="75">
        <v>9</v>
      </c>
    </row>
    <row r="138" spans="1:107" s="75" customFormat="1" ht="163.5" customHeight="1" x14ac:dyDescent="0.2">
      <c r="A138" s="541">
        <v>11600</v>
      </c>
      <c r="B138" s="544" t="s">
        <v>4</v>
      </c>
      <c r="C138" s="544" t="s">
        <v>332</v>
      </c>
      <c r="D138" s="145"/>
      <c r="E138" s="145" t="s">
        <v>1108</v>
      </c>
      <c r="F138" s="145" t="s">
        <v>1108</v>
      </c>
      <c r="G138" s="145"/>
      <c r="H138" s="145"/>
      <c r="I138" s="145"/>
      <c r="J138" s="145"/>
      <c r="K138" s="145"/>
      <c r="L138" s="145"/>
      <c r="M138" s="145"/>
      <c r="N138" s="145"/>
      <c r="O138" s="145"/>
      <c r="P138" s="145"/>
      <c r="Q138" s="540" t="s">
        <v>206</v>
      </c>
      <c r="R138" s="540" t="s">
        <v>206</v>
      </c>
      <c r="S138" s="541" t="s">
        <v>100</v>
      </c>
      <c r="T138" s="544" t="s">
        <v>351</v>
      </c>
      <c r="U138" s="544" t="s">
        <v>206</v>
      </c>
      <c r="V138" s="544" t="s">
        <v>206</v>
      </c>
      <c r="W138" s="541" t="s">
        <v>612</v>
      </c>
      <c r="X138" s="544" t="s">
        <v>409</v>
      </c>
      <c r="Y138" s="554" t="s">
        <v>51</v>
      </c>
      <c r="Z138" s="191">
        <v>1</v>
      </c>
      <c r="AA138" s="541" t="s">
        <v>611</v>
      </c>
      <c r="AB138" s="544" t="s">
        <v>352</v>
      </c>
      <c r="AC138" s="549">
        <v>125768769.569883</v>
      </c>
      <c r="AD138" s="545">
        <v>1</v>
      </c>
      <c r="AE138" s="544" t="s">
        <v>17</v>
      </c>
      <c r="AF138" s="544" t="s">
        <v>27</v>
      </c>
      <c r="AG138" s="544" t="s">
        <v>206</v>
      </c>
      <c r="AH138" s="544" t="s">
        <v>678</v>
      </c>
      <c r="AI138" s="544" t="s">
        <v>82</v>
      </c>
      <c r="AJ138" s="544" t="s">
        <v>1385</v>
      </c>
      <c r="AK138" s="544" t="s">
        <v>439</v>
      </c>
      <c r="AL138" s="544" t="s">
        <v>44</v>
      </c>
      <c r="AM138" s="194">
        <v>1</v>
      </c>
      <c r="AN138" s="544" t="str">
        <f t="shared" ref="AN138:AN149" si="266">+AB138</f>
        <v>Contratar el servicio de documentación de los servicios TI y Sistemas de Información</v>
      </c>
      <c r="AO138" s="550">
        <f t="shared" si="260"/>
        <v>125768769.569883</v>
      </c>
      <c r="AP138" s="548" t="s">
        <v>46</v>
      </c>
      <c r="AQ138" s="191">
        <v>0</v>
      </c>
      <c r="AR138" s="544" t="str">
        <f t="shared" si="261"/>
        <v>Contratar el servicio de documentación de los servicios TI y Sistemas de Información</v>
      </c>
      <c r="AS138" s="549">
        <f>+AO138*0</f>
        <v>0</v>
      </c>
      <c r="AT138" s="191">
        <v>0</v>
      </c>
      <c r="AU138" s="612">
        <v>0</v>
      </c>
      <c r="AV138" s="543" t="e">
        <f t="shared" si="236"/>
        <v>#DIV/0!</v>
      </c>
      <c r="AW138" s="543" t="e">
        <f t="shared" si="237"/>
        <v>#DIV/0!</v>
      </c>
      <c r="AX138" s="543">
        <f t="shared" si="238"/>
        <v>0</v>
      </c>
      <c r="AY138" s="543">
        <f t="shared" si="239"/>
        <v>0</v>
      </c>
      <c r="AZ138" s="577" t="s">
        <v>1437</v>
      </c>
      <c r="BA138" s="191">
        <v>0</v>
      </c>
      <c r="BB138" s="544" t="str">
        <f t="shared" si="262"/>
        <v>Contratar el servicio de documentación de los servicios TI y Sistemas de Información</v>
      </c>
      <c r="BC138" s="549">
        <v>0</v>
      </c>
      <c r="BD138" s="73"/>
      <c r="BE138" s="73"/>
      <c r="BF138" s="543" t="e">
        <f t="shared" si="240"/>
        <v>#DIV/0!</v>
      </c>
      <c r="BG138" s="543" t="e">
        <f t="shared" si="241"/>
        <v>#DIV/0!</v>
      </c>
      <c r="BH138" s="543">
        <f t="shared" si="242"/>
        <v>0</v>
      </c>
      <c r="BI138" s="543">
        <f t="shared" si="243"/>
        <v>0</v>
      </c>
      <c r="BJ138" s="543"/>
      <c r="BK138" s="191">
        <v>0.2</v>
      </c>
      <c r="BL138" s="544" t="str">
        <f t="shared" si="263"/>
        <v>Contratar el servicio de documentación de los servicios TI y Sistemas de Información</v>
      </c>
      <c r="BM138" s="549">
        <f>+AC138*0.6</f>
        <v>75461261.741929799</v>
      </c>
      <c r="BN138" s="541"/>
      <c r="BO138" s="541"/>
      <c r="BP138" s="543">
        <f t="shared" si="244"/>
        <v>0</v>
      </c>
      <c r="BQ138" s="543">
        <f t="shared" si="245"/>
        <v>0</v>
      </c>
      <c r="BR138" s="543">
        <f t="shared" si="246"/>
        <v>0</v>
      </c>
      <c r="BS138" s="543">
        <f t="shared" si="247"/>
        <v>0</v>
      </c>
      <c r="BT138" s="543"/>
      <c r="BU138" s="194">
        <v>0.8</v>
      </c>
      <c r="BV138" s="544" t="str">
        <f t="shared" si="264"/>
        <v>Contratar el servicio de documentación de los servicios TI y Sistemas de Información</v>
      </c>
      <c r="BW138" s="549">
        <f>+AC138*0.4</f>
        <v>50307507.827953205</v>
      </c>
      <c r="BX138" s="541"/>
      <c r="BY138" s="541"/>
      <c r="BZ138" s="547">
        <f t="shared" si="248"/>
        <v>0</v>
      </c>
      <c r="CA138" s="547">
        <f t="shared" si="249"/>
        <v>0</v>
      </c>
      <c r="CB138" s="547">
        <f t="shared" si="250"/>
        <v>0</v>
      </c>
      <c r="CC138" s="547">
        <f t="shared" si="251"/>
        <v>0</v>
      </c>
      <c r="CD138" s="547"/>
      <c r="CE138" s="546" t="str">
        <f t="shared" si="252"/>
        <v>No Prog ni Ejec</v>
      </c>
      <c r="CF138" s="546" t="str">
        <f t="shared" si="253"/>
        <v>No Prog ni Ejec</v>
      </c>
      <c r="CG138" s="546" t="str">
        <f t="shared" si="254"/>
        <v>No Prog ni Ejec</v>
      </c>
      <c r="CH138" s="546" t="str">
        <f t="shared" si="255"/>
        <v>No Prog ni Ejec</v>
      </c>
      <c r="CI138" s="546">
        <f t="shared" si="256"/>
        <v>0</v>
      </c>
      <c r="CJ138" s="546">
        <f t="shared" si="257"/>
        <v>0</v>
      </c>
      <c r="CK138" s="546">
        <f t="shared" si="258"/>
        <v>0</v>
      </c>
      <c r="CL138" s="546">
        <f t="shared" si="259"/>
        <v>0</v>
      </c>
      <c r="CM138" s="157">
        <f t="shared" si="265"/>
        <v>0</v>
      </c>
      <c r="CW138" s="138">
        <v>6</v>
      </c>
    </row>
    <row r="139" spans="1:107" s="75" customFormat="1" ht="114.75" x14ac:dyDescent="0.2">
      <c r="A139" s="541">
        <v>11600</v>
      </c>
      <c r="B139" s="544" t="s">
        <v>4</v>
      </c>
      <c r="C139" s="544" t="s">
        <v>338</v>
      </c>
      <c r="D139" s="145" t="s">
        <v>1108</v>
      </c>
      <c r="E139" s="145"/>
      <c r="F139" s="145"/>
      <c r="G139" s="145"/>
      <c r="H139" s="145"/>
      <c r="I139" s="145"/>
      <c r="J139" s="145"/>
      <c r="K139" s="145"/>
      <c r="L139" s="145"/>
      <c r="M139" s="145"/>
      <c r="N139" s="145"/>
      <c r="O139" s="145"/>
      <c r="P139" s="145"/>
      <c r="Q139" s="544" t="s">
        <v>1230</v>
      </c>
      <c r="R139" s="544" t="s">
        <v>1237</v>
      </c>
      <c r="S139" s="541" t="s">
        <v>100</v>
      </c>
      <c r="T139" s="544" t="s">
        <v>94</v>
      </c>
      <c r="U139" s="544" t="s">
        <v>206</v>
      </c>
      <c r="V139" s="544" t="s">
        <v>206</v>
      </c>
      <c r="W139" s="541" t="s">
        <v>1212</v>
      </c>
      <c r="X139" s="544" t="s">
        <v>1146</v>
      </c>
      <c r="Y139" s="554" t="s">
        <v>394</v>
      </c>
      <c r="Z139" s="66">
        <v>3</v>
      </c>
      <c r="AA139" s="541" t="s">
        <v>1202</v>
      </c>
      <c r="AB139" s="544" t="s">
        <v>1145</v>
      </c>
      <c r="AC139" s="542">
        <v>0</v>
      </c>
      <c r="AD139" s="545">
        <v>1</v>
      </c>
      <c r="AE139" s="544" t="s">
        <v>17</v>
      </c>
      <c r="AF139" s="544" t="s">
        <v>297</v>
      </c>
      <c r="AG139" s="544" t="s">
        <v>206</v>
      </c>
      <c r="AH139" s="544" t="s">
        <v>678</v>
      </c>
      <c r="AI139" s="544" t="s">
        <v>1136</v>
      </c>
      <c r="AJ139" s="544" t="s">
        <v>1396</v>
      </c>
      <c r="AK139" s="544" t="s">
        <v>1147</v>
      </c>
      <c r="AL139" s="544" t="s">
        <v>206</v>
      </c>
      <c r="AM139" s="67">
        <v>3</v>
      </c>
      <c r="AN139" s="544" t="str">
        <f>+AB139</f>
        <v>Realizar reuniones de autocontrol y seguimiento a los procesos que evidencien el monitoreo a los riesgos, indicadores, planes de mejoramiento, manuales y documentos asociados</v>
      </c>
      <c r="AO139" s="550">
        <f t="shared" si="260"/>
        <v>0</v>
      </c>
      <c r="AP139" s="548" t="s">
        <v>48</v>
      </c>
      <c r="AQ139" s="67">
        <v>0</v>
      </c>
      <c r="AR139" s="544" t="str">
        <f t="shared" si="261"/>
        <v>Realizar reuniones de autocontrol y seguimiento a los procesos que evidencien el monitoreo a los riesgos, indicadores, planes de mejoramiento, manuales y documentos asociados</v>
      </c>
      <c r="AS139" s="542">
        <f>+AO139/4</f>
        <v>0</v>
      </c>
      <c r="AT139" s="607">
        <v>0</v>
      </c>
      <c r="AU139" s="612">
        <v>0</v>
      </c>
      <c r="AV139" s="543" t="e">
        <f t="shared" si="236"/>
        <v>#DIV/0!</v>
      </c>
      <c r="AW139" s="543" t="e">
        <f t="shared" si="237"/>
        <v>#DIV/0!</v>
      </c>
      <c r="AX139" s="543">
        <f t="shared" si="238"/>
        <v>0</v>
      </c>
      <c r="AY139" s="543" t="e">
        <f t="shared" si="239"/>
        <v>#DIV/0!</v>
      </c>
      <c r="AZ139" s="577" t="s">
        <v>1437</v>
      </c>
      <c r="BA139" s="67">
        <v>1</v>
      </c>
      <c r="BB139" s="544" t="str">
        <f t="shared" si="262"/>
        <v>Realizar reuniones de autocontrol y seguimiento a los procesos que evidencien el monitoreo a los riesgos, indicadores, planes de mejoramiento, manuales y documentos asociados</v>
      </c>
      <c r="BC139" s="542">
        <f>+AO139/4</f>
        <v>0</v>
      </c>
      <c r="BD139" s="73"/>
      <c r="BE139" s="73"/>
      <c r="BF139" s="543">
        <f t="shared" si="240"/>
        <v>0</v>
      </c>
      <c r="BG139" s="543" t="e">
        <f t="shared" si="241"/>
        <v>#DIV/0!</v>
      </c>
      <c r="BH139" s="543">
        <f t="shared" si="242"/>
        <v>0</v>
      </c>
      <c r="BI139" s="543" t="e">
        <f t="shared" si="243"/>
        <v>#DIV/0!</v>
      </c>
      <c r="BJ139" s="543"/>
      <c r="BK139" s="67">
        <v>1</v>
      </c>
      <c r="BL139" s="544" t="str">
        <f t="shared" si="263"/>
        <v>Realizar reuniones de autocontrol y seguimiento a los procesos que evidencien el monitoreo a los riesgos, indicadores, planes de mejoramiento, manuales y documentos asociados</v>
      </c>
      <c r="BM139" s="542">
        <f>+AO139/4</f>
        <v>0</v>
      </c>
      <c r="BN139" s="541"/>
      <c r="BO139" s="541"/>
      <c r="BP139" s="543">
        <f t="shared" si="244"/>
        <v>0</v>
      </c>
      <c r="BQ139" s="543" t="e">
        <f t="shared" si="245"/>
        <v>#DIV/0!</v>
      </c>
      <c r="BR139" s="543">
        <f t="shared" si="246"/>
        <v>0</v>
      </c>
      <c r="BS139" s="543" t="e">
        <f t="shared" si="247"/>
        <v>#DIV/0!</v>
      </c>
      <c r="BT139" s="543"/>
      <c r="BU139" s="67">
        <v>1</v>
      </c>
      <c r="BV139" s="544" t="str">
        <f t="shared" si="264"/>
        <v>Realizar reuniones de autocontrol y seguimiento a los procesos que evidencien el monitoreo a los riesgos, indicadores, planes de mejoramiento, manuales y documentos asociados</v>
      </c>
      <c r="BW139" s="542">
        <f>+AO139/4</f>
        <v>0</v>
      </c>
      <c r="BX139" s="541"/>
      <c r="BY139" s="541"/>
      <c r="BZ139" s="547">
        <f t="shared" si="248"/>
        <v>0</v>
      </c>
      <c r="CA139" s="547" t="e">
        <f t="shared" si="249"/>
        <v>#DIV/0!</v>
      </c>
      <c r="CB139" s="547">
        <f t="shared" si="250"/>
        <v>0</v>
      </c>
      <c r="CC139" s="547" t="e">
        <f t="shared" si="251"/>
        <v>#DIV/0!</v>
      </c>
      <c r="CD139" s="547"/>
      <c r="CE139" s="546" t="str">
        <f t="shared" si="252"/>
        <v>No Prog ni Ejec</v>
      </c>
      <c r="CF139" s="546" t="str">
        <f t="shared" si="253"/>
        <v>No Prog ni Ejec</v>
      </c>
      <c r="CG139" s="546">
        <f t="shared" si="254"/>
        <v>0</v>
      </c>
      <c r="CH139" s="546" t="str">
        <f t="shared" si="255"/>
        <v>No Prog ni Ejec</v>
      </c>
      <c r="CI139" s="546">
        <f t="shared" si="256"/>
        <v>0</v>
      </c>
      <c r="CJ139" s="546" t="str">
        <f t="shared" si="257"/>
        <v>No Prog ni Ejec</v>
      </c>
      <c r="CK139" s="546">
        <f t="shared" si="258"/>
        <v>0</v>
      </c>
      <c r="CL139" s="546" t="str">
        <f t="shared" si="259"/>
        <v>No Prog ni Ejec</v>
      </c>
      <c r="CM139" s="157">
        <f t="shared" si="265"/>
        <v>0</v>
      </c>
      <c r="CR139" s="138">
        <v>1</v>
      </c>
      <c r="CS139" s="138"/>
      <c r="CT139" s="138"/>
      <c r="CU139" s="138"/>
      <c r="CV139" s="138"/>
      <c r="CW139" s="138"/>
      <c r="CX139" s="138"/>
      <c r="CY139" s="138"/>
      <c r="CZ139" s="138"/>
      <c r="DA139" s="138"/>
      <c r="DB139" s="138"/>
      <c r="DC139" s="138"/>
    </row>
    <row r="140" spans="1:107" s="75" customFormat="1" ht="127.5" x14ac:dyDescent="0.2">
      <c r="A140" s="541">
        <v>11600</v>
      </c>
      <c r="B140" s="544" t="s">
        <v>4</v>
      </c>
      <c r="C140" s="559" t="s">
        <v>338</v>
      </c>
      <c r="D140" s="216" t="s">
        <v>1108</v>
      </c>
      <c r="E140" s="216"/>
      <c r="F140" s="216"/>
      <c r="G140" s="216"/>
      <c r="H140" s="216"/>
      <c r="I140" s="216"/>
      <c r="J140" s="216"/>
      <c r="K140" s="216"/>
      <c r="L140" s="216"/>
      <c r="M140" s="216"/>
      <c r="N140" s="216"/>
      <c r="O140" s="216"/>
      <c r="P140" s="216"/>
      <c r="Q140" s="559" t="s">
        <v>1233</v>
      </c>
      <c r="R140" s="559" t="s">
        <v>1239</v>
      </c>
      <c r="S140" s="541" t="s">
        <v>100</v>
      </c>
      <c r="T140" s="559" t="s">
        <v>94</v>
      </c>
      <c r="U140" s="544" t="s">
        <v>206</v>
      </c>
      <c r="V140" s="544" t="s">
        <v>206</v>
      </c>
      <c r="W140" s="541" t="s">
        <v>1213</v>
      </c>
      <c r="X140" s="559" t="s">
        <v>539</v>
      </c>
      <c r="Y140" s="108" t="s">
        <v>394</v>
      </c>
      <c r="Z140" s="192">
        <v>1</v>
      </c>
      <c r="AA140" s="541" t="s">
        <v>1203</v>
      </c>
      <c r="AB140" s="544" t="s">
        <v>671</v>
      </c>
      <c r="AC140" s="542">
        <v>0</v>
      </c>
      <c r="AD140" s="545">
        <v>1</v>
      </c>
      <c r="AE140" s="544" t="s">
        <v>17</v>
      </c>
      <c r="AF140" s="544" t="s">
        <v>23</v>
      </c>
      <c r="AG140" s="544" t="s">
        <v>206</v>
      </c>
      <c r="AH140" s="544" t="s">
        <v>678</v>
      </c>
      <c r="AI140" s="544" t="s">
        <v>82</v>
      </c>
      <c r="AJ140" s="544" t="s">
        <v>1397</v>
      </c>
      <c r="AK140" s="544" t="s">
        <v>544</v>
      </c>
      <c r="AL140" s="544" t="s">
        <v>42</v>
      </c>
      <c r="AM140" s="192">
        <v>1</v>
      </c>
      <c r="AN140" s="544" t="str">
        <f t="shared" si="266"/>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O140" s="77">
        <f t="shared" si="260"/>
        <v>0</v>
      </c>
      <c r="AP140" s="548" t="s">
        <v>48</v>
      </c>
      <c r="AQ140" s="192">
        <v>1</v>
      </c>
      <c r="AR140" s="544" t="str">
        <f t="shared" si="261"/>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S140" s="542">
        <v>0</v>
      </c>
      <c r="AT140" s="607">
        <v>1</v>
      </c>
      <c r="AU140" s="612">
        <v>0</v>
      </c>
      <c r="AV140" s="543">
        <f t="shared" si="236"/>
        <v>1</v>
      </c>
      <c r="AW140" s="543" t="e">
        <f t="shared" si="237"/>
        <v>#DIV/0!</v>
      </c>
      <c r="AX140" s="543">
        <f t="shared" si="238"/>
        <v>1</v>
      </c>
      <c r="AY140" s="543" t="e">
        <f t="shared" si="239"/>
        <v>#DIV/0!</v>
      </c>
      <c r="AZ140" s="577" t="s">
        <v>1438</v>
      </c>
      <c r="BA140" s="221">
        <v>0</v>
      </c>
      <c r="BB140" s="544" t="str">
        <f t="shared" si="262"/>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C140" s="542">
        <v>0</v>
      </c>
      <c r="BD140" s="73"/>
      <c r="BE140" s="73"/>
      <c r="BF140" s="543" t="e">
        <f t="shared" si="240"/>
        <v>#DIV/0!</v>
      </c>
      <c r="BG140" s="543" t="e">
        <f t="shared" si="241"/>
        <v>#DIV/0!</v>
      </c>
      <c r="BH140" s="543">
        <f t="shared" si="242"/>
        <v>1</v>
      </c>
      <c r="BI140" s="543" t="e">
        <f t="shared" si="243"/>
        <v>#DIV/0!</v>
      </c>
      <c r="BJ140" s="543"/>
      <c r="BK140" s="221">
        <v>0</v>
      </c>
      <c r="BL140" s="544" t="str">
        <f t="shared" si="263"/>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M140" s="542">
        <v>0</v>
      </c>
      <c r="BN140" s="541"/>
      <c r="BO140" s="541"/>
      <c r="BP140" s="543" t="e">
        <f t="shared" ref="BP140:BP145" si="267">+(BN140/BK140)</f>
        <v>#DIV/0!</v>
      </c>
      <c r="BQ140" s="543" t="e">
        <f t="shared" ref="BQ140:BQ145" si="268">+(BO140/BM140)</f>
        <v>#DIV/0!</v>
      </c>
      <c r="BR140" s="543">
        <f t="shared" ref="BR140:BR145" si="269">+(BD140+AT140+BN140)/AM140</f>
        <v>1</v>
      </c>
      <c r="BS140" s="543" t="e">
        <f t="shared" ref="BS140:BS145" si="270">+(BE140+AU140+BO140)/AO140</f>
        <v>#DIV/0!</v>
      </c>
      <c r="BT140" s="543"/>
      <c r="BU140" s="221">
        <v>0</v>
      </c>
      <c r="BV140" s="544" t="str">
        <f t="shared" si="264"/>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W140" s="542">
        <v>0</v>
      </c>
      <c r="BX140" s="541"/>
      <c r="BY140" s="541"/>
      <c r="BZ140" s="547" t="e">
        <f t="shared" ref="BZ140:BZ146" si="271">+(BX140/BU140)</f>
        <v>#DIV/0!</v>
      </c>
      <c r="CA140" s="547" t="e">
        <f t="shared" ref="CA140:CA146" si="272">+(BY140/BW140)</f>
        <v>#DIV/0!</v>
      </c>
      <c r="CB140" s="547">
        <f t="shared" ref="CB140:CB146" si="273">+(BD140+AT140+BN140+BX140)/AM140</f>
        <v>1</v>
      </c>
      <c r="CC140" s="547" t="e">
        <f t="shared" ref="CC140:CC146" si="274">+(BE140+AU140+BO140+BY140)/AO140</f>
        <v>#DIV/0!</v>
      </c>
      <c r="CD140" s="547"/>
      <c r="CE140" s="546">
        <f t="shared" ref="CE140:CE146" si="275">IF(AND(AQ140=0,AT140=0),"No Prog ni Ejec",IF(AQ140=0,CONCATENATE("No Prog, Ejec=  ",AT140),AT140/AQ140))</f>
        <v>1</v>
      </c>
      <c r="CF140" s="546" t="str">
        <f t="shared" ref="CF140:CF146" si="276">IF(AND(AS140=0,AU140=0),"No Prog ni Ejec",IF(AS140=0,CONCATENATE("No Prog, Ejec=  ",AU140),AU140/AS140))</f>
        <v>No Prog ni Ejec</v>
      </c>
      <c r="CG140" s="546" t="str">
        <f t="shared" ref="CG140:CG146" si="277">IF(AND(BA140=0,BD140=0),"No Prog ni Ejec",IF(BA140=0,CONCATENATE("No Prog, Ejec=  ",BD140),BD140/BA140))</f>
        <v>No Prog ni Ejec</v>
      </c>
      <c r="CH140" s="546" t="str">
        <f t="shared" ref="CH140:CH146" si="278">IF(AND(BC140=0,BE140=0),"No Prog ni Ejec",IF(BC140=0,CONCATENATE("No Prog, Ejec=  ",BE140),BE140/BC140))</f>
        <v>No Prog ni Ejec</v>
      </c>
      <c r="CI140" s="546" t="str">
        <f t="shared" ref="CI140:CI146" si="279">IF(AND(BK140=0,BN140=0),"No Prog ni Ejec",IF(BK140=0,CONCATENATE("No Prog, Ejec=  ",BN140),BN140/BK140))</f>
        <v>No Prog ni Ejec</v>
      </c>
      <c r="CJ140" s="546" t="str">
        <f t="shared" ref="CJ140:CJ146" si="280">IF(AND(BM140=0,BO140=0),"No Prog ni Ejec",IF(BM140=0,CONCATENATE("No Prog, Ejec=  ",BO140),BO140/BM140))</f>
        <v>No Prog ni Ejec</v>
      </c>
      <c r="CK140" s="546" t="str">
        <f t="shared" ref="CK140:CK146" si="281">IF(AND(BU140=0,BX140=0),"No Prog ni Ejec",IF(BU140=0,CONCATENATE("No Prog, Ejec=  ",BX140),BX140/BU140))</f>
        <v>No Prog ni Ejec</v>
      </c>
      <c r="CL140" s="546" t="str">
        <f t="shared" ref="CL140:CL146" si="282">IF(AND(BW140=0,BY140=0),"No Prog ni Ejec",IF(BW140=0,CONCATENATE("No Prog, Ejec=  ",BY140),BY140/BW140))</f>
        <v>No Prog ni Ejec</v>
      </c>
      <c r="CM140" s="157">
        <f t="shared" si="265"/>
        <v>0</v>
      </c>
      <c r="CR140" s="138">
        <v>1</v>
      </c>
      <c r="CS140" s="138"/>
      <c r="CT140" s="138"/>
      <c r="CU140" s="138"/>
      <c r="CV140" s="138"/>
      <c r="CW140" s="138"/>
      <c r="CX140" s="138"/>
      <c r="CY140" s="138"/>
      <c r="CZ140" s="138"/>
      <c r="DA140" s="138"/>
      <c r="DB140" s="138"/>
      <c r="DC140" s="138"/>
    </row>
    <row r="141" spans="1:107" s="75" customFormat="1" ht="229.5" customHeight="1" x14ac:dyDescent="0.2">
      <c r="A141" s="541">
        <v>11600</v>
      </c>
      <c r="B141" s="544" t="s">
        <v>4</v>
      </c>
      <c r="C141" s="559" t="s">
        <v>538</v>
      </c>
      <c r="D141" s="216" t="s">
        <v>1108</v>
      </c>
      <c r="E141" s="216"/>
      <c r="F141" s="216"/>
      <c r="G141" s="216"/>
      <c r="H141" s="216"/>
      <c r="I141" s="216"/>
      <c r="J141" s="216"/>
      <c r="K141" s="216"/>
      <c r="L141" s="216"/>
      <c r="M141" s="216"/>
      <c r="N141" s="216"/>
      <c r="O141" s="216" t="s">
        <v>1108</v>
      </c>
      <c r="P141" s="216" t="s">
        <v>1108</v>
      </c>
      <c r="Q141" s="544" t="s">
        <v>1230</v>
      </c>
      <c r="R141" s="559" t="s">
        <v>1243</v>
      </c>
      <c r="S141" s="541" t="s">
        <v>100</v>
      </c>
      <c r="T141" s="559" t="s">
        <v>94</v>
      </c>
      <c r="U141" s="544" t="s">
        <v>206</v>
      </c>
      <c r="V141" s="544" t="s">
        <v>206</v>
      </c>
      <c r="W141" s="541" t="s">
        <v>1214</v>
      </c>
      <c r="X141" s="559" t="s">
        <v>540</v>
      </c>
      <c r="Y141" s="108" t="s">
        <v>394</v>
      </c>
      <c r="Z141" s="192">
        <v>1</v>
      </c>
      <c r="AA141" s="541" t="s">
        <v>1204</v>
      </c>
      <c r="AB141" s="559" t="s">
        <v>542</v>
      </c>
      <c r="AC141" s="542">
        <v>0</v>
      </c>
      <c r="AD141" s="545">
        <v>1</v>
      </c>
      <c r="AE141" s="544" t="s">
        <v>17</v>
      </c>
      <c r="AF141" s="544" t="s">
        <v>297</v>
      </c>
      <c r="AG141" s="544" t="s">
        <v>206</v>
      </c>
      <c r="AH141" s="544" t="s">
        <v>678</v>
      </c>
      <c r="AI141" s="544" t="s">
        <v>1130</v>
      </c>
      <c r="AJ141" s="544" t="s">
        <v>206</v>
      </c>
      <c r="AK141" s="559" t="s">
        <v>545</v>
      </c>
      <c r="AL141" s="544" t="s">
        <v>206</v>
      </c>
      <c r="AM141" s="192">
        <v>1</v>
      </c>
      <c r="AN141" s="544" t="str">
        <f t="shared" si="266"/>
        <v>Actualizar de manera colaborativa la Política del Sistema Integrado de Administración de Riesgos de la ADRES.</v>
      </c>
      <c r="AO141" s="77">
        <f t="shared" si="260"/>
        <v>0</v>
      </c>
      <c r="AP141" s="548" t="s">
        <v>48</v>
      </c>
      <c r="AQ141" s="221">
        <v>0</v>
      </c>
      <c r="AR141" s="544" t="str">
        <f t="shared" si="261"/>
        <v>Actualizar de manera colaborativa la Política del Sistema Integrado de Administración de Riesgos de la ADRES.</v>
      </c>
      <c r="AS141" s="558">
        <f>+AO141*0</f>
        <v>0</v>
      </c>
      <c r="AT141" s="607">
        <v>0</v>
      </c>
      <c r="AU141" s="612">
        <v>0</v>
      </c>
      <c r="AV141" s="543" t="e">
        <f t="shared" si="236"/>
        <v>#DIV/0!</v>
      </c>
      <c r="AW141" s="543" t="e">
        <f t="shared" si="237"/>
        <v>#DIV/0!</v>
      </c>
      <c r="AX141" s="543">
        <f t="shared" si="238"/>
        <v>0</v>
      </c>
      <c r="AY141" s="543" t="e">
        <f t="shared" si="239"/>
        <v>#DIV/0!</v>
      </c>
      <c r="AZ141" s="577" t="s">
        <v>1437</v>
      </c>
      <c r="BA141" s="192">
        <v>1</v>
      </c>
      <c r="BB141" s="544" t="str">
        <f t="shared" si="262"/>
        <v>Actualizar de manera colaborativa la Política del Sistema Integrado de Administración de Riesgos de la ADRES.</v>
      </c>
      <c r="BC141" s="558">
        <v>0</v>
      </c>
      <c r="BD141" s="73"/>
      <c r="BE141" s="73"/>
      <c r="BF141" s="543">
        <f t="shared" si="240"/>
        <v>0</v>
      </c>
      <c r="BG141" s="543" t="e">
        <f t="shared" si="241"/>
        <v>#DIV/0!</v>
      </c>
      <c r="BH141" s="543">
        <f t="shared" si="242"/>
        <v>0</v>
      </c>
      <c r="BI141" s="543" t="e">
        <f t="shared" si="243"/>
        <v>#DIV/0!</v>
      </c>
      <c r="BJ141" s="543"/>
      <c r="BK141" s="221">
        <v>0</v>
      </c>
      <c r="BL141" s="544" t="str">
        <f t="shared" si="263"/>
        <v>Actualizar de manera colaborativa la Política del Sistema Integrado de Administración de Riesgos de la ADRES.</v>
      </c>
      <c r="BM141" s="558">
        <v>0</v>
      </c>
      <c r="BN141" s="541"/>
      <c r="BO141" s="541"/>
      <c r="BP141" s="543" t="e">
        <f t="shared" si="267"/>
        <v>#DIV/0!</v>
      </c>
      <c r="BQ141" s="543" t="e">
        <f t="shared" si="268"/>
        <v>#DIV/0!</v>
      </c>
      <c r="BR141" s="543">
        <f t="shared" si="269"/>
        <v>0</v>
      </c>
      <c r="BS141" s="543" t="e">
        <f t="shared" si="270"/>
        <v>#DIV/0!</v>
      </c>
      <c r="BT141" s="543"/>
      <c r="BU141" s="221">
        <v>0</v>
      </c>
      <c r="BV141" s="544" t="str">
        <f t="shared" si="264"/>
        <v>Actualizar de manera colaborativa la Política del Sistema Integrado de Administración de Riesgos de la ADRES.</v>
      </c>
      <c r="BW141" s="196">
        <v>0</v>
      </c>
      <c r="BX141" s="541"/>
      <c r="BY141" s="541"/>
      <c r="BZ141" s="547" t="e">
        <f t="shared" si="271"/>
        <v>#DIV/0!</v>
      </c>
      <c r="CA141" s="547" t="e">
        <f t="shared" si="272"/>
        <v>#DIV/0!</v>
      </c>
      <c r="CB141" s="547">
        <f t="shared" si="273"/>
        <v>0</v>
      </c>
      <c r="CC141" s="547" t="e">
        <f t="shared" si="274"/>
        <v>#DIV/0!</v>
      </c>
      <c r="CD141" s="547"/>
      <c r="CE141" s="546" t="str">
        <f t="shared" si="275"/>
        <v>No Prog ni Ejec</v>
      </c>
      <c r="CF141" s="546" t="str">
        <f t="shared" si="276"/>
        <v>No Prog ni Ejec</v>
      </c>
      <c r="CG141" s="546">
        <f t="shared" si="277"/>
        <v>0</v>
      </c>
      <c r="CH141" s="546" t="str">
        <f t="shared" si="278"/>
        <v>No Prog ni Ejec</v>
      </c>
      <c r="CI141" s="546" t="str">
        <f t="shared" si="279"/>
        <v>No Prog ni Ejec</v>
      </c>
      <c r="CJ141" s="546" t="str">
        <f t="shared" si="280"/>
        <v>No Prog ni Ejec</v>
      </c>
      <c r="CK141" s="546" t="str">
        <f t="shared" si="281"/>
        <v>No Prog ni Ejec</v>
      </c>
      <c r="CL141" s="546" t="str">
        <f t="shared" si="282"/>
        <v>No Prog ni Ejec</v>
      </c>
      <c r="CM141" s="157">
        <f t="shared" si="265"/>
        <v>0</v>
      </c>
      <c r="CR141" s="138" t="s">
        <v>1108</v>
      </c>
      <c r="CS141" s="138" t="s">
        <v>1108</v>
      </c>
      <c r="CT141" s="138" t="s">
        <v>1108</v>
      </c>
      <c r="CU141" s="138"/>
      <c r="CV141" s="138"/>
      <c r="CW141" s="138"/>
      <c r="CX141" s="138"/>
      <c r="CY141" s="138"/>
      <c r="CZ141" s="138"/>
      <c r="DA141" s="138"/>
      <c r="DB141" s="138"/>
      <c r="DC141" s="138"/>
    </row>
    <row r="142" spans="1:107" s="75" customFormat="1" ht="204" x14ac:dyDescent="0.2">
      <c r="A142" s="541">
        <v>11600</v>
      </c>
      <c r="B142" s="544" t="s">
        <v>4</v>
      </c>
      <c r="C142" s="559" t="s">
        <v>538</v>
      </c>
      <c r="D142" s="216" t="s">
        <v>1108</v>
      </c>
      <c r="E142" s="216"/>
      <c r="F142" s="216"/>
      <c r="G142" s="216"/>
      <c r="H142" s="216"/>
      <c r="I142" s="216"/>
      <c r="J142" s="216"/>
      <c r="K142" s="216"/>
      <c r="L142" s="216"/>
      <c r="M142" s="216"/>
      <c r="N142" s="216"/>
      <c r="O142" s="216" t="s">
        <v>1108</v>
      </c>
      <c r="P142" s="216" t="s">
        <v>1108</v>
      </c>
      <c r="Q142" s="544" t="s">
        <v>1230</v>
      </c>
      <c r="R142" s="559" t="s">
        <v>1244</v>
      </c>
      <c r="S142" s="541" t="s">
        <v>100</v>
      </c>
      <c r="T142" s="559" t="s">
        <v>94</v>
      </c>
      <c r="U142" s="544" t="s">
        <v>206</v>
      </c>
      <c r="V142" s="544" t="s">
        <v>206</v>
      </c>
      <c r="W142" s="541" t="s">
        <v>1215</v>
      </c>
      <c r="X142" s="559" t="s">
        <v>1253</v>
      </c>
      <c r="Y142" s="108" t="s">
        <v>394</v>
      </c>
      <c r="Z142" s="192">
        <v>1</v>
      </c>
      <c r="AA142" s="541" t="s">
        <v>1205</v>
      </c>
      <c r="AB142" s="559" t="s">
        <v>1254</v>
      </c>
      <c r="AC142" s="542">
        <v>0</v>
      </c>
      <c r="AD142" s="545">
        <v>1</v>
      </c>
      <c r="AE142" s="544" t="s">
        <v>17</v>
      </c>
      <c r="AF142" s="544" t="s">
        <v>297</v>
      </c>
      <c r="AG142" s="544" t="s">
        <v>206</v>
      </c>
      <c r="AH142" s="544" t="s">
        <v>678</v>
      </c>
      <c r="AI142" s="544" t="s">
        <v>1130</v>
      </c>
      <c r="AJ142" s="544" t="s">
        <v>1388</v>
      </c>
      <c r="AK142" s="559" t="s">
        <v>1255</v>
      </c>
      <c r="AL142" s="544" t="s">
        <v>206</v>
      </c>
      <c r="AM142" s="192">
        <v>1</v>
      </c>
      <c r="AN142" s="544" t="str">
        <f t="shared" si="266"/>
        <v>Identificar los riesgos de seguridad digital según instrumento MSPS y la guía de la DAFP</v>
      </c>
      <c r="AO142" s="77">
        <f t="shared" si="260"/>
        <v>0</v>
      </c>
      <c r="AP142" s="548" t="s">
        <v>48</v>
      </c>
      <c r="AQ142" s="221">
        <v>0</v>
      </c>
      <c r="AR142" s="544" t="str">
        <f t="shared" si="261"/>
        <v>Identificar los riesgos de seguridad digital según instrumento MSPS y la guía de la DAFP</v>
      </c>
      <c r="AS142" s="558">
        <f>+AO142*0</f>
        <v>0</v>
      </c>
      <c r="AT142" s="607">
        <v>0</v>
      </c>
      <c r="AU142" s="612">
        <v>0</v>
      </c>
      <c r="AV142" s="543" t="e">
        <f t="shared" si="236"/>
        <v>#DIV/0!</v>
      </c>
      <c r="AW142" s="543" t="e">
        <f t="shared" si="237"/>
        <v>#DIV/0!</v>
      </c>
      <c r="AX142" s="543">
        <f t="shared" si="238"/>
        <v>0</v>
      </c>
      <c r="AY142" s="543" t="e">
        <f t="shared" si="239"/>
        <v>#DIV/0!</v>
      </c>
      <c r="AZ142" s="577" t="s">
        <v>1437</v>
      </c>
      <c r="BA142" s="221">
        <v>0</v>
      </c>
      <c r="BB142" s="544" t="str">
        <f t="shared" si="262"/>
        <v>Identificar los riesgos de seguridad digital según instrumento MSPS y la guía de la DAFP</v>
      </c>
      <c r="BC142" s="558">
        <v>0</v>
      </c>
      <c r="BD142" s="73"/>
      <c r="BE142" s="73"/>
      <c r="BF142" s="543" t="e">
        <f t="shared" si="240"/>
        <v>#DIV/0!</v>
      </c>
      <c r="BG142" s="543" t="e">
        <f t="shared" si="241"/>
        <v>#DIV/0!</v>
      </c>
      <c r="BH142" s="543">
        <f t="shared" si="242"/>
        <v>0</v>
      </c>
      <c r="BI142" s="543" t="e">
        <f t="shared" si="243"/>
        <v>#DIV/0!</v>
      </c>
      <c r="BJ142" s="543"/>
      <c r="BK142" s="221">
        <v>0</v>
      </c>
      <c r="BL142" s="544" t="str">
        <f t="shared" si="263"/>
        <v>Identificar los riesgos de seguridad digital según instrumento MSPS y la guía de la DAFP</v>
      </c>
      <c r="BM142" s="558">
        <v>0</v>
      </c>
      <c r="BN142" s="541"/>
      <c r="BO142" s="541"/>
      <c r="BP142" s="543" t="e">
        <f t="shared" si="267"/>
        <v>#DIV/0!</v>
      </c>
      <c r="BQ142" s="543" t="e">
        <f t="shared" si="268"/>
        <v>#DIV/0!</v>
      </c>
      <c r="BR142" s="543">
        <f t="shared" si="269"/>
        <v>0</v>
      </c>
      <c r="BS142" s="543" t="e">
        <f t="shared" si="270"/>
        <v>#DIV/0!</v>
      </c>
      <c r="BT142" s="543"/>
      <c r="BU142" s="192">
        <v>1</v>
      </c>
      <c r="BV142" s="544" t="str">
        <f t="shared" si="264"/>
        <v>Identificar los riesgos de seguridad digital según instrumento MSPS y la guía de la DAFP</v>
      </c>
      <c r="BW142" s="196">
        <f t="shared" ref="BW142:BW149" si="283">+AO142*BU142</f>
        <v>0</v>
      </c>
      <c r="BX142" s="541"/>
      <c r="BY142" s="541"/>
      <c r="BZ142" s="547">
        <f t="shared" si="271"/>
        <v>0</v>
      </c>
      <c r="CA142" s="547" t="e">
        <f t="shared" si="272"/>
        <v>#DIV/0!</v>
      </c>
      <c r="CB142" s="547">
        <f t="shared" si="273"/>
        <v>0</v>
      </c>
      <c r="CC142" s="547" t="e">
        <f t="shared" si="274"/>
        <v>#DIV/0!</v>
      </c>
      <c r="CD142" s="547"/>
      <c r="CE142" s="546" t="str">
        <f t="shared" si="275"/>
        <v>No Prog ni Ejec</v>
      </c>
      <c r="CF142" s="546" t="str">
        <f t="shared" si="276"/>
        <v>No Prog ni Ejec</v>
      </c>
      <c r="CG142" s="546" t="str">
        <f t="shared" si="277"/>
        <v>No Prog ni Ejec</v>
      </c>
      <c r="CH142" s="546" t="str">
        <f t="shared" si="278"/>
        <v>No Prog ni Ejec</v>
      </c>
      <c r="CI142" s="546" t="str">
        <f t="shared" si="279"/>
        <v>No Prog ni Ejec</v>
      </c>
      <c r="CJ142" s="546" t="str">
        <f t="shared" si="280"/>
        <v>No Prog ni Ejec</v>
      </c>
      <c r="CK142" s="546">
        <f t="shared" si="281"/>
        <v>0</v>
      </c>
      <c r="CL142" s="546" t="str">
        <f t="shared" si="282"/>
        <v>No Prog ni Ejec</v>
      </c>
      <c r="CM142" s="157">
        <f t="shared" si="265"/>
        <v>0</v>
      </c>
      <c r="CR142" s="138"/>
      <c r="CS142" s="138"/>
      <c r="CT142" s="138">
        <v>3</v>
      </c>
      <c r="CU142" s="138"/>
      <c r="CV142" s="138"/>
      <c r="CW142" s="138"/>
      <c r="CX142" s="138"/>
      <c r="CY142" s="138"/>
      <c r="CZ142" s="138"/>
      <c r="DA142" s="138"/>
      <c r="DB142" s="138"/>
      <c r="DC142" s="138"/>
    </row>
    <row r="143" spans="1:107" s="75" customFormat="1" ht="102" x14ac:dyDescent="0.2">
      <c r="A143" s="541">
        <v>11600</v>
      </c>
      <c r="B143" s="544" t="s">
        <v>1256</v>
      </c>
      <c r="C143" s="559" t="s">
        <v>654</v>
      </c>
      <c r="D143" s="216" t="s">
        <v>1108</v>
      </c>
      <c r="E143" s="216"/>
      <c r="F143" s="216"/>
      <c r="G143" s="216" t="s">
        <v>1108</v>
      </c>
      <c r="H143" s="216"/>
      <c r="I143" s="216"/>
      <c r="J143" s="216"/>
      <c r="K143" s="216"/>
      <c r="L143" s="216" t="s">
        <v>1108</v>
      </c>
      <c r="M143" s="216"/>
      <c r="N143" s="216"/>
      <c r="O143" s="216"/>
      <c r="P143" s="216"/>
      <c r="Q143" s="559" t="s">
        <v>1234</v>
      </c>
      <c r="R143" s="559" t="s">
        <v>1241</v>
      </c>
      <c r="S143" s="541" t="s">
        <v>100</v>
      </c>
      <c r="T143" s="559" t="s">
        <v>94</v>
      </c>
      <c r="U143" s="544" t="s">
        <v>206</v>
      </c>
      <c r="V143" s="544" t="s">
        <v>206</v>
      </c>
      <c r="W143" s="541" t="s">
        <v>614</v>
      </c>
      <c r="X143" s="559" t="s">
        <v>541</v>
      </c>
      <c r="Y143" s="108" t="s">
        <v>394</v>
      </c>
      <c r="Z143" s="192">
        <v>1</v>
      </c>
      <c r="AA143" s="541" t="s">
        <v>613</v>
      </c>
      <c r="AB143" s="559" t="s">
        <v>543</v>
      </c>
      <c r="AC143" s="558">
        <v>0</v>
      </c>
      <c r="AD143" s="545">
        <v>1</v>
      </c>
      <c r="AE143" s="544" t="s">
        <v>16</v>
      </c>
      <c r="AF143" s="544" t="s">
        <v>21</v>
      </c>
      <c r="AG143" s="544" t="s">
        <v>206</v>
      </c>
      <c r="AH143" s="544" t="s">
        <v>678</v>
      </c>
      <c r="AI143" s="544" t="s">
        <v>77</v>
      </c>
      <c r="AJ143" s="544" t="s">
        <v>1398</v>
      </c>
      <c r="AK143" s="559" t="s">
        <v>546</v>
      </c>
      <c r="AL143" s="544" t="s">
        <v>43</v>
      </c>
      <c r="AM143" s="192">
        <v>1</v>
      </c>
      <c r="AN143" s="544" t="str">
        <f t="shared" si="266"/>
        <v>Capacitar a los funcionarios sobre las características y generalidades de información, que puede ser considerada como dato abierto.</v>
      </c>
      <c r="AO143" s="77">
        <f t="shared" si="260"/>
        <v>0</v>
      </c>
      <c r="AP143" s="548" t="s">
        <v>48</v>
      </c>
      <c r="AQ143" s="221">
        <v>0</v>
      </c>
      <c r="AR143" s="544" t="str">
        <f t="shared" si="261"/>
        <v>Capacitar a los funcionarios sobre las características y generalidades de información, que puede ser considerada como dato abierto.</v>
      </c>
      <c r="AS143" s="558">
        <f>+AO143*0</f>
        <v>0</v>
      </c>
      <c r="AT143" s="607">
        <v>0</v>
      </c>
      <c r="AU143" s="612">
        <v>0</v>
      </c>
      <c r="AV143" s="543" t="e">
        <f t="shared" si="236"/>
        <v>#DIV/0!</v>
      </c>
      <c r="AW143" s="543" t="e">
        <f t="shared" si="237"/>
        <v>#DIV/0!</v>
      </c>
      <c r="AX143" s="543">
        <f t="shared" si="238"/>
        <v>0</v>
      </c>
      <c r="AY143" s="543" t="e">
        <f t="shared" si="239"/>
        <v>#DIV/0!</v>
      </c>
      <c r="AZ143" s="577" t="s">
        <v>1437</v>
      </c>
      <c r="BA143" s="192">
        <v>1</v>
      </c>
      <c r="BB143" s="544" t="str">
        <f t="shared" si="262"/>
        <v>Capacitar a los funcionarios sobre las características y generalidades de información, que puede ser considerada como dato abierto.</v>
      </c>
      <c r="BC143" s="558">
        <v>0</v>
      </c>
      <c r="BD143" s="73"/>
      <c r="BE143" s="73"/>
      <c r="BF143" s="543">
        <f t="shared" si="240"/>
        <v>0</v>
      </c>
      <c r="BG143" s="543" t="e">
        <f t="shared" si="241"/>
        <v>#DIV/0!</v>
      </c>
      <c r="BH143" s="543">
        <f t="shared" si="242"/>
        <v>0</v>
      </c>
      <c r="BI143" s="543" t="e">
        <f t="shared" si="243"/>
        <v>#DIV/0!</v>
      </c>
      <c r="BJ143" s="543"/>
      <c r="BK143" s="221">
        <v>0</v>
      </c>
      <c r="BL143" s="544" t="str">
        <f t="shared" si="263"/>
        <v>Capacitar a los funcionarios sobre las características y generalidades de información, que puede ser considerada como dato abierto.</v>
      </c>
      <c r="BM143" s="558">
        <v>0</v>
      </c>
      <c r="BN143" s="541"/>
      <c r="BO143" s="541"/>
      <c r="BP143" s="543" t="e">
        <f t="shared" si="267"/>
        <v>#DIV/0!</v>
      </c>
      <c r="BQ143" s="543" t="e">
        <f t="shared" si="268"/>
        <v>#DIV/0!</v>
      </c>
      <c r="BR143" s="543">
        <f t="shared" si="269"/>
        <v>0</v>
      </c>
      <c r="BS143" s="543" t="e">
        <f t="shared" si="270"/>
        <v>#DIV/0!</v>
      </c>
      <c r="BT143" s="543"/>
      <c r="BU143" s="221">
        <v>0</v>
      </c>
      <c r="BV143" s="544" t="str">
        <f t="shared" si="264"/>
        <v>Capacitar a los funcionarios sobre las características y generalidades de información, que puede ser considerada como dato abierto.</v>
      </c>
      <c r="BW143" s="196">
        <f t="shared" si="283"/>
        <v>0</v>
      </c>
      <c r="BX143" s="541"/>
      <c r="BY143" s="541"/>
      <c r="BZ143" s="547" t="e">
        <f t="shared" si="271"/>
        <v>#DIV/0!</v>
      </c>
      <c r="CA143" s="547" t="e">
        <f t="shared" si="272"/>
        <v>#DIV/0!</v>
      </c>
      <c r="CB143" s="547">
        <f t="shared" si="273"/>
        <v>0</v>
      </c>
      <c r="CC143" s="547" t="e">
        <f t="shared" si="274"/>
        <v>#DIV/0!</v>
      </c>
      <c r="CD143" s="547"/>
      <c r="CE143" s="546" t="str">
        <f t="shared" si="275"/>
        <v>No Prog ni Ejec</v>
      </c>
      <c r="CF143" s="546" t="str">
        <f t="shared" si="276"/>
        <v>No Prog ni Ejec</v>
      </c>
      <c r="CG143" s="546">
        <f t="shared" si="277"/>
        <v>0</v>
      </c>
      <c r="CH143" s="546" t="str">
        <f t="shared" si="278"/>
        <v>No Prog ni Ejec</v>
      </c>
      <c r="CI143" s="546" t="str">
        <f t="shared" si="279"/>
        <v>No Prog ni Ejec</v>
      </c>
      <c r="CJ143" s="546" t="str">
        <f t="shared" si="280"/>
        <v>No Prog ni Ejec</v>
      </c>
      <c r="CK143" s="546" t="str">
        <f t="shared" si="281"/>
        <v>No Prog ni Ejec</v>
      </c>
      <c r="CL143" s="546" t="str">
        <f t="shared" si="282"/>
        <v>No Prog ni Ejec</v>
      </c>
      <c r="CM143" s="157">
        <f t="shared" si="265"/>
        <v>0</v>
      </c>
      <c r="CU143" s="138">
        <v>4</v>
      </c>
      <c r="DB143" s="75">
        <v>11</v>
      </c>
    </row>
    <row r="144" spans="1:107" s="75" customFormat="1" ht="89.25" x14ac:dyDescent="0.2">
      <c r="A144" s="541">
        <v>11600</v>
      </c>
      <c r="B144" s="544" t="s">
        <v>4</v>
      </c>
      <c r="C144" s="559" t="s">
        <v>334</v>
      </c>
      <c r="D144" s="216"/>
      <c r="E144" s="216"/>
      <c r="F144" s="216"/>
      <c r="G144" s="216"/>
      <c r="H144" s="216"/>
      <c r="I144" s="216"/>
      <c r="J144" s="216"/>
      <c r="K144" s="216"/>
      <c r="L144" s="216"/>
      <c r="M144" s="216"/>
      <c r="N144" s="216"/>
      <c r="O144" s="216" t="s">
        <v>1108</v>
      </c>
      <c r="P144" s="216"/>
      <c r="Q144" s="540" t="s">
        <v>206</v>
      </c>
      <c r="R144" s="540" t="s">
        <v>206</v>
      </c>
      <c r="S144" s="541" t="s">
        <v>100</v>
      </c>
      <c r="T144" s="559" t="s">
        <v>94</v>
      </c>
      <c r="U144" s="544" t="s">
        <v>206</v>
      </c>
      <c r="V144" s="544" t="s">
        <v>206</v>
      </c>
      <c r="W144" s="541" t="s">
        <v>1216</v>
      </c>
      <c r="X144" s="559" t="s">
        <v>547</v>
      </c>
      <c r="Y144" s="108" t="s">
        <v>394</v>
      </c>
      <c r="Z144" s="78">
        <v>2</v>
      </c>
      <c r="AA144" s="541" t="s">
        <v>1206</v>
      </c>
      <c r="AB144" s="559" t="s">
        <v>550</v>
      </c>
      <c r="AC144" s="542">
        <v>0</v>
      </c>
      <c r="AD144" s="545">
        <v>1</v>
      </c>
      <c r="AE144" s="544" t="s">
        <v>17</v>
      </c>
      <c r="AF144" s="544" t="s">
        <v>299</v>
      </c>
      <c r="AG144" s="544" t="s">
        <v>206</v>
      </c>
      <c r="AH144" s="544" t="s">
        <v>678</v>
      </c>
      <c r="AI144" s="544" t="s">
        <v>81</v>
      </c>
      <c r="AJ144" s="544" t="s">
        <v>1388</v>
      </c>
      <c r="AK144" s="559" t="s">
        <v>1257</v>
      </c>
      <c r="AL144" s="544" t="s">
        <v>206</v>
      </c>
      <c r="AM144" s="78">
        <v>2</v>
      </c>
      <c r="AN144" s="544" t="str">
        <f t="shared" si="266"/>
        <v>Realizar evaluación del autodiagnóstico del Modelos de Seguridad y Privacidad de la Información - MSPI 1 vez por semestre</v>
      </c>
      <c r="AO144" s="77">
        <f t="shared" ref="AO144:AO149" si="284">+AC144</f>
        <v>0</v>
      </c>
      <c r="AP144" s="548" t="s">
        <v>48</v>
      </c>
      <c r="AQ144" s="221">
        <v>0</v>
      </c>
      <c r="AR144" s="544" t="str">
        <f t="shared" si="261"/>
        <v>Realizar evaluación del autodiagnóstico del Modelos de Seguridad y Privacidad de la Información - MSPI 1 vez por semestre</v>
      </c>
      <c r="AS144" s="558">
        <f t="shared" ref="AS144:AS149" si="285">+AO144*0</f>
        <v>0</v>
      </c>
      <c r="AT144" s="607">
        <v>0</v>
      </c>
      <c r="AU144" s="612">
        <v>0</v>
      </c>
      <c r="AV144" s="543" t="e">
        <f t="shared" ref="AV144:AV149" si="286">+(AT144/AQ144)</f>
        <v>#DIV/0!</v>
      </c>
      <c r="AW144" s="543" t="e">
        <f t="shared" si="237"/>
        <v>#DIV/0!</v>
      </c>
      <c r="AX144" s="543">
        <f t="shared" ref="AX144:AX149" si="287">+(AT144/AM144)</f>
        <v>0</v>
      </c>
      <c r="AY144" s="543" t="e">
        <f t="shared" ref="AY144:AY149" si="288">+(AU144/AO144)</f>
        <v>#DIV/0!</v>
      </c>
      <c r="AZ144" s="577" t="s">
        <v>1437</v>
      </c>
      <c r="BA144" s="192">
        <v>1</v>
      </c>
      <c r="BB144" s="544" t="str">
        <f t="shared" ref="BB144:BB149" si="289">+AN144</f>
        <v>Realizar evaluación del autodiagnóstico del Modelos de Seguridad y Privacidad de la Información - MSPI 1 vez por semestre</v>
      </c>
      <c r="BC144" s="558">
        <v>0</v>
      </c>
      <c r="BD144" s="73"/>
      <c r="BE144" s="73"/>
      <c r="BF144" s="543">
        <f t="shared" si="240"/>
        <v>0</v>
      </c>
      <c r="BG144" s="543" t="e">
        <f t="shared" si="241"/>
        <v>#DIV/0!</v>
      </c>
      <c r="BH144" s="543">
        <f t="shared" si="242"/>
        <v>0</v>
      </c>
      <c r="BI144" s="543" t="e">
        <f t="shared" si="243"/>
        <v>#DIV/0!</v>
      </c>
      <c r="BJ144" s="543"/>
      <c r="BK144" s="221">
        <v>0</v>
      </c>
      <c r="BL144" s="544" t="str">
        <f t="shared" si="263"/>
        <v>Realizar evaluación del autodiagnóstico del Modelos de Seguridad y Privacidad de la Información - MSPI 1 vez por semestre</v>
      </c>
      <c r="BM144" s="558">
        <v>0</v>
      </c>
      <c r="BN144" s="541"/>
      <c r="BO144" s="541"/>
      <c r="BP144" s="543" t="e">
        <f t="shared" si="267"/>
        <v>#DIV/0!</v>
      </c>
      <c r="BQ144" s="543" t="e">
        <f t="shared" si="268"/>
        <v>#DIV/0!</v>
      </c>
      <c r="BR144" s="543">
        <f t="shared" si="269"/>
        <v>0</v>
      </c>
      <c r="BS144" s="543" t="e">
        <f t="shared" si="270"/>
        <v>#DIV/0!</v>
      </c>
      <c r="BT144" s="543"/>
      <c r="BU144" s="192">
        <v>1</v>
      </c>
      <c r="BV144" s="544" t="str">
        <f t="shared" si="264"/>
        <v>Realizar evaluación del autodiagnóstico del Modelos de Seguridad y Privacidad de la Información - MSPI 1 vez por semestre</v>
      </c>
      <c r="BW144" s="196">
        <f t="shared" si="283"/>
        <v>0</v>
      </c>
      <c r="BX144" s="541"/>
      <c r="BY144" s="541"/>
      <c r="BZ144" s="547">
        <f t="shared" si="271"/>
        <v>0</v>
      </c>
      <c r="CA144" s="547" t="e">
        <f t="shared" si="272"/>
        <v>#DIV/0!</v>
      </c>
      <c r="CB144" s="547">
        <f t="shared" si="273"/>
        <v>0</v>
      </c>
      <c r="CC144" s="547" t="e">
        <f t="shared" si="274"/>
        <v>#DIV/0!</v>
      </c>
      <c r="CD144" s="547"/>
      <c r="CE144" s="546" t="str">
        <f t="shared" si="275"/>
        <v>No Prog ni Ejec</v>
      </c>
      <c r="CF144" s="546" t="str">
        <f t="shared" si="276"/>
        <v>No Prog ni Ejec</v>
      </c>
      <c r="CG144" s="546">
        <f t="shared" si="277"/>
        <v>0</v>
      </c>
      <c r="CH144" s="546" t="str">
        <f t="shared" si="278"/>
        <v>No Prog ni Ejec</v>
      </c>
      <c r="CI144" s="546" t="str">
        <f t="shared" si="279"/>
        <v>No Prog ni Ejec</v>
      </c>
      <c r="CJ144" s="546" t="str">
        <f t="shared" si="280"/>
        <v>No Prog ni Ejec</v>
      </c>
      <c r="CK144" s="546">
        <f t="shared" si="281"/>
        <v>0</v>
      </c>
      <c r="CL144" s="546" t="str">
        <f t="shared" si="282"/>
        <v>No Prog ni Ejec</v>
      </c>
      <c r="CM144" s="157">
        <f t="shared" si="265"/>
        <v>0</v>
      </c>
      <c r="CT144" s="138">
        <v>3</v>
      </c>
    </row>
    <row r="145" spans="1:107" s="75" customFormat="1" ht="242.25" x14ac:dyDescent="0.2">
      <c r="A145" s="541">
        <v>11600</v>
      </c>
      <c r="B145" s="544" t="s">
        <v>4</v>
      </c>
      <c r="C145" s="559" t="s">
        <v>334</v>
      </c>
      <c r="D145" s="216"/>
      <c r="E145" s="216"/>
      <c r="F145" s="216"/>
      <c r="G145" s="216"/>
      <c r="H145" s="216"/>
      <c r="I145" s="216"/>
      <c r="J145" s="216"/>
      <c r="K145" s="216"/>
      <c r="L145" s="216"/>
      <c r="M145" s="216"/>
      <c r="N145" s="216"/>
      <c r="O145" s="216" t="s">
        <v>1108</v>
      </c>
      <c r="P145" s="216"/>
      <c r="Q145" s="540" t="s">
        <v>206</v>
      </c>
      <c r="R145" s="540" t="s">
        <v>206</v>
      </c>
      <c r="S145" s="541" t="s">
        <v>100</v>
      </c>
      <c r="T145" s="559" t="s">
        <v>94</v>
      </c>
      <c r="U145" s="544" t="s">
        <v>206</v>
      </c>
      <c r="V145" s="544" t="s">
        <v>206</v>
      </c>
      <c r="W145" s="541" t="s">
        <v>616</v>
      </c>
      <c r="X145" s="559" t="s">
        <v>548</v>
      </c>
      <c r="Y145" s="108" t="s">
        <v>394</v>
      </c>
      <c r="Z145" s="78">
        <v>2</v>
      </c>
      <c r="AA145" s="541" t="s">
        <v>615</v>
      </c>
      <c r="AB145" s="559" t="s">
        <v>551</v>
      </c>
      <c r="AC145" s="542">
        <v>0</v>
      </c>
      <c r="AD145" s="545">
        <v>1</v>
      </c>
      <c r="AE145" s="544" t="s">
        <v>17</v>
      </c>
      <c r="AF145" s="544" t="s">
        <v>299</v>
      </c>
      <c r="AG145" s="544" t="s">
        <v>206</v>
      </c>
      <c r="AH145" s="544" t="s">
        <v>678</v>
      </c>
      <c r="AI145" s="544" t="s">
        <v>81</v>
      </c>
      <c r="AJ145" s="544" t="s">
        <v>1388</v>
      </c>
      <c r="AK145" s="559" t="s">
        <v>553</v>
      </c>
      <c r="AL145" s="544" t="s">
        <v>206</v>
      </c>
      <c r="AM145" s="78">
        <v>2</v>
      </c>
      <c r="AN145" s="544" t="str">
        <f t="shared" si="266"/>
        <v>Definir y aprobar las políticas de Seguridad que soportan el MSPI</v>
      </c>
      <c r="AO145" s="77">
        <f t="shared" si="284"/>
        <v>0</v>
      </c>
      <c r="AP145" s="548" t="s">
        <v>48</v>
      </c>
      <c r="AQ145" s="192">
        <v>2</v>
      </c>
      <c r="AR145" s="544" t="str">
        <f t="shared" si="261"/>
        <v>Definir y aprobar las políticas de Seguridad que soportan el MSPI</v>
      </c>
      <c r="AS145" s="558">
        <f t="shared" si="285"/>
        <v>0</v>
      </c>
      <c r="AT145" s="607">
        <v>2</v>
      </c>
      <c r="AU145" s="612">
        <v>0</v>
      </c>
      <c r="AV145" s="543">
        <f t="shared" si="286"/>
        <v>1</v>
      </c>
      <c r="AW145" s="543" t="e">
        <f t="shared" si="237"/>
        <v>#DIV/0!</v>
      </c>
      <c r="AX145" s="543">
        <f t="shared" si="287"/>
        <v>1</v>
      </c>
      <c r="AY145" s="543" t="e">
        <f t="shared" si="288"/>
        <v>#DIV/0!</v>
      </c>
      <c r="AZ145" s="577" t="s">
        <v>1439</v>
      </c>
      <c r="BA145" s="221">
        <v>0</v>
      </c>
      <c r="BB145" s="544" t="str">
        <f t="shared" si="289"/>
        <v>Definir y aprobar las políticas de Seguridad que soportan el MSPI</v>
      </c>
      <c r="BC145" s="558">
        <v>0</v>
      </c>
      <c r="BD145" s="73"/>
      <c r="BE145" s="73"/>
      <c r="BF145" s="543" t="e">
        <f t="shared" si="240"/>
        <v>#DIV/0!</v>
      </c>
      <c r="BG145" s="543" t="e">
        <f t="shared" si="241"/>
        <v>#DIV/0!</v>
      </c>
      <c r="BH145" s="543">
        <f t="shared" si="242"/>
        <v>1</v>
      </c>
      <c r="BI145" s="543" t="e">
        <f t="shared" si="243"/>
        <v>#DIV/0!</v>
      </c>
      <c r="BJ145" s="543"/>
      <c r="BK145" s="221">
        <v>0</v>
      </c>
      <c r="BL145" s="544" t="str">
        <f t="shared" si="263"/>
        <v>Definir y aprobar las políticas de Seguridad que soportan el MSPI</v>
      </c>
      <c r="BM145" s="558">
        <v>0</v>
      </c>
      <c r="BN145" s="541"/>
      <c r="BO145" s="541"/>
      <c r="BP145" s="543" t="e">
        <f t="shared" si="267"/>
        <v>#DIV/0!</v>
      </c>
      <c r="BQ145" s="543" t="e">
        <f t="shared" si="268"/>
        <v>#DIV/0!</v>
      </c>
      <c r="BR145" s="543">
        <f t="shared" si="269"/>
        <v>1</v>
      </c>
      <c r="BS145" s="543" t="e">
        <f t="shared" si="270"/>
        <v>#DIV/0!</v>
      </c>
      <c r="BT145" s="543"/>
      <c r="BU145" s="221">
        <v>0</v>
      </c>
      <c r="BV145" s="544" t="str">
        <f t="shared" si="264"/>
        <v>Definir y aprobar las políticas de Seguridad que soportan el MSPI</v>
      </c>
      <c r="BW145" s="196">
        <f t="shared" si="283"/>
        <v>0</v>
      </c>
      <c r="BX145" s="541"/>
      <c r="BY145" s="541"/>
      <c r="BZ145" s="547" t="e">
        <f t="shared" si="271"/>
        <v>#DIV/0!</v>
      </c>
      <c r="CA145" s="547" t="e">
        <f t="shared" si="272"/>
        <v>#DIV/0!</v>
      </c>
      <c r="CB145" s="547">
        <f t="shared" si="273"/>
        <v>1</v>
      </c>
      <c r="CC145" s="547" t="e">
        <f t="shared" si="274"/>
        <v>#DIV/0!</v>
      </c>
      <c r="CD145" s="547"/>
      <c r="CE145" s="546">
        <f t="shared" si="275"/>
        <v>1</v>
      </c>
      <c r="CF145" s="546" t="str">
        <f t="shared" si="276"/>
        <v>No Prog ni Ejec</v>
      </c>
      <c r="CG145" s="546" t="str">
        <f t="shared" si="277"/>
        <v>No Prog ni Ejec</v>
      </c>
      <c r="CH145" s="546" t="str">
        <f t="shared" si="278"/>
        <v>No Prog ni Ejec</v>
      </c>
      <c r="CI145" s="546" t="str">
        <f t="shared" si="279"/>
        <v>No Prog ni Ejec</v>
      </c>
      <c r="CJ145" s="546" t="str">
        <f t="shared" si="280"/>
        <v>No Prog ni Ejec</v>
      </c>
      <c r="CK145" s="546" t="str">
        <f t="shared" si="281"/>
        <v>No Prog ni Ejec</v>
      </c>
      <c r="CL145" s="546" t="str">
        <f t="shared" si="282"/>
        <v>No Prog ni Ejec</v>
      </c>
      <c r="CM145" s="157">
        <f t="shared" si="265"/>
        <v>0</v>
      </c>
      <c r="CT145" s="138">
        <v>3</v>
      </c>
    </row>
    <row r="146" spans="1:107" s="75" customFormat="1" ht="150" customHeight="1" x14ac:dyDescent="0.2">
      <c r="A146" s="541">
        <v>11600</v>
      </c>
      <c r="B146" s="544" t="s">
        <v>4</v>
      </c>
      <c r="C146" s="559" t="s">
        <v>334</v>
      </c>
      <c r="D146" s="216"/>
      <c r="E146" s="216"/>
      <c r="F146" s="216"/>
      <c r="G146" s="216"/>
      <c r="H146" s="216"/>
      <c r="I146" s="216"/>
      <c r="J146" s="216"/>
      <c r="K146" s="216"/>
      <c r="L146" s="216"/>
      <c r="M146" s="216"/>
      <c r="N146" s="216"/>
      <c r="O146" s="216" t="s">
        <v>1108</v>
      </c>
      <c r="P146" s="216"/>
      <c r="Q146" s="540" t="s">
        <v>206</v>
      </c>
      <c r="R146" s="540" t="s">
        <v>206</v>
      </c>
      <c r="S146" s="541" t="s">
        <v>100</v>
      </c>
      <c r="T146" s="559" t="s">
        <v>94</v>
      </c>
      <c r="U146" s="544" t="s">
        <v>206</v>
      </c>
      <c r="V146" s="544" t="s">
        <v>206</v>
      </c>
      <c r="W146" s="541" t="s">
        <v>1217</v>
      </c>
      <c r="X146" s="559" t="s">
        <v>1258</v>
      </c>
      <c r="Y146" s="108" t="s">
        <v>394</v>
      </c>
      <c r="Z146" s="192">
        <v>2</v>
      </c>
      <c r="AA146" s="541" t="s">
        <v>1207</v>
      </c>
      <c r="AB146" s="559" t="s">
        <v>1259</v>
      </c>
      <c r="AC146" s="542">
        <v>0</v>
      </c>
      <c r="AD146" s="545">
        <v>1</v>
      </c>
      <c r="AE146" s="544" t="s">
        <v>18</v>
      </c>
      <c r="AF146" s="544" t="s">
        <v>24</v>
      </c>
      <c r="AG146" s="544" t="s">
        <v>206</v>
      </c>
      <c r="AH146" s="544" t="s">
        <v>678</v>
      </c>
      <c r="AI146" s="544" t="s">
        <v>81</v>
      </c>
      <c r="AJ146" s="544" t="s">
        <v>1388</v>
      </c>
      <c r="AK146" s="559" t="s">
        <v>1260</v>
      </c>
      <c r="AL146" s="544" t="s">
        <v>298</v>
      </c>
      <c r="AM146" s="192">
        <v>2</v>
      </c>
      <c r="AN146" s="544" t="str">
        <f t="shared" si="266"/>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O146" s="77">
        <f t="shared" si="284"/>
        <v>0</v>
      </c>
      <c r="AP146" s="548" t="s">
        <v>48</v>
      </c>
      <c r="AQ146" s="221">
        <v>0</v>
      </c>
      <c r="AR146" s="544" t="str">
        <f t="shared" si="261"/>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S146" s="558">
        <f t="shared" si="285"/>
        <v>0</v>
      </c>
      <c r="AT146" s="607">
        <v>0</v>
      </c>
      <c r="AU146" s="612">
        <v>0</v>
      </c>
      <c r="AV146" s="543" t="e">
        <f t="shared" si="286"/>
        <v>#DIV/0!</v>
      </c>
      <c r="AW146" s="543" t="e">
        <f t="shared" si="237"/>
        <v>#DIV/0!</v>
      </c>
      <c r="AX146" s="543">
        <f t="shared" si="287"/>
        <v>0</v>
      </c>
      <c r="AY146" s="543" t="e">
        <f t="shared" si="288"/>
        <v>#DIV/0!</v>
      </c>
      <c r="AZ146" s="577" t="s">
        <v>1437</v>
      </c>
      <c r="BA146" s="192">
        <v>1</v>
      </c>
      <c r="BB146" s="544" t="str">
        <f t="shared" si="289"/>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C146" s="558">
        <v>0</v>
      </c>
      <c r="BD146" s="73"/>
      <c r="BE146" s="73"/>
      <c r="BF146" s="543">
        <f t="shared" si="240"/>
        <v>0</v>
      </c>
      <c r="BG146" s="543" t="e">
        <f t="shared" si="241"/>
        <v>#DIV/0!</v>
      </c>
      <c r="BH146" s="543">
        <f t="shared" si="242"/>
        <v>0</v>
      </c>
      <c r="BI146" s="543" t="e">
        <f t="shared" si="243"/>
        <v>#DIV/0!</v>
      </c>
      <c r="BJ146" s="543"/>
      <c r="BK146" s="221">
        <v>0</v>
      </c>
      <c r="BL146" s="544" t="str">
        <f t="shared" si="263"/>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M146" s="558">
        <v>0</v>
      </c>
      <c r="BN146" s="541"/>
      <c r="BO146" s="541"/>
      <c r="BP146" s="543" t="e">
        <f>+(BN146/BK146)</f>
        <v>#DIV/0!</v>
      </c>
      <c r="BQ146" s="543" t="e">
        <f>+(BO146/BM146)</f>
        <v>#DIV/0!</v>
      </c>
      <c r="BR146" s="543">
        <f>+(BD146+AT146+BN146)/AM146</f>
        <v>0</v>
      </c>
      <c r="BS146" s="543" t="e">
        <f>+(BE146+AU146+BO146)/AO146</f>
        <v>#DIV/0!</v>
      </c>
      <c r="BT146" s="543"/>
      <c r="BU146" s="192">
        <v>1</v>
      </c>
      <c r="BV146" s="544" t="str">
        <f t="shared" si="264"/>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W146" s="196">
        <f t="shared" si="283"/>
        <v>0</v>
      </c>
      <c r="BX146" s="541"/>
      <c r="BY146" s="541"/>
      <c r="BZ146" s="547">
        <f t="shared" si="271"/>
        <v>0</v>
      </c>
      <c r="CA146" s="547" t="e">
        <f t="shared" si="272"/>
        <v>#DIV/0!</v>
      </c>
      <c r="CB146" s="547">
        <f t="shared" si="273"/>
        <v>0</v>
      </c>
      <c r="CC146" s="547" t="e">
        <f t="shared" si="274"/>
        <v>#DIV/0!</v>
      </c>
      <c r="CD146" s="547"/>
      <c r="CE146" s="546" t="str">
        <f t="shared" si="275"/>
        <v>No Prog ni Ejec</v>
      </c>
      <c r="CF146" s="546" t="str">
        <f t="shared" si="276"/>
        <v>No Prog ni Ejec</v>
      </c>
      <c r="CG146" s="546">
        <f t="shared" si="277"/>
        <v>0</v>
      </c>
      <c r="CH146" s="546" t="str">
        <f t="shared" si="278"/>
        <v>No Prog ni Ejec</v>
      </c>
      <c r="CI146" s="546" t="str">
        <f t="shared" si="279"/>
        <v>No Prog ni Ejec</v>
      </c>
      <c r="CJ146" s="546" t="str">
        <f t="shared" si="280"/>
        <v>No Prog ni Ejec</v>
      </c>
      <c r="CK146" s="546">
        <f t="shared" si="281"/>
        <v>0</v>
      </c>
      <c r="CL146" s="546" t="str">
        <f t="shared" si="282"/>
        <v>No Prog ni Ejec</v>
      </c>
      <c r="CM146" s="157">
        <f t="shared" si="265"/>
        <v>0</v>
      </c>
      <c r="CT146" s="138">
        <v>3</v>
      </c>
    </row>
    <row r="147" spans="1:107" s="75" customFormat="1" ht="108.75" customHeight="1" x14ac:dyDescent="0.2">
      <c r="A147" s="541">
        <v>11600</v>
      </c>
      <c r="B147" s="544" t="s">
        <v>4</v>
      </c>
      <c r="C147" s="559" t="s">
        <v>334</v>
      </c>
      <c r="D147" s="216"/>
      <c r="E147" s="216"/>
      <c r="F147" s="216"/>
      <c r="G147" s="216"/>
      <c r="H147" s="216"/>
      <c r="I147" s="216"/>
      <c r="J147" s="216"/>
      <c r="K147" s="216"/>
      <c r="L147" s="216"/>
      <c r="M147" s="216"/>
      <c r="N147" s="216"/>
      <c r="O147" s="216" t="s">
        <v>1108</v>
      </c>
      <c r="P147" s="216"/>
      <c r="Q147" s="540" t="s">
        <v>206</v>
      </c>
      <c r="R147" s="540" t="s">
        <v>206</v>
      </c>
      <c r="S147" s="541" t="s">
        <v>100</v>
      </c>
      <c r="T147" s="559" t="s">
        <v>94</v>
      </c>
      <c r="U147" s="544" t="s">
        <v>206</v>
      </c>
      <c r="V147" s="544" t="s">
        <v>206</v>
      </c>
      <c r="W147" s="541" t="s">
        <v>618</v>
      </c>
      <c r="X147" s="559" t="s">
        <v>549</v>
      </c>
      <c r="Y147" s="108" t="s">
        <v>394</v>
      </c>
      <c r="Z147" s="78">
        <v>19</v>
      </c>
      <c r="AA147" s="541" t="s">
        <v>617</v>
      </c>
      <c r="AB147" s="559" t="s">
        <v>552</v>
      </c>
      <c r="AC147" s="542">
        <v>0</v>
      </c>
      <c r="AD147" s="545">
        <v>1</v>
      </c>
      <c r="AE147" s="544" t="s">
        <v>17</v>
      </c>
      <c r="AF147" s="544" t="s">
        <v>299</v>
      </c>
      <c r="AG147" s="544" t="s">
        <v>206</v>
      </c>
      <c r="AH147" s="544" t="s">
        <v>678</v>
      </c>
      <c r="AI147" s="544" t="s">
        <v>81</v>
      </c>
      <c r="AJ147" s="544" t="s">
        <v>1399</v>
      </c>
      <c r="AK147" s="559" t="s">
        <v>554</v>
      </c>
      <c r="AL147" s="544" t="s">
        <v>206</v>
      </c>
      <c r="AM147" s="78">
        <v>19</v>
      </c>
      <c r="AN147" s="544" t="str">
        <f t="shared" si="266"/>
        <v>Elaborar y aprobar de los procedimientos relacionados con Seguridad de la Información que corresponden por competencias  directamente a la DGTIC.</v>
      </c>
      <c r="AO147" s="77">
        <f t="shared" si="284"/>
        <v>0</v>
      </c>
      <c r="AP147" s="548" t="s">
        <v>48</v>
      </c>
      <c r="AQ147" s="192">
        <v>4</v>
      </c>
      <c r="AR147" s="544" t="str">
        <f t="shared" si="261"/>
        <v>Elaborar y aprobar de los procedimientos relacionados con Seguridad de la Información que corresponden por competencias  directamente a la DGTIC.</v>
      </c>
      <c r="AS147" s="558">
        <f t="shared" si="285"/>
        <v>0</v>
      </c>
      <c r="AT147" s="607">
        <v>4</v>
      </c>
      <c r="AU147" s="612">
        <v>0</v>
      </c>
      <c r="AV147" s="543">
        <f t="shared" si="286"/>
        <v>1</v>
      </c>
      <c r="AW147" s="543" t="e">
        <f t="shared" si="237"/>
        <v>#DIV/0!</v>
      </c>
      <c r="AX147" s="543">
        <f t="shared" si="287"/>
        <v>0.21052631578947367</v>
      </c>
      <c r="AY147" s="543" t="e">
        <f t="shared" si="288"/>
        <v>#DIV/0!</v>
      </c>
      <c r="AZ147" s="577" t="s">
        <v>1440</v>
      </c>
      <c r="BA147" s="192">
        <v>5</v>
      </c>
      <c r="BB147" s="544" t="str">
        <f t="shared" si="289"/>
        <v>Elaborar y aprobar de los procedimientos relacionados con Seguridad de la Información que corresponden por competencias  directamente a la DGTIC.</v>
      </c>
      <c r="BC147" s="558">
        <v>0</v>
      </c>
      <c r="BD147" s="73"/>
      <c r="BE147" s="73"/>
      <c r="BF147" s="543">
        <f t="shared" si="240"/>
        <v>0</v>
      </c>
      <c r="BG147" s="543" t="e">
        <f t="shared" si="241"/>
        <v>#DIV/0!</v>
      </c>
      <c r="BH147" s="543">
        <f t="shared" si="242"/>
        <v>0.21052631578947367</v>
      </c>
      <c r="BI147" s="543" t="e">
        <f t="shared" si="243"/>
        <v>#DIV/0!</v>
      </c>
      <c r="BJ147" s="543"/>
      <c r="BK147" s="192">
        <v>5</v>
      </c>
      <c r="BL147" s="544" t="str">
        <f t="shared" si="263"/>
        <v>Elaborar y aprobar de los procedimientos relacionados con Seguridad de la Información que corresponden por competencias  directamente a la DGTIC.</v>
      </c>
      <c r="BM147" s="558">
        <v>0</v>
      </c>
      <c r="BN147" s="541"/>
      <c r="BO147" s="541"/>
      <c r="BP147" s="543">
        <f>+(BN147/BK147)</f>
        <v>0</v>
      </c>
      <c r="BQ147" s="543" t="e">
        <f>+(BO147/BM147)</f>
        <v>#DIV/0!</v>
      </c>
      <c r="BR147" s="543">
        <f>+(BD147+AT147+BN147)/AM147</f>
        <v>0.21052631578947367</v>
      </c>
      <c r="BS147" s="543" t="e">
        <f>+(BE147+AU147+BO147)/AO147</f>
        <v>#DIV/0!</v>
      </c>
      <c r="BT147" s="543"/>
      <c r="BU147" s="192">
        <v>5</v>
      </c>
      <c r="BV147" s="544" t="str">
        <f t="shared" si="264"/>
        <v>Elaborar y aprobar de los procedimientos relacionados con Seguridad de la Información que corresponden por competencias  directamente a la DGTIC.</v>
      </c>
      <c r="BW147" s="196">
        <f t="shared" si="283"/>
        <v>0</v>
      </c>
      <c r="BX147" s="541"/>
      <c r="BY147" s="541"/>
      <c r="BZ147" s="547">
        <f>+(BX147/BU147)</f>
        <v>0</v>
      </c>
      <c r="CA147" s="547" t="e">
        <f>+(BY147/BW147)</f>
        <v>#DIV/0!</v>
      </c>
      <c r="CB147" s="547">
        <f>+(BD147+AT147+BN147+BX147)/AM147</f>
        <v>0.21052631578947367</v>
      </c>
      <c r="CC147" s="547" t="e">
        <f>+(BE147+AU147+BO147+BY147)/AO147</f>
        <v>#DIV/0!</v>
      </c>
      <c r="CD147" s="547"/>
      <c r="CE147" s="546">
        <f>IF(AND(AQ147=0,AT147=0),"No Prog ni Ejec",IF(AQ147=0,CONCATENATE("No Prog, Ejec=  ",AT147),AT147/AQ147))</f>
        <v>1</v>
      </c>
      <c r="CF147" s="546" t="str">
        <f>IF(AND(AS147=0,AU147=0),"No Prog ni Ejec",IF(AS147=0,CONCATENATE("No Prog, Ejec=  ",AU147),AU147/AS147))</f>
        <v>No Prog ni Ejec</v>
      </c>
      <c r="CG147" s="546">
        <f>IF(AND(BA147=0,BD147=0),"No Prog ni Ejec",IF(BA147=0,CONCATENATE("No Prog, Ejec=  ",BD147),BD147/BA147))</f>
        <v>0</v>
      </c>
      <c r="CH147" s="546" t="str">
        <f>IF(AND(BC147=0,BE147=0),"No Prog ni Ejec",IF(BC147=0,CONCATENATE("No Prog, Ejec=  ",BE147),BE147/BC147))</f>
        <v>No Prog ni Ejec</v>
      </c>
      <c r="CI147" s="546">
        <f>IF(AND(BK147=0,BN147=0),"No Prog ni Ejec",IF(BK147=0,CONCATENATE("No Prog, Ejec=  ",BN147),BN147/BK147))</f>
        <v>0</v>
      </c>
      <c r="CJ147" s="546" t="str">
        <f>IF(AND(BM147=0,BO147=0),"No Prog ni Ejec",IF(BM147=0,CONCATENATE("No Prog, Ejec=  ",BO147),BO147/BM147))</f>
        <v>No Prog ni Ejec</v>
      </c>
      <c r="CK147" s="546">
        <f>IF(AND(BU147=0,BX147=0),"No Prog ni Ejec",IF(BU147=0,CONCATENATE("No Prog, Ejec=  ",BX147),BX147/BU147))</f>
        <v>0</v>
      </c>
      <c r="CL147" s="546" t="str">
        <f>IF(AND(BW147=0,BY147=0),"No Prog ni Ejec",IF(BW147=0,CONCATENATE("No Prog, Ejec=  ",BY147),BY147/BW147))</f>
        <v>No Prog ni Ejec</v>
      </c>
      <c r="CM147" s="157">
        <f t="shared" si="265"/>
        <v>0</v>
      </c>
      <c r="CT147" s="138">
        <v>3</v>
      </c>
    </row>
    <row r="148" spans="1:107" s="75" customFormat="1" ht="242.25" x14ac:dyDescent="0.2">
      <c r="A148" s="541">
        <v>11600</v>
      </c>
      <c r="B148" s="544" t="s">
        <v>4</v>
      </c>
      <c r="C148" s="559" t="s">
        <v>1261</v>
      </c>
      <c r="D148" s="216"/>
      <c r="E148" s="216"/>
      <c r="F148" s="216"/>
      <c r="G148" s="216" t="s">
        <v>1108</v>
      </c>
      <c r="H148" s="216"/>
      <c r="I148" s="216"/>
      <c r="J148" s="216"/>
      <c r="K148" s="216"/>
      <c r="L148" s="216"/>
      <c r="M148" s="216"/>
      <c r="N148" s="216"/>
      <c r="O148" s="216" t="s">
        <v>1108</v>
      </c>
      <c r="P148" s="216"/>
      <c r="Q148" s="540" t="s">
        <v>206</v>
      </c>
      <c r="R148" s="540" t="s">
        <v>206</v>
      </c>
      <c r="S148" s="541" t="s">
        <v>100</v>
      </c>
      <c r="T148" s="559" t="s">
        <v>94</v>
      </c>
      <c r="U148" s="544" t="s">
        <v>206</v>
      </c>
      <c r="V148" s="544" t="s">
        <v>206</v>
      </c>
      <c r="W148" s="541" t="s">
        <v>620</v>
      </c>
      <c r="X148" s="559" t="s">
        <v>555</v>
      </c>
      <c r="Y148" s="108" t="s">
        <v>394</v>
      </c>
      <c r="Z148" s="78">
        <v>4</v>
      </c>
      <c r="AA148" s="541" t="s">
        <v>619</v>
      </c>
      <c r="AB148" s="559" t="s">
        <v>557</v>
      </c>
      <c r="AC148" s="542">
        <v>0</v>
      </c>
      <c r="AD148" s="545">
        <v>1</v>
      </c>
      <c r="AE148" s="544" t="s">
        <v>16</v>
      </c>
      <c r="AF148" s="544" t="s">
        <v>21</v>
      </c>
      <c r="AG148" s="544" t="s">
        <v>206</v>
      </c>
      <c r="AH148" s="544" t="s">
        <v>678</v>
      </c>
      <c r="AI148" s="544" t="s">
        <v>77</v>
      </c>
      <c r="AJ148" s="544" t="s">
        <v>206</v>
      </c>
      <c r="AK148" s="559" t="s">
        <v>559</v>
      </c>
      <c r="AL148" s="544" t="s">
        <v>43</v>
      </c>
      <c r="AM148" s="78">
        <v>4</v>
      </c>
      <c r="AN148" s="544" t="str">
        <f t="shared" si="266"/>
        <v>Realizar campaña de sensibilización en Seguridad y Privacidad de la Información para Servidores Públicos y Contratistas</v>
      </c>
      <c r="AO148" s="77">
        <f t="shared" si="284"/>
        <v>0</v>
      </c>
      <c r="AP148" s="548" t="s">
        <v>48</v>
      </c>
      <c r="AQ148" s="192">
        <v>1</v>
      </c>
      <c r="AR148" s="544" t="str">
        <f t="shared" si="261"/>
        <v>Realizar campaña de sensibilización en Seguridad y Privacidad de la Información para Servidores Públicos y Contratistas</v>
      </c>
      <c r="AS148" s="558">
        <f t="shared" si="285"/>
        <v>0</v>
      </c>
      <c r="AT148" s="607">
        <v>1</v>
      </c>
      <c r="AU148" s="612">
        <v>0</v>
      </c>
      <c r="AV148" s="543">
        <f t="shared" si="286"/>
        <v>1</v>
      </c>
      <c r="AW148" s="543" t="e">
        <f t="shared" si="237"/>
        <v>#DIV/0!</v>
      </c>
      <c r="AX148" s="543">
        <f t="shared" si="287"/>
        <v>0.25</v>
      </c>
      <c r="AY148" s="543" t="e">
        <f t="shared" si="288"/>
        <v>#DIV/0!</v>
      </c>
      <c r="AZ148" s="577" t="s">
        <v>1441</v>
      </c>
      <c r="BA148" s="192">
        <v>1</v>
      </c>
      <c r="BB148" s="544" t="str">
        <f t="shared" si="289"/>
        <v>Realizar campaña de sensibilización en Seguridad y Privacidad de la Información para Servidores Públicos y Contratistas</v>
      </c>
      <c r="BC148" s="558">
        <v>0</v>
      </c>
      <c r="BD148" s="73"/>
      <c r="BE148" s="73"/>
      <c r="BF148" s="543">
        <f t="shared" si="240"/>
        <v>0</v>
      </c>
      <c r="BG148" s="543" t="e">
        <f t="shared" si="241"/>
        <v>#DIV/0!</v>
      </c>
      <c r="BH148" s="543">
        <f t="shared" si="242"/>
        <v>0.25</v>
      </c>
      <c r="BI148" s="543" t="e">
        <f t="shared" si="243"/>
        <v>#DIV/0!</v>
      </c>
      <c r="BJ148" s="543"/>
      <c r="BK148" s="192">
        <v>1</v>
      </c>
      <c r="BL148" s="544" t="str">
        <f t="shared" si="263"/>
        <v>Realizar campaña de sensibilización en Seguridad y Privacidad de la Información para Servidores Públicos y Contratistas</v>
      </c>
      <c r="BM148" s="558">
        <v>0</v>
      </c>
      <c r="BN148" s="541"/>
      <c r="BO148" s="541"/>
      <c r="BP148" s="543">
        <f>+(BN148/BK148)</f>
        <v>0</v>
      </c>
      <c r="BQ148" s="543" t="e">
        <f>+(BO148/BM148)</f>
        <v>#DIV/0!</v>
      </c>
      <c r="BR148" s="543">
        <f>+(BD148+AT148+BN148)/AM148</f>
        <v>0.25</v>
      </c>
      <c r="BS148" s="543" t="e">
        <f>+(BE148+AU148+BO148)/AO148</f>
        <v>#DIV/0!</v>
      </c>
      <c r="BT148" s="543"/>
      <c r="BU148" s="192">
        <v>1</v>
      </c>
      <c r="BV148" s="544" t="str">
        <f t="shared" si="264"/>
        <v>Realizar campaña de sensibilización en Seguridad y Privacidad de la Información para Servidores Públicos y Contratistas</v>
      </c>
      <c r="BW148" s="196">
        <f t="shared" si="283"/>
        <v>0</v>
      </c>
      <c r="BX148" s="541"/>
      <c r="BY148" s="541"/>
      <c r="BZ148" s="547">
        <f>+(BX148/BU148)</f>
        <v>0</v>
      </c>
      <c r="CA148" s="547" t="e">
        <f>+(BY148/BW148)</f>
        <v>#DIV/0!</v>
      </c>
      <c r="CB148" s="547">
        <f>+(BD148+AT148+BN148+BX148)/AM148</f>
        <v>0.25</v>
      </c>
      <c r="CC148" s="547" t="e">
        <f>+(BE148+AU148+BO148+BY148)/AO148</f>
        <v>#DIV/0!</v>
      </c>
      <c r="CD148" s="547"/>
      <c r="CE148" s="546">
        <f>IF(AND(AQ148=0,AT148=0),"No Prog ni Ejec",IF(AQ148=0,CONCATENATE("No Prog, Ejec=  ",AT148),AT148/AQ148))</f>
        <v>1</v>
      </c>
      <c r="CF148" s="546" t="str">
        <f>IF(AND(AS148=0,AU148=0),"No Prog ni Ejec",IF(AS148=0,CONCATENATE("No Prog, Ejec=  ",AU148),AU148/AS148))</f>
        <v>No Prog ni Ejec</v>
      </c>
      <c r="CG148" s="546">
        <f>IF(AND(BA148=0,BD148=0),"No Prog ni Ejec",IF(BA148=0,CONCATENATE("No Prog, Ejec=  ",BD148),BD148/BA148))</f>
        <v>0</v>
      </c>
      <c r="CH148" s="546" t="str">
        <f>IF(AND(BC148=0,BE148=0),"No Prog ni Ejec",IF(BC148=0,CONCATENATE("No Prog, Ejec=  ",BE148),BE148/BC148))</f>
        <v>No Prog ni Ejec</v>
      </c>
      <c r="CI148" s="546">
        <f>IF(AND(BK148=0,BN148=0),"No Prog ni Ejec",IF(BK148=0,CONCATENATE("No Prog, Ejec=  ",BN148),BN148/BK148))</f>
        <v>0</v>
      </c>
      <c r="CJ148" s="546" t="str">
        <f>IF(AND(BM148=0,BO148=0),"No Prog ni Ejec",IF(BM148=0,CONCATENATE("No Prog, Ejec=  ",BO148),BO148/BM148))</f>
        <v>No Prog ni Ejec</v>
      </c>
      <c r="CK148" s="546">
        <f>IF(AND(BU148=0,BX148=0),"No Prog ni Ejec",IF(BU148=0,CONCATENATE("No Prog, Ejec=  ",BX148),BX148/BU148))</f>
        <v>0</v>
      </c>
      <c r="CL148" s="546" t="str">
        <f>IF(AND(BW148=0,BY148=0),"No Prog ni Ejec",IF(BW148=0,CONCATENATE("No Prog, Ejec=  ",BY148),BY148/BW148))</f>
        <v>No Prog ni Ejec</v>
      </c>
      <c r="CM148" s="157">
        <f t="shared" si="265"/>
        <v>0</v>
      </c>
      <c r="CT148" s="138">
        <v>3</v>
      </c>
    </row>
    <row r="149" spans="1:107" s="75" customFormat="1" ht="242.25" x14ac:dyDescent="0.2">
      <c r="A149" s="541">
        <v>11600</v>
      </c>
      <c r="B149" s="544" t="s">
        <v>4</v>
      </c>
      <c r="C149" s="559" t="s">
        <v>1261</v>
      </c>
      <c r="D149" s="216"/>
      <c r="E149" s="216"/>
      <c r="F149" s="216"/>
      <c r="G149" s="216" t="s">
        <v>1108</v>
      </c>
      <c r="H149" s="216"/>
      <c r="I149" s="216"/>
      <c r="J149" s="216"/>
      <c r="K149" s="216"/>
      <c r="L149" s="216"/>
      <c r="M149" s="216"/>
      <c r="N149" s="216"/>
      <c r="O149" s="216" t="s">
        <v>1108</v>
      </c>
      <c r="P149" s="216"/>
      <c r="Q149" s="540" t="s">
        <v>206</v>
      </c>
      <c r="R149" s="540" t="s">
        <v>206</v>
      </c>
      <c r="S149" s="541" t="s">
        <v>100</v>
      </c>
      <c r="T149" s="559" t="s">
        <v>94</v>
      </c>
      <c r="U149" s="544" t="s">
        <v>206</v>
      </c>
      <c r="V149" s="544" t="s">
        <v>206</v>
      </c>
      <c r="W149" s="541" t="s">
        <v>1218</v>
      </c>
      <c r="X149" s="559" t="s">
        <v>556</v>
      </c>
      <c r="Y149" s="108" t="s">
        <v>394</v>
      </c>
      <c r="Z149" s="78">
        <v>2</v>
      </c>
      <c r="AA149" s="541" t="s">
        <v>1208</v>
      </c>
      <c r="AB149" s="559" t="s">
        <v>558</v>
      </c>
      <c r="AC149" s="542">
        <v>0</v>
      </c>
      <c r="AD149" s="545">
        <v>1</v>
      </c>
      <c r="AE149" s="544" t="s">
        <v>16</v>
      </c>
      <c r="AF149" s="544" t="s">
        <v>21</v>
      </c>
      <c r="AG149" s="544" t="s">
        <v>206</v>
      </c>
      <c r="AH149" s="544" t="s">
        <v>678</v>
      </c>
      <c r="AI149" s="544" t="s">
        <v>77</v>
      </c>
      <c r="AJ149" s="544" t="s">
        <v>1398</v>
      </c>
      <c r="AK149" s="559" t="s">
        <v>560</v>
      </c>
      <c r="AL149" s="544" t="s">
        <v>43</v>
      </c>
      <c r="AM149" s="78">
        <v>2</v>
      </c>
      <c r="AN149" s="544" t="str">
        <f t="shared" si="266"/>
        <v>Realizar jornadas de Capacitación en Seguridad y Privacidad de la Información para Servidores Públicos y Contratistas</v>
      </c>
      <c r="AO149" s="77">
        <f t="shared" si="284"/>
        <v>0</v>
      </c>
      <c r="AP149" s="548" t="s">
        <v>48</v>
      </c>
      <c r="AQ149" s="221">
        <v>0</v>
      </c>
      <c r="AR149" s="544" t="str">
        <f t="shared" si="261"/>
        <v>Realizar jornadas de Capacitación en Seguridad y Privacidad de la Información para Servidores Públicos y Contratistas</v>
      </c>
      <c r="AS149" s="558">
        <f t="shared" si="285"/>
        <v>0</v>
      </c>
      <c r="AT149" s="607">
        <v>0</v>
      </c>
      <c r="AU149" s="612">
        <v>0</v>
      </c>
      <c r="AV149" s="543" t="e">
        <f t="shared" si="286"/>
        <v>#DIV/0!</v>
      </c>
      <c r="AW149" s="543" t="e">
        <f t="shared" si="237"/>
        <v>#DIV/0!</v>
      </c>
      <c r="AX149" s="543">
        <f t="shared" si="287"/>
        <v>0</v>
      </c>
      <c r="AY149" s="543" t="e">
        <f t="shared" si="288"/>
        <v>#DIV/0!</v>
      </c>
      <c r="AZ149" s="577" t="s">
        <v>1442</v>
      </c>
      <c r="BA149" s="192">
        <v>1</v>
      </c>
      <c r="BB149" s="544" t="str">
        <f t="shared" si="289"/>
        <v>Realizar jornadas de Capacitación en Seguridad y Privacidad de la Información para Servidores Públicos y Contratistas</v>
      </c>
      <c r="BC149" s="558">
        <v>0</v>
      </c>
      <c r="BD149" s="73"/>
      <c r="BE149" s="73"/>
      <c r="BF149" s="543">
        <f t="shared" si="240"/>
        <v>0</v>
      </c>
      <c r="BG149" s="543" t="e">
        <f t="shared" si="241"/>
        <v>#DIV/0!</v>
      </c>
      <c r="BH149" s="543">
        <f t="shared" si="242"/>
        <v>0</v>
      </c>
      <c r="BI149" s="543" t="e">
        <f t="shared" si="243"/>
        <v>#DIV/0!</v>
      </c>
      <c r="BJ149" s="543"/>
      <c r="BK149" s="221">
        <v>0</v>
      </c>
      <c r="BL149" s="544" t="str">
        <f t="shared" si="263"/>
        <v>Realizar jornadas de Capacitación en Seguridad y Privacidad de la Información para Servidores Públicos y Contratistas</v>
      </c>
      <c r="BM149" s="558">
        <v>0</v>
      </c>
      <c r="BN149" s="541"/>
      <c r="BO149" s="541"/>
      <c r="BP149" s="543" t="e">
        <f>+(BN149/BK149)</f>
        <v>#DIV/0!</v>
      </c>
      <c r="BQ149" s="543" t="e">
        <f>+(BO149/BM149)</f>
        <v>#DIV/0!</v>
      </c>
      <c r="BR149" s="543">
        <f>+(BD149+AT149+BN149)/AM149</f>
        <v>0</v>
      </c>
      <c r="BS149" s="543" t="e">
        <f>+(BE149+AU149+BO149)/AO149</f>
        <v>#DIV/0!</v>
      </c>
      <c r="BT149" s="543"/>
      <c r="BU149" s="192">
        <v>1</v>
      </c>
      <c r="BV149" s="544" t="str">
        <f t="shared" si="264"/>
        <v>Realizar jornadas de Capacitación en Seguridad y Privacidad de la Información para Servidores Públicos y Contratistas</v>
      </c>
      <c r="BW149" s="196">
        <f t="shared" si="283"/>
        <v>0</v>
      </c>
      <c r="BX149" s="541"/>
      <c r="BY149" s="541"/>
      <c r="BZ149" s="547">
        <f>+(BX149/BU149)</f>
        <v>0</v>
      </c>
      <c r="CA149" s="547" t="e">
        <f>+(BY149/BW149)</f>
        <v>#DIV/0!</v>
      </c>
      <c r="CB149" s="547">
        <f>+(BD149+AT149+BN149+BX149)/AM149</f>
        <v>0</v>
      </c>
      <c r="CC149" s="547" t="e">
        <f>+(BE149+AU149+BO149+BY149)/AO149</f>
        <v>#DIV/0!</v>
      </c>
      <c r="CD149" s="547"/>
      <c r="CE149" s="546" t="str">
        <f>IF(AND(AQ149=0,AT149=0),"No Prog ni Ejec",IF(AQ149=0,CONCATENATE("No Prog, Ejec=  ",AT149),AT149/AQ149))</f>
        <v>No Prog ni Ejec</v>
      </c>
      <c r="CF149" s="546" t="str">
        <f>IF(AND(AS149=0,AU149=0),"No Prog ni Ejec",IF(AS149=0,CONCATENATE("No Prog, Ejec=  ",AU149),AU149/AS149))</f>
        <v>No Prog ni Ejec</v>
      </c>
      <c r="CG149" s="546">
        <f>IF(AND(BA149=0,BD149=0),"No Prog ni Ejec",IF(BA149=0,CONCATENATE("No Prog, Ejec=  ",BD149),BD149/BA149))</f>
        <v>0</v>
      </c>
      <c r="CH149" s="546" t="str">
        <f>IF(AND(BC149=0,BE149=0),"No Prog ni Ejec",IF(BC149=0,CONCATENATE("No Prog, Ejec=  ",BE149),BE149/BC149))</f>
        <v>No Prog ni Ejec</v>
      </c>
      <c r="CI149" s="546" t="str">
        <f>IF(AND(BK149=0,BN149=0),"No Prog ni Ejec",IF(BK149=0,CONCATENATE("No Prog, Ejec=  ",BN149),BN149/BK149))</f>
        <v>No Prog ni Ejec</v>
      </c>
      <c r="CJ149" s="546" t="str">
        <f>IF(AND(BM149=0,BO149=0),"No Prog ni Ejec",IF(BM149=0,CONCATENATE("No Prog, Ejec=  ",BO149),BO149/BM149))</f>
        <v>No Prog ni Ejec</v>
      </c>
      <c r="CK149" s="546">
        <f>IF(AND(BU149=0,BX149=0),"No Prog ni Ejec",IF(BU149=0,CONCATENATE("No Prog, Ejec=  ",BX149),BX149/BU149))</f>
        <v>0</v>
      </c>
      <c r="CL149" s="546" t="str">
        <f>IF(AND(BW149=0,BY149=0),"No Prog ni Ejec",IF(BW149=0,CONCATENATE("No Prog, Ejec=  ",BY149),BY149/BW149))</f>
        <v>No Prog ni Ejec</v>
      </c>
      <c r="CM149" s="157">
        <f t="shared" si="265"/>
        <v>0</v>
      </c>
      <c r="CT149" s="138">
        <v>3</v>
      </c>
    </row>
    <row r="150" spans="1:107" s="86" customFormat="1" ht="99" customHeight="1" x14ac:dyDescent="0.2">
      <c r="A150" s="541">
        <v>12000</v>
      </c>
      <c r="B150" s="544" t="s">
        <v>15</v>
      </c>
      <c r="C150" s="544" t="s">
        <v>338</v>
      </c>
      <c r="D150" s="145" t="s">
        <v>1108</v>
      </c>
      <c r="E150" s="145"/>
      <c r="F150" s="145"/>
      <c r="G150" s="145"/>
      <c r="H150" s="145"/>
      <c r="I150" s="145"/>
      <c r="J150" s="145"/>
      <c r="K150" s="145"/>
      <c r="L150" s="145"/>
      <c r="M150" s="145"/>
      <c r="N150" s="145"/>
      <c r="O150" s="145"/>
      <c r="P150" s="145"/>
      <c r="Q150" s="544" t="s">
        <v>1230</v>
      </c>
      <c r="R150" s="544" t="s">
        <v>1243</v>
      </c>
      <c r="S150" s="541" t="s">
        <v>53</v>
      </c>
      <c r="T150" s="544" t="s">
        <v>94</v>
      </c>
      <c r="U150" s="544" t="s">
        <v>206</v>
      </c>
      <c r="V150" s="544" t="s">
        <v>206</v>
      </c>
      <c r="W150" s="541" t="s">
        <v>963</v>
      </c>
      <c r="X150" s="544" t="s">
        <v>563</v>
      </c>
      <c r="Y150" s="60" t="s">
        <v>394</v>
      </c>
      <c r="Z150" s="78">
        <v>1</v>
      </c>
      <c r="AA150" s="541" t="s">
        <v>961</v>
      </c>
      <c r="AB150" s="544" t="s">
        <v>564</v>
      </c>
      <c r="AC150" s="558">
        <v>0</v>
      </c>
      <c r="AD150" s="545">
        <v>1</v>
      </c>
      <c r="AE150" s="544" t="s">
        <v>17</v>
      </c>
      <c r="AF150" s="544" t="s">
        <v>297</v>
      </c>
      <c r="AG150" s="544" t="s">
        <v>206</v>
      </c>
      <c r="AH150" s="544" t="s">
        <v>678</v>
      </c>
      <c r="AI150" s="544" t="s">
        <v>1130</v>
      </c>
      <c r="AJ150" s="544" t="s">
        <v>1388</v>
      </c>
      <c r="AK150" s="544" t="s">
        <v>565</v>
      </c>
      <c r="AL150" s="544" t="s">
        <v>206</v>
      </c>
      <c r="AM150" s="78">
        <v>1</v>
      </c>
      <c r="AN150" s="544" t="str">
        <f t="shared" ref="AN150:AN161" si="290">+AB150</f>
        <v>Actualiza y formalizar la Política del Sistema Integrado de Administración de Riesgos de la ADRES.</v>
      </c>
      <c r="AO150" s="550">
        <f t="shared" ref="AO150:AO161" si="291">+AC150</f>
        <v>0</v>
      </c>
      <c r="AP150" s="548" t="s">
        <v>48</v>
      </c>
      <c r="AQ150" s="66">
        <v>0</v>
      </c>
      <c r="AR150" s="544" t="str">
        <f t="shared" ref="AR150:AR162" si="292">+AN150</f>
        <v>Actualiza y formalizar la Política del Sistema Integrado de Administración de Riesgos de la ADRES.</v>
      </c>
      <c r="AS150" s="542">
        <f t="shared" ref="AS150:AS160" si="293">+AO150/4</f>
        <v>0</v>
      </c>
      <c r="AT150" s="570">
        <v>0</v>
      </c>
      <c r="AU150" s="572">
        <v>0</v>
      </c>
      <c r="AV150" s="543" t="e">
        <f t="shared" ref="AV150:AV162" si="294">+(AT150/AQ150)</f>
        <v>#DIV/0!</v>
      </c>
      <c r="AW150" s="543" t="e">
        <f t="shared" ref="AW150:AW162" si="295">+(AU150/AS150)</f>
        <v>#DIV/0!</v>
      </c>
      <c r="AX150" s="543">
        <f t="shared" ref="AX150:AX162" si="296">+(AT150/AM150)</f>
        <v>0</v>
      </c>
      <c r="AY150" s="543" t="e">
        <f t="shared" ref="AY150:AY162" si="297">+(AU150/AO150)</f>
        <v>#DIV/0!</v>
      </c>
      <c r="AZ150" s="605" t="s">
        <v>1520</v>
      </c>
      <c r="BA150" s="66">
        <v>1</v>
      </c>
      <c r="BB150" s="544" t="str">
        <f t="shared" ref="BB150:BB162" si="298">+AN150</f>
        <v>Actualiza y formalizar la Política del Sistema Integrado de Administración de Riesgos de la ADRES.</v>
      </c>
      <c r="BC150" s="542">
        <f t="shared" ref="BC150:BC160" si="299">+AO150/4</f>
        <v>0</v>
      </c>
      <c r="BD150" s="73"/>
      <c r="BE150" s="73"/>
      <c r="BF150" s="543">
        <f t="shared" ref="BF150:BF162" si="300">+(BD150/BA150)</f>
        <v>0</v>
      </c>
      <c r="BG150" s="543" t="e">
        <f t="shared" ref="BG150:BG162" si="301">+(BE150/BC150)</f>
        <v>#DIV/0!</v>
      </c>
      <c r="BH150" s="543">
        <f t="shared" ref="BH150:BH162" si="302">+(BD150+AT150)/AM150</f>
        <v>0</v>
      </c>
      <c r="BI150" s="543" t="e">
        <f t="shared" ref="BI150:BI162" si="303">+(BE150+AU150)/AO150</f>
        <v>#DIV/0!</v>
      </c>
      <c r="BJ150" s="543"/>
      <c r="BK150" s="66">
        <v>0</v>
      </c>
      <c r="BL150" s="544" t="str">
        <f t="shared" ref="BL150:BL162" si="304">+AN150</f>
        <v>Actualiza y formalizar la Política del Sistema Integrado de Administración de Riesgos de la ADRES.</v>
      </c>
      <c r="BM150" s="542">
        <f t="shared" ref="BM150:BM160" si="305">+AO150/4</f>
        <v>0</v>
      </c>
      <c r="BN150" s="541"/>
      <c r="BO150" s="541"/>
      <c r="BP150" s="543" t="e">
        <f t="shared" ref="BP150:BP162" si="306">+(BN150/BK150)</f>
        <v>#DIV/0!</v>
      </c>
      <c r="BQ150" s="543" t="e">
        <f t="shared" ref="BQ150:BQ162" si="307">+(BO150/BM150)</f>
        <v>#DIV/0!</v>
      </c>
      <c r="BR150" s="543">
        <f t="shared" ref="BR150:BR162" si="308">+(BD150+AT150+BN150)/AM150</f>
        <v>0</v>
      </c>
      <c r="BS150" s="543" t="e">
        <f t="shared" ref="BS150:BS162" si="309">+(BE150+AU150+BO150)/AO150</f>
        <v>#DIV/0!</v>
      </c>
      <c r="BT150" s="543"/>
      <c r="BU150" s="66">
        <v>0</v>
      </c>
      <c r="BV150" s="544" t="str">
        <f t="shared" ref="BV150:BV162" si="310">+AN150</f>
        <v>Actualiza y formalizar la Política del Sistema Integrado de Administración de Riesgos de la ADRES.</v>
      </c>
      <c r="BW150" s="542">
        <f t="shared" ref="BW150:BW160" si="311">+AO150/4</f>
        <v>0</v>
      </c>
      <c r="BX150" s="541"/>
      <c r="BY150" s="541"/>
      <c r="BZ150" s="547" t="e">
        <f t="shared" ref="BZ150:BZ162" si="312">+(BX150/BU150)</f>
        <v>#DIV/0!</v>
      </c>
      <c r="CA150" s="547" t="e">
        <f t="shared" ref="CA150:CA162" si="313">+(BY150/BW150)</f>
        <v>#DIV/0!</v>
      </c>
      <c r="CB150" s="547">
        <f t="shared" ref="CB150:CB162" si="314">+(BD150+AT150+BN150+BX150)/AM150</f>
        <v>0</v>
      </c>
      <c r="CC150" s="547" t="e">
        <f t="shared" ref="CC150:CC162" si="315">+(BE150+AU150+BO150+BY150)/AO150</f>
        <v>#DIV/0!</v>
      </c>
      <c r="CD150" s="547"/>
      <c r="CE150" s="546" t="str">
        <f t="shared" ref="CE150:CE161" si="316">IF(AND(AQ150=0,AT150=0),"No Prog ni Ejec",IF(AQ150=0,CONCATENATE("No Prog, Ejec=  ",AT150),AT150/AQ150))</f>
        <v>No Prog ni Ejec</v>
      </c>
      <c r="CF150" s="546" t="str">
        <f t="shared" ref="CF150:CF161" si="317">IF(AND(AS150=0,AU150=0),"No Prog ni Ejec",IF(AS150=0,CONCATENATE("No Prog, Ejec=  ",AU150),AU150/AS150))</f>
        <v>No Prog ni Ejec</v>
      </c>
      <c r="CG150" s="546">
        <f t="shared" ref="CG150:CG161" si="318">IF(AND(BA150=0,BD150=0),"No Prog ni Ejec",IF(BA150=0,CONCATENATE("No Prog, Ejec=  ",BD150),BD150/BA150))</f>
        <v>0</v>
      </c>
      <c r="CH150" s="546" t="str">
        <f t="shared" ref="CH150:CH161" si="319">IF(AND(BC150=0,BE150=0),"No Prog ni Ejec",IF(BC150=0,CONCATENATE("No Prog, Ejec=  ",BE150),BE150/BC150))</f>
        <v>No Prog ni Ejec</v>
      </c>
      <c r="CI150" s="546" t="str">
        <f t="shared" ref="CI150:CI161" si="320">IF(AND(BK150=0,BN150=0),"No Prog ni Ejec",IF(BK150=0,CONCATENATE("No Prog, Ejec=  ",BN150),BN150/BK150))</f>
        <v>No Prog ni Ejec</v>
      </c>
      <c r="CJ150" s="546" t="str">
        <f t="shared" ref="CJ150:CJ161" si="321">IF(AND(BM150=0,BO150=0),"No Prog ni Ejec",IF(BM150=0,CONCATENATE("No Prog, Ejec=  ",BO150),BO150/BM150))</f>
        <v>No Prog ni Ejec</v>
      </c>
      <c r="CK150" s="546" t="str">
        <f t="shared" ref="CK150:CK161" si="322">IF(AND(BU150=0,BX150=0),"No Prog ni Ejec",IF(BU150=0,CONCATENATE("No Prog, Ejec=  ",BX150),BX150/BU150))</f>
        <v>No Prog ni Ejec</v>
      </c>
      <c r="CL150" s="546" t="str">
        <f t="shared" ref="CL150:CL161" si="323">IF(AND(BW150=0,BY150=0),"No Prog ni Ejec",IF(BW150=0,CONCATENATE("No Prog, Ejec=  ",BY150),BY150/BW150))</f>
        <v>No Prog ni Ejec</v>
      </c>
      <c r="CM150" s="157">
        <f t="shared" si="265"/>
        <v>0</v>
      </c>
      <c r="CR150" s="138">
        <v>1</v>
      </c>
      <c r="CS150" s="190"/>
      <c r="CT150" s="190"/>
      <c r="CU150" s="190"/>
      <c r="CV150" s="190"/>
      <c r="CW150" s="190"/>
      <c r="CX150" s="190"/>
      <c r="CY150" s="190"/>
      <c r="CZ150" s="190"/>
      <c r="DA150" s="190"/>
      <c r="DB150" s="190"/>
      <c r="DC150" s="190"/>
    </row>
    <row r="151" spans="1:107" s="86" customFormat="1" ht="102" customHeight="1" x14ac:dyDescent="0.2">
      <c r="A151" s="541">
        <v>12000</v>
      </c>
      <c r="B151" s="544" t="s">
        <v>15</v>
      </c>
      <c r="C151" s="544" t="s">
        <v>338</v>
      </c>
      <c r="D151" s="145" t="s">
        <v>1108</v>
      </c>
      <c r="E151" s="145"/>
      <c r="F151" s="145"/>
      <c r="G151" s="145"/>
      <c r="H151" s="145"/>
      <c r="I151" s="145"/>
      <c r="J151" s="145"/>
      <c r="K151" s="145"/>
      <c r="L151" s="145"/>
      <c r="M151" s="145"/>
      <c r="N151" s="145"/>
      <c r="O151" s="145"/>
      <c r="P151" s="145"/>
      <c r="Q151" s="544" t="s">
        <v>1230</v>
      </c>
      <c r="R151" s="544" t="s">
        <v>1243</v>
      </c>
      <c r="S151" s="541" t="s">
        <v>53</v>
      </c>
      <c r="T151" s="544" t="s">
        <v>94</v>
      </c>
      <c r="U151" s="544" t="s">
        <v>206</v>
      </c>
      <c r="V151" s="544" t="s">
        <v>206</v>
      </c>
      <c r="W151" s="541" t="s">
        <v>1041</v>
      </c>
      <c r="X151" s="544" t="s">
        <v>567</v>
      </c>
      <c r="Y151" s="60" t="s">
        <v>394</v>
      </c>
      <c r="Z151" s="78">
        <v>1</v>
      </c>
      <c r="AA151" s="851" t="s">
        <v>1034</v>
      </c>
      <c r="AB151" s="846" t="s">
        <v>566</v>
      </c>
      <c r="AC151" s="875">
        <v>0</v>
      </c>
      <c r="AD151" s="858">
        <v>1</v>
      </c>
      <c r="AE151" s="846" t="s">
        <v>18</v>
      </c>
      <c r="AF151" s="846" t="s">
        <v>24</v>
      </c>
      <c r="AG151" s="846" t="s">
        <v>206</v>
      </c>
      <c r="AH151" s="846" t="s">
        <v>678</v>
      </c>
      <c r="AI151" s="846" t="s">
        <v>1130</v>
      </c>
      <c r="AJ151" s="713" t="s">
        <v>1411</v>
      </c>
      <c r="AK151" s="544" t="s">
        <v>568</v>
      </c>
      <c r="AL151" s="846" t="s">
        <v>298</v>
      </c>
      <c r="AM151" s="78">
        <v>1</v>
      </c>
      <c r="AN151" s="846" t="str">
        <f t="shared" si="290"/>
        <v>Publicación y Socialización de la versión actualizada de la Política del Sistema Integrado de Administración de Riesgos de la ADRES.</v>
      </c>
      <c r="AO151" s="857">
        <f t="shared" si="291"/>
        <v>0</v>
      </c>
      <c r="AP151" s="548" t="s">
        <v>48</v>
      </c>
      <c r="AQ151" s="66">
        <v>0</v>
      </c>
      <c r="AR151" s="846" t="str">
        <f t="shared" si="292"/>
        <v>Publicación y Socialización de la versión actualizada de la Política del Sistema Integrado de Administración de Riesgos de la ADRES.</v>
      </c>
      <c r="AS151" s="842">
        <f t="shared" si="293"/>
        <v>0</v>
      </c>
      <c r="AT151" s="570">
        <v>0</v>
      </c>
      <c r="AU151" s="572">
        <v>0</v>
      </c>
      <c r="AV151" s="543" t="e">
        <f>+(AT151/AQ151)</f>
        <v>#DIV/0!</v>
      </c>
      <c r="AW151" s="847" t="e">
        <f>+(AU151/AS151)</f>
        <v>#DIV/0!</v>
      </c>
      <c r="AX151" s="543">
        <f t="shared" si="296"/>
        <v>0</v>
      </c>
      <c r="AY151" s="847" t="e">
        <f>+(AU151/AO151)</f>
        <v>#DIV/0!</v>
      </c>
      <c r="AZ151" s="713" t="s">
        <v>1520</v>
      </c>
      <c r="BA151" s="78">
        <v>1</v>
      </c>
      <c r="BB151" s="846" t="str">
        <f t="shared" si="298"/>
        <v>Publicación y Socialización de la versión actualizada de la Política del Sistema Integrado de Administración de Riesgos de la ADRES.</v>
      </c>
      <c r="BC151" s="842">
        <f t="shared" si="299"/>
        <v>0</v>
      </c>
      <c r="BD151" s="73"/>
      <c r="BE151" s="860"/>
      <c r="BF151" s="543">
        <f t="shared" si="300"/>
        <v>0</v>
      </c>
      <c r="BG151" s="847" t="e">
        <f t="shared" si="301"/>
        <v>#DIV/0!</v>
      </c>
      <c r="BH151" s="543">
        <f t="shared" si="302"/>
        <v>0</v>
      </c>
      <c r="BI151" s="847" t="e">
        <f t="shared" si="303"/>
        <v>#DIV/0!</v>
      </c>
      <c r="BJ151" s="543"/>
      <c r="BK151" s="66">
        <v>0</v>
      </c>
      <c r="BL151" s="846" t="str">
        <f t="shared" si="304"/>
        <v>Publicación y Socialización de la versión actualizada de la Política del Sistema Integrado de Administración de Riesgos de la ADRES.</v>
      </c>
      <c r="BM151" s="842">
        <f t="shared" si="305"/>
        <v>0</v>
      </c>
      <c r="BN151" s="541"/>
      <c r="BO151" s="851"/>
      <c r="BP151" s="543" t="e">
        <f t="shared" si="306"/>
        <v>#DIV/0!</v>
      </c>
      <c r="BQ151" s="847" t="e">
        <f t="shared" si="307"/>
        <v>#DIV/0!</v>
      </c>
      <c r="BR151" s="543">
        <f t="shared" si="308"/>
        <v>0</v>
      </c>
      <c r="BS151" s="847" t="e">
        <f t="shared" si="309"/>
        <v>#DIV/0!</v>
      </c>
      <c r="BT151" s="543"/>
      <c r="BU151" s="66">
        <v>0</v>
      </c>
      <c r="BV151" s="846" t="str">
        <f t="shared" si="310"/>
        <v>Publicación y Socialización de la versión actualizada de la Política del Sistema Integrado de Administración de Riesgos de la ADRES.</v>
      </c>
      <c r="BW151" s="842">
        <f t="shared" si="311"/>
        <v>0</v>
      </c>
      <c r="BX151" s="541"/>
      <c r="BY151" s="851"/>
      <c r="BZ151" s="547" t="e">
        <f t="shared" si="312"/>
        <v>#DIV/0!</v>
      </c>
      <c r="CA151" s="854" t="e">
        <f t="shared" si="313"/>
        <v>#DIV/0!</v>
      </c>
      <c r="CB151" s="547">
        <f t="shared" si="314"/>
        <v>0</v>
      </c>
      <c r="CC151" s="854" t="e">
        <f t="shared" si="315"/>
        <v>#DIV/0!</v>
      </c>
      <c r="CD151" s="547"/>
      <c r="CE151" s="546" t="str">
        <f t="shared" si="316"/>
        <v>No Prog ni Ejec</v>
      </c>
      <c r="CF151" s="853" t="str">
        <f t="shared" si="317"/>
        <v>No Prog ni Ejec</v>
      </c>
      <c r="CG151" s="546">
        <f t="shared" si="318"/>
        <v>0</v>
      </c>
      <c r="CH151" s="853" t="str">
        <f t="shared" si="319"/>
        <v>No Prog ni Ejec</v>
      </c>
      <c r="CI151" s="546" t="str">
        <f t="shared" si="320"/>
        <v>No Prog ni Ejec</v>
      </c>
      <c r="CJ151" s="853" t="str">
        <f t="shared" si="321"/>
        <v>No Prog ni Ejec</v>
      </c>
      <c r="CK151" s="546" t="str">
        <f t="shared" si="322"/>
        <v>No Prog ni Ejec</v>
      </c>
      <c r="CL151" s="853" t="str">
        <f t="shared" si="323"/>
        <v>No Prog ni Ejec</v>
      </c>
      <c r="CM151" s="157">
        <f t="shared" si="265"/>
        <v>0</v>
      </c>
      <c r="CR151" s="138">
        <v>1</v>
      </c>
      <c r="CS151" s="190"/>
      <c r="CT151" s="190"/>
      <c r="CU151" s="190"/>
      <c r="CV151" s="190"/>
      <c r="CW151" s="190"/>
      <c r="CX151" s="190"/>
      <c r="CY151" s="190"/>
      <c r="CZ151" s="190"/>
      <c r="DA151" s="190"/>
      <c r="DB151" s="190"/>
      <c r="DC151" s="190"/>
    </row>
    <row r="152" spans="1:107" s="86" customFormat="1" ht="103.5" customHeight="1" x14ac:dyDescent="0.2">
      <c r="A152" s="541">
        <v>12000</v>
      </c>
      <c r="B152" s="544" t="s">
        <v>15</v>
      </c>
      <c r="C152" s="544" t="s">
        <v>338</v>
      </c>
      <c r="D152" s="145" t="s">
        <v>1108</v>
      </c>
      <c r="E152" s="145"/>
      <c r="F152" s="145"/>
      <c r="G152" s="145" t="s">
        <v>1108</v>
      </c>
      <c r="H152" s="145"/>
      <c r="I152" s="145"/>
      <c r="J152" s="145"/>
      <c r="K152" s="145"/>
      <c r="L152" s="145"/>
      <c r="M152" s="145"/>
      <c r="N152" s="145"/>
      <c r="O152" s="145"/>
      <c r="P152" s="145"/>
      <c r="Q152" s="544" t="s">
        <v>1230</v>
      </c>
      <c r="R152" s="544" t="s">
        <v>1243</v>
      </c>
      <c r="S152" s="541" t="s">
        <v>53</v>
      </c>
      <c r="T152" s="544" t="s">
        <v>94</v>
      </c>
      <c r="U152" s="544" t="s">
        <v>206</v>
      </c>
      <c r="V152" s="544" t="s">
        <v>206</v>
      </c>
      <c r="W152" s="541" t="s">
        <v>1042</v>
      </c>
      <c r="X152" s="544" t="s">
        <v>570</v>
      </c>
      <c r="Y152" s="60" t="s">
        <v>394</v>
      </c>
      <c r="Z152" s="78">
        <v>2</v>
      </c>
      <c r="AA152" s="851"/>
      <c r="AB152" s="846"/>
      <c r="AC152" s="875"/>
      <c r="AD152" s="858"/>
      <c r="AE152" s="846"/>
      <c r="AF152" s="846"/>
      <c r="AG152" s="846"/>
      <c r="AH152" s="846"/>
      <c r="AI152" s="846"/>
      <c r="AJ152" s="715"/>
      <c r="AK152" s="544" t="s">
        <v>569</v>
      </c>
      <c r="AL152" s="846"/>
      <c r="AM152" s="78">
        <v>2</v>
      </c>
      <c r="AN152" s="846"/>
      <c r="AO152" s="857"/>
      <c r="AP152" s="548" t="s">
        <v>48</v>
      </c>
      <c r="AQ152" s="66">
        <v>0</v>
      </c>
      <c r="AR152" s="846"/>
      <c r="AS152" s="842"/>
      <c r="AT152" s="570">
        <v>0</v>
      </c>
      <c r="AU152" s="572">
        <v>0</v>
      </c>
      <c r="AV152" s="543" t="e">
        <f>+(AT152/AQ152)</f>
        <v>#DIV/0!</v>
      </c>
      <c r="AW152" s="847"/>
      <c r="AX152" s="543">
        <f>+(AT152/AM152)</f>
        <v>0</v>
      </c>
      <c r="AY152" s="847"/>
      <c r="AZ152" s="715"/>
      <c r="BA152" s="78">
        <v>2</v>
      </c>
      <c r="BB152" s="846">
        <f t="shared" si="298"/>
        <v>0</v>
      </c>
      <c r="BC152" s="842"/>
      <c r="BD152" s="73"/>
      <c r="BE152" s="860"/>
      <c r="BF152" s="543">
        <f t="shared" si="300"/>
        <v>0</v>
      </c>
      <c r="BG152" s="847"/>
      <c r="BH152" s="543">
        <f t="shared" si="302"/>
        <v>0</v>
      </c>
      <c r="BI152" s="847"/>
      <c r="BJ152" s="543"/>
      <c r="BK152" s="78">
        <v>0</v>
      </c>
      <c r="BL152" s="846">
        <f t="shared" si="304"/>
        <v>0</v>
      </c>
      <c r="BM152" s="842"/>
      <c r="BN152" s="541"/>
      <c r="BO152" s="851"/>
      <c r="BP152" s="543" t="e">
        <f t="shared" si="306"/>
        <v>#DIV/0!</v>
      </c>
      <c r="BQ152" s="847"/>
      <c r="BR152" s="543">
        <f t="shared" si="308"/>
        <v>0</v>
      </c>
      <c r="BS152" s="847"/>
      <c r="BT152" s="543"/>
      <c r="BU152" s="78">
        <v>0</v>
      </c>
      <c r="BV152" s="846">
        <f t="shared" si="310"/>
        <v>0</v>
      </c>
      <c r="BW152" s="842"/>
      <c r="BX152" s="541"/>
      <c r="BY152" s="851"/>
      <c r="BZ152" s="547" t="e">
        <f t="shared" si="312"/>
        <v>#DIV/0!</v>
      </c>
      <c r="CA152" s="854"/>
      <c r="CB152" s="547">
        <f t="shared" si="314"/>
        <v>0</v>
      </c>
      <c r="CC152" s="854"/>
      <c r="CD152" s="547"/>
      <c r="CE152" s="546" t="str">
        <f t="shared" si="316"/>
        <v>No Prog ni Ejec</v>
      </c>
      <c r="CF152" s="853"/>
      <c r="CG152" s="546">
        <f t="shared" si="318"/>
        <v>0</v>
      </c>
      <c r="CH152" s="853"/>
      <c r="CI152" s="546" t="str">
        <f t="shared" si="320"/>
        <v>No Prog ni Ejec</v>
      </c>
      <c r="CJ152" s="853"/>
      <c r="CK152" s="546" t="str">
        <f t="shared" si="322"/>
        <v>No Prog ni Ejec</v>
      </c>
      <c r="CL152" s="853"/>
      <c r="CM152" s="157">
        <f t="shared" si="265"/>
        <v>0</v>
      </c>
      <c r="CR152" s="138">
        <v>1</v>
      </c>
      <c r="CS152" s="190"/>
      <c r="CT152" s="190"/>
      <c r="CU152" s="190"/>
      <c r="CV152" s="190"/>
      <c r="CW152" s="190"/>
      <c r="CX152" s="190"/>
      <c r="CY152" s="190"/>
      <c r="CZ152" s="190"/>
      <c r="DA152" s="190"/>
      <c r="DB152" s="190"/>
      <c r="DC152" s="190"/>
    </row>
    <row r="153" spans="1:107" s="86" customFormat="1" ht="98.25" customHeight="1" x14ac:dyDescent="0.2">
      <c r="A153" s="541">
        <v>12000</v>
      </c>
      <c r="B153" s="544" t="s">
        <v>15</v>
      </c>
      <c r="C153" s="544" t="s">
        <v>338</v>
      </c>
      <c r="D153" s="145" t="s">
        <v>1108</v>
      </c>
      <c r="E153" s="145"/>
      <c r="F153" s="145"/>
      <c r="G153" s="145"/>
      <c r="H153" s="145"/>
      <c r="I153" s="145"/>
      <c r="J153" s="145"/>
      <c r="K153" s="145"/>
      <c r="L153" s="145"/>
      <c r="M153" s="145"/>
      <c r="N153" s="145"/>
      <c r="O153" s="145"/>
      <c r="P153" s="145"/>
      <c r="Q153" s="544" t="s">
        <v>1230</v>
      </c>
      <c r="R153" s="544" t="s">
        <v>1237</v>
      </c>
      <c r="S153" s="541" t="s">
        <v>53</v>
      </c>
      <c r="T153" s="544" t="s">
        <v>94</v>
      </c>
      <c r="U153" s="544" t="s">
        <v>206</v>
      </c>
      <c r="V153" s="544" t="s">
        <v>206</v>
      </c>
      <c r="W153" s="851" t="s">
        <v>1043</v>
      </c>
      <c r="X153" s="879" t="s">
        <v>571</v>
      </c>
      <c r="Y153" s="880" t="s">
        <v>51</v>
      </c>
      <c r="Z153" s="881">
        <v>1</v>
      </c>
      <c r="AA153" s="851" t="s">
        <v>1035</v>
      </c>
      <c r="AB153" s="846" t="s">
        <v>1145</v>
      </c>
      <c r="AC153" s="875">
        <v>0</v>
      </c>
      <c r="AD153" s="858">
        <v>1</v>
      </c>
      <c r="AE153" s="846" t="s">
        <v>17</v>
      </c>
      <c r="AF153" s="846" t="s">
        <v>297</v>
      </c>
      <c r="AG153" s="846" t="s">
        <v>206</v>
      </c>
      <c r="AH153" s="846" t="s">
        <v>678</v>
      </c>
      <c r="AI153" s="713" t="s">
        <v>1130</v>
      </c>
      <c r="AJ153" s="713" t="s">
        <v>1424</v>
      </c>
      <c r="AK153" s="544" t="s">
        <v>562</v>
      </c>
      <c r="AL153" s="846" t="s">
        <v>206</v>
      </c>
      <c r="AM153" s="561">
        <v>1</v>
      </c>
      <c r="AN153" s="846" t="str">
        <f t="shared" si="290"/>
        <v>Realizar reuniones de autocontrol y seguimiento a los procesos que evidencien el monitoreo a los riesgos, indicadores, planes de mejoramiento, manuales y documentos asociados</v>
      </c>
      <c r="AO153" s="857">
        <f t="shared" si="291"/>
        <v>0</v>
      </c>
      <c r="AP153" s="548" t="s">
        <v>48</v>
      </c>
      <c r="AQ153" s="547">
        <v>0.25</v>
      </c>
      <c r="AR153" s="846" t="str">
        <f>+AN153</f>
        <v>Realizar reuniones de autocontrol y seguimiento a los procesos que evidencien el monitoreo a los riesgos, indicadores, planes de mejoramiento, manuales y documentos asociados</v>
      </c>
      <c r="AS153" s="842">
        <f t="shared" si="293"/>
        <v>0</v>
      </c>
      <c r="AT153" s="634">
        <f>(9/92)</f>
        <v>9.7826086956521743E-2</v>
      </c>
      <c r="AU153" s="790">
        <v>0</v>
      </c>
      <c r="AV153" s="543">
        <f t="shared" si="294"/>
        <v>0.39130434782608697</v>
      </c>
      <c r="AW153" s="843" t="e">
        <f>+AU153/AS153</f>
        <v>#DIV/0!</v>
      </c>
      <c r="AX153" s="543">
        <f t="shared" si="296"/>
        <v>9.7826086956521743E-2</v>
      </c>
      <c r="AY153" s="843" t="e">
        <f>+AU153/AO153</f>
        <v>#DIV/0!</v>
      </c>
      <c r="AZ153" s="605" t="s">
        <v>1521</v>
      </c>
      <c r="BA153" s="547">
        <v>0.25</v>
      </c>
      <c r="BB153" s="846" t="str">
        <f t="shared" si="298"/>
        <v>Realizar reuniones de autocontrol y seguimiento a los procesos que evidencien el monitoreo a los riesgos, indicadores, planes de mejoramiento, manuales y documentos asociados</v>
      </c>
      <c r="BC153" s="842">
        <f t="shared" si="299"/>
        <v>0</v>
      </c>
      <c r="BD153" s="73"/>
      <c r="BE153" s="860"/>
      <c r="BF153" s="543">
        <f t="shared" si="300"/>
        <v>0</v>
      </c>
      <c r="BG153" s="847" t="e">
        <f>+(#REF!/#REF!)</f>
        <v>#REF!</v>
      </c>
      <c r="BH153" s="543">
        <f t="shared" si="302"/>
        <v>9.7826086956521743E-2</v>
      </c>
      <c r="BI153" s="870" t="e">
        <f>+(#REF!+#REF!)/#REF!</f>
        <v>#REF!</v>
      </c>
      <c r="BJ153" s="543"/>
      <c r="BK153" s="547">
        <v>0.25</v>
      </c>
      <c r="BL153" s="846" t="str">
        <f t="shared" si="304"/>
        <v>Realizar reuniones de autocontrol y seguimiento a los procesos que evidencien el monitoreo a los riesgos, indicadores, planes de mejoramiento, manuales y documentos asociados</v>
      </c>
      <c r="BM153" s="842">
        <f t="shared" si="305"/>
        <v>0</v>
      </c>
      <c r="BN153" s="541"/>
      <c r="BO153" s="851"/>
      <c r="BP153" s="543">
        <f t="shared" si="306"/>
        <v>0</v>
      </c>
      <c r="BQ153" s="847" t="e">
        <f>+(#REF!/#REF!)</f>
        <v>#REF!</v>
      </c>
      <c r="BR153" s="543">
        <f t="shared" si="308"/>
        <v>9.7826086956521743E-2</v>
      </c>
      <c r="BS153" s="870" t="e">
        <f>+(#REF!+#REF!+#REF!)/#REF!</f>
        <v>#REF!</v>
      </c>
      <c r="BT153" s="543"/>
      <c r="BU153" s="547">
        <v>0.25</v>
      </c>
      <c r="BV153" s="846" t="str">
        <f t="shared" si="310"/>
        <v>Realizar reuniones de autocontrol y seguimiento a los procesos que evidencien el monitoreo a los riesgos, indicadores, planes de mejoramiento, manuales y documentos asociados</v>
      </c>
      <c r="BW153" s="842">
        <f t="shared" si="311"/>
        <v>0</v>
      </c>
      <c r="BX153" s="541"/>
      <c r="BY153" s="851"/>
      <c r="BZ153" s="547">
        <f t="shared" si="312"/>
        <v>0</v>
      </c>
      <c r="CA153" s="854" t="e">
        <f>+(#REF!/#REF!)</f>
        <v>#REF!</v>
      </c>
      <c r="CB153" s="547">
        <f t="shared" si="314"/>
        <v>9.7826086956521743E-2</v>
      </c>
      <c r="CC153" s="869" t="e">
        <f>+(#REF!+#REF!+#REF!+#REF!)/#REF!</f>
        <v>#REF!</v>
      </c>
      <c r="CD153" s="547"/>
      <c r="CE153" s="546">
        <f t="shared" si="316"/>
        <v>0.39130434782608697</v>
      </c>
      <c r="CF153" s="853" t="str">
        <f>IF(AND(AS153=0,AU153=0),"No Prog ni Ejec",IF(AS153=0,CONCATENATE("No Prog, Ejec=  ",AU153),AU153/AS153))</f>
        <v>No Prog ni Ejec</v>
      </c>
      <c r="CG153" s="546">
        <f t="shared" si="318"/>
        <v>0</v>
      </c>
      <c r="CH153" s="853" t="str">
        <f>IF(AND(BC153=0,BE153=0),"No Prog ni Ejec",IF(BC153=0,CONCATENATE("No Prog, Ejec=  ",BE153),BE153/BC153))</f>
        <v>No Prog ni Ejec</v>
      </c>
      <c r="CI153" s="546">
        <f t="shared" si="320"/>
        <v>0</v>
      </c>
      <c r="CJ153" s="853" t="str">
        <f>IF(AND(BM153=0,BO153=0),"No Prog ni Ejec",IF(BM153=0,CONCATENATE("No Prog, Ejec=  ",BO153),BO153/BM153))</f>
        <v>No Prog ni Ejec</v>
      </c>
      <c r="CK153" s="546">
        <f t="shared" si="322"/>
        <v>0</v>
      </c>
      <c r="CL153" s="853" t="str">
        <f>IF(AND(BW153=0,BY153=0),"No Prog ni Ejec",IF(BW153=0,CONCATENATE("No Prog, Ejec=  ",BY153),BY153/BW153))</f>
        <v>No Prog ni Ejec</v>
      </c>
      <c r="CM153" s="157">
        <f t="shared" si="265"/>
        <v>0</v>
      </c>
      <c r="CR153" s="138">
        <v>1</v>
      </c>
      <c r="CS153" s="190"/>
      <c r="CT153" s="190"/>
      <c r="CU153" s="190"/>
      <c r="CV153" s="190"/>
      <c r="CW153" s="190"/>
      <c r="CX153" s="190"/>
      <c r="CY153" s="190"/>
      <c r="CZ153" s="190"/>
      <c r="DA153" s="190"/>
      <c r="DB153" s="190"/>
      <c r="DC153" s="190"/>
    </row>
    <row r="154" spans="1:107" s="86" customFormat="1" ht="127.5" x14ac:dyDescent="0.2">
      <c r="A154" s="541">
        <v>12000</v>
      </c>
      <c r="B154" s="544" t="s">
        <v>15</v>
      </c>
      <c r="C154" s="544" t="s">
        <v>338</v>
      </c>
      <c r="D154" s="145" t="s">
        <v>1108</v>
      </c>
      <c r="E154" s="145"/>
      <c r="F154" s="145"/>
      <c r="G154" s="145"/>
      <c r="H154" s="145"/>
      <c r="I154" s="145"/>
      <c r="J154" s="145"/>
      <c r="K154" s="145"/>
      <c r="L154" s="145"/>
      <c r="M154" s="145"/>
      <c r="N154" s="145"/>
      <c r="O154" s="145"/>
      <c r="P154" s="145"/>
      <c r="Q154" s="544" t="s">
        <v>1230</v>
      </c>
      <c r="R154" s="544" t="s">
        <v>1237</v>
      </c>
      <c r="S154" s="541" t="s">
        <v>53</v>
      </c>
      <c r="T154" s="544" t="s">
        <v>94</v>
      </c>
      <c r="U154" s="544" t="s">
        <v>206</v>
      </c>
      <c r="V154" s="544" t="s">
        <v>206</v>
      </c>
      <c r="W154" s="851"/>
      <c r="X154" s="879"/>
      <c r="Y154" s="880"/>
      <c r="Z154" s="881"/>
      <c r="AA154" s="851"/>
      <c r="AB154" s="846"/>
      <c r="AC154" s="875"/>
      <c r="AD154" s="858"/>
      <c r="AE154" s="846"/>
      <c r="AF154" s="846"/>
      <c r="AG154" s="846"/>
      <c r="AH154" s="846"/>
      <c r="AI154" s="715"/>
      <c r="AJ154" s="714"/>
      <c r="AK154" s="544" t="s">
        <v>572</v>
      </c>
      <c r="AL154" s="846"/>
      <c r="AM154" s="561">
        <v>1</v>
      </c>
      <c r="AN154" s="846"/>
      <c r="AO154" s="857"/>
      <c r="AP154" s="548" t="s">
        <v>48</v>
      </c>
      <c r="AQ154" s="547">
        <v>0.25</v>
      </c>
      <c r="AR154" s="846"/>
      <c r="AS154" s="842"/>
      <c r="AT154" s="665" t="e">
        <f>(0/0)*AQ154</f>
        <v>#DIV/0!</v>
      </c>
      <c r="AU154" s="791"/>
      <c r="AV154" s="543" t="e">
        <f t="shared" si="294"/>
        <v>#DIV/0!</v>
      </c>
      <c r="AW154" s="844"/>
      <c r="AX154" s="543" t="e">
        <f t="shared" si="296"/>
        <v>#DIV/0!</v>
      </c>
      <c r="AY154" s="835"/>
      <c r="AZ154" s="605" t="s">
        <v>1522</v>
      </c>
      <c r="BA154" s="547">
        <v>0.25</v>
      </c>
      <c r="BB154" s="846"/>
      <c r="BC154" s="842"/>
      <c r="BD154" s="73"/>
      <c r="BE154" s="860"/>
      <c r="BF154" s="543">
        <f t="shared" si="300"/>
        <v>0</v>
      </c>
      <c r="BG154" s="847"/>
      <c r="BH154" s="543" t="e">
        <f t="shared" si="302"/>
        <v>#DIV/0!</v>
      </c>
      <c r="BI154" s="847"/>
      <c r="BJ154" s="543"/>
      <c r="BK154" s="547">
        <v>0.25</v>
      </c>
      <c r="BL154" s="846"/>
      <c r="BM154" s="842"/>
      <c r="BN154" s="541"/>
      <c r="BO154" s="851"/>
      <c r="BP154" s="543">
        <f t="shared" si="306"/>
        <v>0</v>
      </c>
      <c r="BQ154" s="847"/>
      <c r="BR154" s="543" t="e">
        <f t="shared" si="308"/>
        <v>#DIV/0!</v>
      </c>
      <c r="BS154" s="847"/>
      <c r="BT154" s="543"/>
      <c r="BU154" s="547">
        <v>0.25</v>
      </c>
      <c r="BV154" s="846"/>
      <c r="BW154" s="842"/>
      <c r="BX154" s="541"/>
      <c r="BY154" s="851"/>
      <c r="BZ154" s="547">
        <f t="shared" si="312"/>
        <v>0</v>
      </c>
      <c r="CA154" s="854"/>
      <c r="CB154" s="547" t="e">
        <f t="shared" si="314"/>
        <v>#DIV/0!</v>
      </c>
      <c r="CC154" s="854"/>
      <c r="CD154" s="547"/>
      <c r="CE154" s="546" t="e">
        <f t="shared" si="316"/>
        <v>#DIV/0!</v>
      </c>
      <c r="CF154" s="853"/>
      <c r="CG154" s="546">
        <f t="shared" si="318"/>
        <v>0</v>
      </c>
      <c r="CH154" s="853"/>
      <c r="CI154" s="546">
        <f t="shared" si="320"/>
        <v>0</v>
      </c>
      <c r="CJ154" s="853"/>
      <c r="CK154" s="546">
        <f t="shared" si="322"/>
        <v>0</v>
      </c>
      <c r="CL154" s="853"/>
      <c r="CM154" s="157">
        <f t="shared" si="265"/>
        <v>0</v>
      </c>
      <c r="CR154" s="138">
        <v>1</v>
      </c>
      <c r="CS154" s="190"/>
      <c r="CT154" s="190"/>
      <c r="CU154" s="190"/>
      <c r="CV154" s="190"/>
      <c r="CW154" s="190"/>
      <c r="CX154" s="190"/>
      <c r="CY154" s="190"/>
      <c r="CZ154" s="190"/>
      <c r="DA154" s="190"/>
      <c r="DB154" s="190"/>
      <c r="DC154" s="190"/>
    </row>
    <row r="155" spans="1:107" s="86" customFormat="1" ht="105.75" customHeight="1" x14ac:dyDescent="0.2">
      <c r="A155" s="541">
        <v>12000</v>
      </c>
      <c r="B155" s="544" t="s">
        <v>15</v>
      </c>
      <c r="C155" s="544" t="s">
        <v>338</v>
      </c>
      <c r="D155" s="145" t="s">
        <v>1108</v>
      </c>
      <c r="E155" s="145"/>
      <c r="F155" s="145"/>
      <c r="G155" s="145" t="s">
        <v>1108</v>
      </c>
      <c r="H155" s="145"/>
      <c r="I155" s="145"/>
      <c r="J155" s="145"/>
      <c r="K155" s="145"/>
      <c r="L155" s="145"/>
      <c r="M155" s="145"/>
      <c r="N155" s="145"/>
      <c r="O155" s="145"/>
      <c r="P155" s="145"/>
      <c r="Q155" s="544" t="s">
        <v>1230</v>
      </c>
      <c r="R155" s="544" t="s">
        <v>1237</v>
      </c>
      <c r="S155" s="541" t="s">
        <v>53</v>
      </c>
      <c r="T155" s="544" t="s">
        <v>94</v>
      </c>
      <c r="U155" s="544" t="s">
        <v>206</v>
      </c>
      <c r="V155" s="544" t="s">
        <v>206</v>
      </c>
      <c r="W155" s="541" t="s">
        <v>1044</v>
      </c>
      <c r="X155" s="544" t="s">
        <v>1423</v>
      </c>
      <c r="Y155" s="60" t="s">
        <v>394</v>
      </c>
      <c r="Z155" s="78">
        <v>2</v>
      </c>
      <c r="AA155" s="851"/>
      <c r="AB155" s="846"/>
      <c r="AC155" s="875"/>
      <c r="AD155" s="858"/>
      <c r="AE155" s="846"/>
      <c r="AF155" s="846"/>
      <c r="AG155" s="846"/>
      <c r="AH155" s="846"/>
      <c r="AI155" s="568" t="s">
        <v>1136</v>
      </c>
      <c r="AJ155" s="567"/>
      <c r="AK155" s="544" t="s">
        <v>569</v>
      </c>
      <c r="AL155" s="846"/>
      <c r="AM155" s="78">
        <v>2</v>
      </c>
      <c r="AN155" s="846"/>
      <c r="AO155" s="857"/>
      <c r="AP155" s="548" t="s">
        <v>48</v>
      </c>
      <c r="AQ155" s="66">
        <v>0</v>
      </c>
      <c r="AR155" s="846"/>
      <c r="AS155" s="842"/>
      <c r="AT155" s="665">
        <v>0</v>
      </c>
      <c r="AU155" s="792"/>
      <c r="AV155" s="543" t="e">
        <f t="shared" si="294"/>
        <v>#DIV/0!</v>
      </c>
      <c r="AW155" s="845"/>
      <c r="AX155" s="543">
        <f t="shared" si="296"/>
        <v>0</v>
      </c>
      <c r="AY155" s="796"/>
      <c r="AZ155" s="605" t="s">
        <v>1523</v>
      </c>
      <c r="BA155" s="78">
        <v>1</v>
      </c>
      <c r="BB155" s="846"/>
      <c r="BC155" s="842"/>
      <c r="BD155" s="73"/>
      <c r="BE155" s="860"/>
      <c r="BF155" s="543">
        <f t="shared" si="300"/>
        <v>0</v>
      </c>
      <c r="BG155" s="847"/>
      <c r="BH155" s="543">
        <f t="shared" si="302"/>
        <v>0</v>
      </c>
      <c r="BI155" s="847"/>
      <c r="BJ155" s="543"/>
      <c r="BK155" s="78">
        <v>0</v>
      </c>
      <c r="BL155" s="846"/>
      <c r="BM155" s="842"/>
      <c r="BN155" s="541"/>
      <c r="BO155" s="851"/>
      <c r="BP155" s="543" t="e">
        <f t="shared" si="306"/>
        <v>#DIV/0!</v>
      </c>
      <c r="BQ155" s="847"/>
      <c r="BR155" s="543">
        <f t="shared" si="308"/>
        <v>0</v>
      </c>
      <c r="BS155" s="847"/>
      <c r="BT155" s="543"/>
      <c r="BU155" s="78">
        <v>1</v>
      </c>
      <c r="BV155" s="846"/>
      <c r="BW155" s="842"/>
      <c r="BX155" s="541"/>
      <c r="BY155" s="851"/>
      <c r="BZ155" s="547">
        <f t="shared" si="312"/>
        <v>0</v>
      </c>
      <c r="CA155" s="854"/>
      <c r="CB155" s="547">
        <f t="shared" si="314"/>
        <v>0</v>
      </c>
      <c r="CC155" s="854"/>
      <c r="CD155" s="547"/>
      <c r="CE155" s="546" t="str">
        <f t="shared" si="316"/>
        <v>No Prog ni Ejec</v>
      </c>
      <c r="CF155" s="853"/>
      <c r="CG155" s="546">
        <f t="shared" si="318"/>
        <v>0</v>
      </c>
      <c r="CH155" s="853"/>
      <c r="CI155" s="546" t="str">
        <f t="shared" si="320"/>
        <v>No Prog ni Ejec</v>
      </c>
      <c r="CJ155" s="853"/>
      <c r="CK155" s="546">
        <f t="shared" si="322"/>
        <v>0</v>
      </c>
      <c r="CL155" s="853"/>
      <c r="CM155" s="157">
        <f t="shared" si="265"/>
        <v>0</v>
      </c>
      <c r="CR155" s="138">
        <v>1</v>
      </c>
      <c r="CS155" s="190"/>
      <c r="CT155" s="190"/>
      <c r="CU155" s="190"/>
      <c r="CV155" s="190"/>
      <c r="CW155" s="190"/>
      <c r="CX155" s="190"/>
      <c r="CY155" s="190"/>
      <c r="CZ155" s="190"/>
      <c r="DA155" s="190"/>
      <c r="DB155" s="190"/>
      <c r="DC155" s="190"/>
    </row>
    <row r="156" spans="1:107" s="86" customFormat="1" ht="229.5" x14ac:dyDescent="0.2">
      <c r="A156" s="541">
        <v>12000</v>
      </c>
      <c r="B156" s="544" t="s">
        <v>15</v>
      </c>
      <c r="C156" s="544" t="s">
        <v>338</v>
      </c>
      <c r="D156" s="145" t="s">
        <v>1108</v>
      </c>
      <c r="E156" s="145"/>
      <c r="F156" s="145"/>
      <c r="G156" s="145"/>
      <c r="H156" s="145"/>
      <c r="I156" s="145"/>
      <c r="J156" s="145"/>
      <c r="K156" s="145"/>
      <c r="L156" s="145"/>
      <c r="M156" s="145"/>
      <c r="N156" s="145"/>
      <c r="O156" s="145"/>
      <c r="P156" s="145"/>
      <c r="Q156" s="544" t="s">
        <v>1230</v>
      </c>
      <c r="R156" s="544" t="s">
        <v>1245</v>
      </c>
      <c r="S156" s="541" t="s">
        <v>53</v>
      </c>
      <c r="T156" s="544" t="s">
        <v>94</v>
      </c>
      <c r="U156" s="544" t="s">
        <v>206</v>
      </c>
      <c r="V156" s="544" t="s">
        <v>206</v>
      </c>
      <c r="W156" s="541" t="s">
        <v>1045</v>
      </c>
      <c r="X156" s="544" t="s">
        <v>574</v>
      </c>
      <c r="Y156" s="60" t="s">
        <v>394</v>
      </c>
      <c r="Z156" s="78">
        <v>1</v>
      </c>
      <c r="AA156" s="541" t="s">
        <v>1036</v>
      </c>
      <c r="AB156" s="544" t="s">
        <v>573</v>
      </c>
      <c r="AC156" s="558">
        <v>0</v>
      </c>
      <c r="AD156" s="545">
        <v>1</v>
      </c>
      <c r="AE156" s="544" t="s">
        <v>17</v>
      </c>
      <c r="AF156" s="544" t="s">
        <v>303</v>
      </c>
      <c r="AG156" s="544" t="s">
        <v>206</v>
      </c>
      <c r="AH156" s="544" t="s">
        <v>678</v>
      </c>
      <c r="AI156" s="544" t="s">
        <v>1130</v>
      </c>
      <c r="AJ156" s="544" t="s">
        <v>1410</v>
      </c>
      <c r="AK156" s="544" t="s">
        <v>575</v>
      </c>
      <c r="AL156" s="544" t="s">
        <v>206</v>
      </c>
      <c r="AM156" s="78">
        <v>1</v>
      </c>
      <c r="AN156" s="544" t="str">
        <f t="shared" si="290"/>
        <v>Disposición de instrumento en página web, con el fin de que la ciudadanía y partes interesadas realicen observaciones, recomendaciones y comentarios al Mapa de Riesgos Operativos, de Corrupción y de Seguridad Digital actualizado y al Plan de Acción</v>
      </c>
      <c r="AO156" s="550">
        <f t="shared" si="291"/>
        <v>0</v>
      </c>
      <c r="AP156" s="548" t="s">
        <v>48</v>
      </c>
      <c r="AQ156" s="66">
        <v>1</v>
      </c>
      <c r="AR156" s="544" t="str">
        <f t="shared" si="292"/>
        <v>Disposición de instrumento en página web, con el fin de que la ciudadanía y partes interesadas realicen observaciones, recomendaciones y comentarios al Mapa de Riesgos Operativos, de Corrupción y de Seguridad Digital actualizado y al Plan de Acción</v>
      </c>
      <c r="AS156" s="542">
        <f t="shared" si="293"/>
        <v>0</v>
      </c>
      <c r="AT156" s="603">
        <v>1</v>
      </c>
      <c r="AU156" s="627">
        <v>0</v>
      </c>
      <c r="AV156" s="543">
        <f t="shared" si="294"/>
        <v>1</v>
      </c>
      <c r="AW156" s="543" t="e">
        <f t="shared" si="295"/>
        <v>#DIV/0!</v>
      </c>
      <c r="AX156" s="543">
        <f t="shared" si="296"/>
        <v>1</v>
      </c>
      <c r="AY156" s="543" t="e">
        <f t="shared" si="297"/>
        <v>#DIV/0!</v>
      </c>
      <c r="AZ156" s="629" t="s">
        <v>1524</v>
      </c>
      <c r="BA156" s="78">
        <v>0</v>
      </c>
      <c r="BB156" s="544" t="str">
        <f t="shared" si="298"/>
        <v>Disposición de instrumento en página web, con el fin de que la ciudadanía y partes interesadas realicen observaciones, recomendaciones y comentarios al Mapa de Riesgos Operativos, de Corrupción y de Seguridad Digital actualizado y al Plan de Acción</v>
      </c>
      <c r="BC156" s="542">
        <f t="shared" si="299"/>
        <v>0</v>
      </c>
      <c r="BD156" s="73"/>
      <c r="BE156" s="73"/>
      <c r="BF156" s="543" t="e">
        <f t="shared" si="300"/>
        <v>#DIV/0!</v>
      </c>
      <c r="BG156" s="543" t="e">
        <f t="shared" si="301"/>
        <v>#DIV/0!</v>
      </c>
      <c r="BH156" s="543">
        <f t="shared" si="302"/>
        <v>1</v>
      </c>
      <c r="BI156" s="543" t="e">
        <f t="shared" si="303"/>
        <v>#DIV/0!</v>
      </c>
      <c r="BJ156" s="543"/>
      <c r="BK156" s="78">
        <v>0</v>
      </c>
      <c r="BL156" s="544" t="str">
        <f t="shared" si="304"/>
        <v>Disposición de instrumento en página web, con el fin de que la ciudadanía y partes interesadas realicen observaciones, recomendaciones y comentarios al Mapa de Riesgos Operativos, de Corrupción y de Seguridad Digital actualizado y al Plan de Acción</v>
      </c>
      <c r="BM156" s="542">
        <f t="shared" si="305"/>
        <v>0</v>
      </c>
      <c r="BN156" s="541"/>
      <c r="BO156" s="541"/>
      <c r="BP156" s="543" t="e">
        <f t="shared" si="306"/>
        <v>#DIV/0!</v>
      </c>
      <c r="BQ156" s="543" t="e">
        <f t="shared" si="307"/>
        <v>#DIV/0!</v>
      </c>
      <c r="BR156" s="543">
        <f t="shared" si="308"/>
        <v>1</v>
      </c>
      <c r="BS156" s="543" t="e">
        <f t="shared" si="309"/>
        <v>#DIV/0!</v>
      </c>
      <c r="BT156" s="543"/>
      <c r="BU156" s="78">
        <v>0</v>
      </c>
      <c r="BV156" s="544" t="str">
        <f t="shared" si="310"/>
        <v>Disposición de instrumento en página web, con el fin de que la ciudadanía y partes interesadas realicen observaciones, recomendaciones y comentarios al Mapa de Riesgos Operativos, de Corrupción y de Seguridad Digital actualizado y al Plan de Acción</v>
      </c>
      <c r="BW156" s="542">
        <f t="shared" si="311"/>
        <v>0</v>
      </c>
      <c r="BX156" s="541"/>
      <c r="BY156" s="541"/>
      <c r="BZ156" s="547" t="e">
        <f t="shared" si="312"/>
        <v>#DIV/0!</v>
      </c>
      <c r="CA156" s="547" t="e">
        <f t="shared" si="313"/>
        <v>#DIV/0!</v>
      </c>
      <c r="CB156" s="547">
        <f t="shared" si="314"/>
        <v>1</v>
      </c>
      <c r="CC156" s="547" t="e">
        <f t="shared" si="315"/>
        <v>#DIV/0!</v>
      </c>
      <c r="CD156" s="547"/>
      <c r="CE156" s="546">
        <f t="shared" si="316"/>
        <v>1</v>
      </c>
      <c r="CF156" s="546" t="str">
        <f t="shared" si="317"/>
        <v>No Prog ni Ejec</v>
      </c>
      <c r="CG156" s="546" t="str">
        <f t="shared" si="318"/>
        <v>No Prog ni Ejec</v>
      </c>
      <c r="CH156" s="546" t="str">
        <f t="shared" si="319"/>
        <v>No Prog ni Ejec</v>
      </c>
      <c r="CI156" s="546" t="str">
        <f t="shared" si="320"/>
        <v>No Prog ni Ejec</v>
      </c>
      <c r="CJ156" s="546" t="str">
        <f t="shared" si="321"/>
        <v>No Prog ni Ejec</v>
      </c>
      <c r="CK156" s="546" t="str">
        <f t="shared" si="322"/>
        <v>No Prog ni Ejec</v>
      </c>
      <c r="CL156" s="546" t="str">
        <f t="shared" si="323"/>
        <v>No Prog ni Ejec</v>
      </c>
      <c r="CM156" s="157">
        <f t="shared" si="265"/>
        <v>0</v>
      </c>
      <c r="CR156" s="138">
        <v>1</v>
      </c>
      <c r="CS156" s="190"/>
      <c r="CT156" s="190"/>
      <c r="CU156" s="190"/>
      <c r="CV156" s="190"/>
      <c r="CW156" s="190"/>
      <c r="CX156" s="190"/>
      <c r="CY156" s="190"/>
      <c r="CZ156" s="190"/>
      <c r="DA156" s="190"/>
      <c r="DB156" s="190"/>
      <c r="DC156" s="190"/>
    </row>
    <row r="157" spans="1:107" s="86" customFormat="1" ht="102" x14ac:dyDescent="0.2">
      <c r="A157" s="541">
        <v>12000</v>
      </c>
      <c r="B157" s="544" t="s">
        <v>15</v>
      </c>
      <c r="C157" s="544" t="s">
        <v>338</v>
      </c>
      <c r="D157" s="145" t="s">
        <v>1108</v>
      </c>
      <c r="E157" s="145"/>
      <c r="F157" s="145"/>
      <c r="G157" s="145"/>
      <c r="H157" s="145"/>
      <c r="I157" s="145"/>
      <c r="J157" s="145"/>
      <c r="K157" s="145"/>
      <c r="L157" s="145"/>
      <c r="M157" s="145"/>
      <c r="N157" s="145"/>
      <c r="O157" s="145"/>
      <c r="P157" s="145"/>
      <c r="Q157" s="544" t="s">
        <v>1232</v>
      </c>
      <c r="R157" s="544" t="s">
        <v>1235</v>
      </c>
      <c r="S157" s="541" t="s">
        <v>53</v>
      </c>
      <c r="T157" s="544" t="s">
        <v>94</v>
      </c>
      <c r="U157" s="544" t="s">
        <v>206</v>
      </c>
      <c r="V157" s="544" t="s">
        <v>206</v>
      </c>
      <c r="W157" s="541" t="s">
        <v>1046</v>
      </c>
      <c r="X157" s="544" t="s">
        <v>581</v>
      </c>
      <c r="Y157" s="60" t="s">
        <v>394</v>
      </c>
      <c r="Z157" s="78">
        <v>1</v>
      </c>
      <c r="AA157" s="541" t="s">
        <v>1037</v>
      </c>
      <c r="AB157" s="544" t="s">
        <v>579</v>
      </c>
      <c r="AC157" s="558">
        <v>0</v>
      </c>
      <c r="AD157" s="545">
        <v>1</v>
      </c>
      <c r="AE157" s="544" t="s">
        <v>18</v>
      </c>
      <c r="AF157" s="544" t="s">
        <v>24</v>
      </c>
      <c r="AG157" s="544" t="s">
        <v>206</v>
      </c>
      <c r="AH157" s="544" t="s">
        <v>678</v>
      </c>
      <c r="AI157" s="544" t="s">
        <v>29</v>
      </c>
      <c r="AJ157" s="544" t="s">
        <v>1410</v>
      </c>
      <c r="AK157" s="544" t="s">
        <v>580</v>
      </c>
      <c r="AL157" s="544" t="s">
        <v>298</v>
      </c>
      <c r="AM157" s="78">
        <v>1</v>
      </c>
      <c r="AN157" s="544" t="str">
        <f t="shared" si="290"/>
        <v>Organizar la publicación de la información sobre la gestión de la entidad para proporcionar información relevante a los grupos de interés</v>
      </c>
      <c r="AO157" s="550">
        <f t="shared" si="291"/>
        <v>0</v>
      </c>
      <c r="AP157" s="548" t="s">
        <v>48</v>
      </c>
      <c r="AQ157" s="66">
        <v>0</v>
      </c>
      <c r="AR157" s="544" t="str">
        <f t="shared" si="292"/>
        <v>Organizar la publicación de la información sobre la gestión de la entidad para proporcionar información relevante a los grupos de interés</v>
      </c>
      <c r="AS157" s="542">
        <f t="shared" si="293"/>
        <v>0</v>
      </c>
      <c r="AT157" s="603">
        <v>0</v>
      </c>
      <c r="AU157" s="627">
        <v>0</v>
      </c>
      <c r="AV157" s="543" t="e">
        <f t="shared" si="294"/>
        <v>#DIV/0!</v>
      </c>
      <c r="AW157" s="543" t="e">
        <f t="shared" si="295"/>
        <v>#DIV/0!</v>
      </c>
      <c r="AX157" s="543">
        <f t="shared" si="296"/>
        <v>0</v>
      </c>
      <c r="AY157" s="543" t="e">
        <f t="shared" si="297"/>
        <v>#DIV/0!</v>
      </c>
      <c r="AZ157" s="624" t="s">
        <v>1525</v>
      </c>
      <c r="BA157" s="78">
        <v>1</v>
      </c>
      <c r="BB157" s="544" t="str">
        <f t="shared" si="298"/>
        <v>Organizar la publicación de la información sobre la gestión de la entidad para proporcionar información relevante a los grupos de interés</v>
      </c>
      <c r="BC157" s="542">
        <f t="shared" si="299"/>
        <v>0</v>
      </c>
      <c r="BD157" s="73"/>
      <c r="BE157" s="73"/>
      <c r="BF157" s="543">
        <f t="shared" si="300"/>
        <v>0</v>
      </c>
      <c r="BG157" s="543" t="e">
        <f t="shared" si="301"/>
        <v>#DIV/0!</v>
      </c>
      <c r="BH157" s="543">
        <f t="shared" si="302"/>
        <v>0</v>
      </c>
      <c r="BI157" s="543" t="e">
        <f t="shared" si="303"/>
        <v>#DIV/0!</v>
      </c>
      <c r="BJ157" s="543"/>
      <c r="BK157" s="78">
        <v>0</v>
      </c>
      <c r="BL157" s="544" t="str">
        <f t="shared" si="304"/>
        <v>Organizar la publicación de la información sobre la gestión de la entidad para proporcionar información relevante a los grupos de interés</v>
      </c>
      <c r="BM157" s="542">
        <f t="shared" si="305"/>
        <v>0</v>
      </c>
      <c r="BN157" s="541"/>
      <c r="BO157" s="541"/>
      <c r="BP157" s="543" t="e">
        <f t="shared" si="306"/>
        <v>#DIV/0!</v>
      </c>
      <c r="BQ157" s="543" t="e">
        <f t="shared" si="307"/>
        <v>#DIV/0!</v>
      </c>
      <c r="BR157" s="543">
        <f t="shared" si="308"/>
        <v>0</v>
      </c>
      <c r="BS157" s="543" t="e">
        <f t="shared" si="309"/>
        <v>#DIV/0!</v>
      </c>
      <c r="BT157" s="543"/>
      <c r="BU157" s="78">
        <v>0</v>
      </c>
      <c r="BV157" s="544" t="str">
        <f t="shared" si="310"/>
        <v>Organizar la publicación de la información sobre la gestión de la entidad para proporcionar información relevante a los grupos de interés</v>
      </c>
      <c r="BW157" s="542">
        <f t="shared" si="311"/>
        <v>0</v>
      </c>
      <c r="BX157" s="541"/>
      <c r="BY157" s="541"/>
      <c r="BZ157" s="547" t="e">
        <f t="shared" si="312"/>
        <v>#DIV/0!</v>
      </c>
      <c r="CA157" s="547" t="e">
        <f t="shared" si="313"/>
        <v>#DIV/0!</v>
      </c>
      <c r="CB157" s="547">
        <f t="shared" si="314"/>
        <v>0</v>
      </c>
      <c r="CC157" s="547" t="e">
        <f t="shared" si="315"/>
        <v>#DIV/0!</v>
      </c>
      <c r="CD157" s="547"/>
      <c r="CE157" s="546" t="str">
        <f t="shared" si="316"/>
        <v>No Prog ni Ejec</v>
      </c>
      <c r="CF157" s="546" t="str">
        <f t="shared" si="317"/>
        <v>No Prog ni Ejec</v>
      </c>
      <c r="CG157" s="546">
        <f t="shared" si="318"/>
        <v>0</v>
      </c>
      <c r="CH157" s="546" t="str">
        <f t="shared" si="319"/>
        <v>No Prog ni Ejec</v>
      </c>
      <c r="CI157" s="546" t="str">
        <f t="shared" si="320"/>
        <v>No Prog ni Ejec</v>
      </c>
      <c r="CJ157" s="546" t="str">
        <f t="shared" si="321"/>
        <v>No Prog ni Ejec</v>
      </c>
      <c r="CK157" s="546" t="str">
        <f t="shared" si="322"/>
        <v>No Prog ni Ejec</v>
      </c>
      <c r="CL157" s="546" t="str">
        <f t="shared" si="323"/>
        <v>No Prog ni Ejec</v>
      </c>
      <c r="CM157" s="157">
        <f t="shared" si="265"/>
        <v>0</v>
      </c>
      <c r="CR157" s="138">
        <v>1</v>
      </c>
      <c r="CS157" s="190"/>
      <c r="CT157" s="190"/>
      <c r="CU157" s="190"/>
      <c r="CV157" s="190"/>
      <c r="CW157" s="190"/>
      <c r="CX157" s="190"/>
      <c r="CY157" s="190"/>
      <c r="CZ157" s="190"/>
      <c r="DA157" s="190"/>
      <c r="DB157" s="190"/>
      <c r="DC157" s="190"/>
    </row>
    <row r="158" spans="1:107" s="86" customFormat="1" ht="109.5" customHeight="1" x14ac:dyDescent="0.2">
      <c r="A158" s="541">
        <v>12000</v>
      </c>
      <c r="B158" s="544" t="s">
        <v>15</v>
      </c>
      <c r="C158" s="544" t="s">
        <v>338</v>
      </c>
      <c r="D158" s="145" t="s">
        <v>1108</v>
      </c>
      <c r="E158" s="145"/>
      <c r="F158" s="145"/>
      <c r="G158" s="145"/>
      <c r="H158" s="145"/>
      <c r="I158" s="145"/>
      <c r="J158" s="145"/>
      <c r="K158" s="145"/>
      <c r="L158" s="145"/>
      <c r="M158" s="145"/>
      <c r="N158" s="145"/>
      <c r="O158" s="145"/>
      <c r="P158" s="145"/>
      <c r="Q158" s="544" t="s">
        <v>1232</v>
      </c>
      <c r="R158" s="544" t="s">
        <v>1235</v>
      </c>
      <c r="S158" s="541" t="s">
        <v>53</v>
      </c>
      <c r="T158" s="544" t="s">
        <v>94</v>
      </c>
      <c r="U158" s="544" t="s">
        <v>206</v>
      </c>
      <c r="V158" s="544" t="s">
        <v>206</v>
      </c>
      <c r="W158" s="541" t="s">
        <v>1047</v>
      </c>
      <c r="X158" s="544" t="s">
        <v>583</v>
      </c>
      <c r="Y158" s="60" t="s">
        <v>394</v>
      </c>
      <c r="Z158" s="78">
        <v>1</v>
      </c>
      <c r="AA158" s="541" t="s">
        <v>1038</v>
      </c>
      <c r="AB158" s="544" t="s">
        <v>582</v>
      </c>
      <c r="AC158" s="558">
        <v>0</v>
      </c>
      <c r="AD158" s="545">
        <v>1</v>
      </c>
      <c r="AE158" s="544" t="s">
        <v>18</v>
      </c>
      <c r="AF158" s="544" t="s">
        <v>24</v>
      </c>
      <c r="AG158" s="544" t="s">
        <v>206</v>
      </c>
      <c r="AH158" s="544" t="s">
        <v>678</v>
      </c>
      <c r="AI158" s="544" t="s">
        <v>1136</v>
      </c>
      <c r="AJ158" s="544" t="s">
        <v>1410</v>
      </c>
      <c r="AK158" s="544" t="s">
        <v>584</v>
      </c>
      <c r="AL158" s="544" t="s">
        <v>40</v>
      </c>
      <c r="AM158" s="78">
        <v>1</v>
      </c>
      <c r="AN158" s="544" t="str">
        <f t="shared" si="290"/>
        <v>Elaborar y publicar el informe de gestión de la entidad vigencia 2018</v>
      </c>
      <c r="AO158" s="550">
        <f t="shared" si="291"/>
        <v>0</v>
      </c>
      <c r="AP158" s="548" t="s">
        <v>48</v>
      </c>
      <c r="AQ158" s="66">
        <v>1</v>
      </c>
      <c r="AR158" s="544" t="str">
        <f t="shared" si="292"/>
        <v>Elaborar y publicar el informe de gestión de la entidad vigencia 2018</v>
      </c>
      <c r="AS158" s="542">
        <f t="shared" si="293"/>
        <v>0</v>
      </c>
      <c r="AT158" s="603">
        <v>1</v>
      </c>
      <c r="AU158" s="627">
        <v>0</v>
      </c>
      <c r="AV158" s="543">
        <f t="shared" si="294"/>
        <v>1</v>
      </c>
      <c r="AW158" s="543" t="e">
        <f t="shared" si="295"/>
        <v>#DIV/0!</v>
      </c>
      <c r="AX158" s="543">
        <f t="shared" si="296"/>
        <v>1</v>
      </c>
      <c r="AY158" s="543" t="e">
        <f t="shared" si="297"/>
        <v>#DIV/0!</v>
      </c>
      <c r="AZ158" s="629" t="s">
        <v>1526</v>
      </c>
      <c r="BA158" s="78">
        <v>0</v>
      </c>
      <c r="BB158" s="544" t="str">
        <f t="shared" si="298"/>
        <v>Elaborar y publicar el informe de gestión de la entidad vigencia 2018</v>
      </c>
      <c r="BC158" s="542">
        <f t="shared" si="299"/>
        <v>0</v>
      </c>
      <c r="BD158" s="73"/>
      <c r="BE158" s="73"/>
      <c r="BF158" s="543" t="e">
        <f t="shared" si="300"/>
        <v>#DIV/0!</v>
      </c>
      <c r="BG158" s="543" t="e">
        <f t="shared" si="301"/>
        <v>#DIV/0!</v>
      </c>
      <c r="BH158" s="543">
        <f t="shared" si="302"/>
        <v>1</v>
      </c>
      <c r="BI158" s="543" t="e">
        <f t="shared" si="303"/>
        <v>#DIV/0!</v>
      </c>
      <c r="BJ158" s="543"/>
      <c r="BK158" s="78">
        <v>0</v>
      </c>
      <c r="BL158" s="544" t="str">
        <f t="shared" si="304"/>
        <v>Elaborar y publicar el informe de gestión de la entidad vigencia 2018</v>
      </c>
      <c r="BM158" s="542">
        <f t="shared" si="305"/>
        <v>0</v>
      </c>
      <c r="BN158" s="541"/>
      <c r="BO158" s="541"/>
      <c r="BP158" s="543" t="e">
        <f t="shared" si="306"/>
        <v>#DIV/0!</v>
      </c>
      <c r="BQ158" s="543" t="e">
        <f t="shared" si="307"/>
        <v>#DIV/0!</v>
      </c>
      <c r="BR158" s="543">
        <f t="shared" si="308"/>
        <v>1</v>
      </c>
      <c r="BS158" s="543" t="e">
        <f t="shared" si="309"/>
        <v>#DIV/0!</v>
      </c>
      <c r="BT158" s="543"/>
      <c r="BU158" s="78">
        <v>0</v>
      </c>
      <c r="BV158" s="544" t="str">
        <f t="shared" si="310"/>
        <v>Elaborar y publicar el informe de gestión de la entidad vigencia 2018</v>
      </c>
      <c r="BW158" s="542">
        <f t="shared" si="311"/>
        <v>0</v>
      </c>
      <c r="BX158" s="541"/>
      <c r="BY158" s="541"/>
      <c r="BZ158" s="547" t="e">
        <f t="shared" si="312"/>
        <v>#DIV/0!</v>
      </c>
      <c r="CA158" s="547" t="e">
        <f t="shared" si="313"/>
        <v>#DIV/0!</v>
      </c>
      <c r="CB158" s="547">
        <f t="shared" si="314"/>
        <v>1</v>
      </c>
      <c r="CC158" s="547" t="e">
        <f t="shared" si="315"/>
        <v>#DIV/0!</v>
      </c>
      <c r="CD158" s="547"/>
      <c r="CE158" s="546">
        <f t="shared" si="316"/>
        <v>1</v>
      </c>
      <c r="CF158" s="546" t="str">
        <f t="shared" si="317"/>
        <v>No Prog ni Ejec</v>
      </c>
      <c r="CG158" s="546" t="str">
        <f t="shared" si="318"/>
        <v>No Prog ni Ejec</v>
      </c>
      <c r="CH158" s="546" t="str">
        <f t="shared" si="319"/>
        <v>No Prog ni Ejec</v>
      </c>
      <c r="CI158" s="546" t="str">
        <f t="shared" si="320"/>
        <v>No Prog ni Ejec</v>
      </c>
      <c r="CJ158" s="546" t="str">
        <f t="shared" si="321"/>
        <v>No Prog ni Ejec</v>
      </c>
      <c r="CK158" s="546" t="str">
        <f t="shared" si="322"/>
        <v>No Prog ni Ejec</v>
      </c>
      <c r="CL158" s="546" t="str">
        <f t="shared" si="323"/>
        <v>No Prog ni Ejec</v>
      </c>
      <c r="CM158" s="157">
        <f t="shared" si="265"/>
        <v>0</v>
      </c>
      <c r="CR158" s="138">
        <v>1</v>
      </c>
      <c r="CS158" s="190"/>
      <c r="CT158" s="190"/>
      <c r="CU158" s="190"/>
      <c r="CV158" s="190"/>
      <c r="CW158" s="190"/>
      <c r="CX158" s="190"/>
      <c r="CY158" s="190"/>
      <c r="CZ158" s="190"/>
      <c r="DA158" s="190"/>
      <c r="DB158" s="190"/>
      <c r="DC158" s="190"/>
    </row>
    <row r="159" spans="1:107" s="86" customFormat="1" ht="118.5" customHeight="1" x14ac:dyDescent="0.2">
      <c r="A159" s="541">
        <v>12000</v>
      </c>
      <c r="B159" s="544" t="s">
        <v>15</v>
      </c>
      <c r="C159" s="544" t="s">
        <v>338</v>
      </c>
      <c r="D159" s="145" t="s">
        <v>1108</v>
      </c>
      <c r="E159" s="145"/>
      <c r="F159" s="145"/>
      <c r="G159" s="145"/>
      <c r="H159" s="145"/>
      <c r="I159" s="145"/>
      <c r="J159" s="145"/>
      <c r="K159" s="145"/>
      <c r="L159" s="145"/>
      <c r="M159" s="145"/>
      <c r="N159" s="145"/>
      <c r="O159" s="145"/>
      <c r="P159" s="145"/>
      <c r="Q159" s="544" t="s">
        <v>1232</v>
      </c>
      <c r="R159" s="544" t="s">
        <v>1246</v>
      </c>
      <c r="S159" s="541" t="s">
        <v>53</v>
      </c>
      <c r="T159" s="544" t="s">
        <v>94</v>
      </c>
      <c r="U159" s="544" t="s">
        <v>206</v>
      </c>
      <c r="V159" s="544" t="s">
        <v>206</v>
      </c>
      <c r="W159" s="541" t="s">
        <v>1048</v>
      </c>
      <c r="X159" s="544" t="s">
        <v>586</v>
      </c>
      <c r="Y159" s="60" t="s">
        <v>394</v>
      </c>
      <c r="Z159" s="78">
        <v>1</v>
      </c>
      <c r="AA159" s="541" t="s">
        <v>1039</v>
      </c>
      <c r="AB159" s="544" t="s">
        <v>585</v>
      </c>
      <c r="AC159" s="558">
        <v>0</v>
      </c>
      <c r="AD159" s="545">
        <v>1</v>
      </c>
      <c r="AE159" s="544" t="s">
        <v>289</v>
      </c>
      <c r="AF159" s="544" t="s">
        <v>306</v>
      </c>
      <c r="AG159" s="544" t="s">
        <v>206</v>
      </c>
      <c r="AH159" s="544" t="s">
        <v>678</v>
      </c>
      <c r="AI159" s="544" t="s">
        <v>1140</v>
      </c>
      <c r="AJ159" s="544" t="s">
        <v>1388</v>
      </c>
      <c r="AK159" s="544" t="s">
        <v>587</v>
      </c>
      <c r="AL159" s="544" t="s">
        <v>40</v>
      </c>
      <c r="AM159" s="78">
        <v>1</v>
      </c>
      <c r="AN159" s="544" t="str">
        <f t="shared" si="290"/>
        <v>Autoevaluar el cumplimiento de la estrategia de rendición de cuentas implementada por la entidad.</v>
      </c>
      <c r="AO159" s="550">
        <f t="shared" si="291"/>
        <v>0</v>
      </c>
      <c r="AP159" s="548" t="s">
        <v>48</v>
      </c>
      <c r="AQ159" s="66">
        <v>1</v>
      </c>
      <c r="AR159" s="544" t="str">
        <f t="shared" si="292"/>
        <v>Autoevaluar el cumplimiento de la estrategia de rendición de cuentas implementada por la entidad.</v>
      </c>
      <c r="AS159" s="542">
        <f t="shared" si="293"/>
        <v>0</v>
      </c>
      <c r="AT159" s="696">
        <v>1</v>
      </c>
      <c r="AU159" s="627">
        <v>0</v>
      </c>
      <c r="AV159" s="543">
        <f t="shared" si="294"/>
        <v>1</v>
      </c>
      <c r="AW159" s="543" t="e">
        <f t="shared" si="295"/>
        <v>#DIV/0!</v>
      </c>
      <c r="AX159" s="543">
        <f t="shared" si="296"/>
        <v>1</v>
      </c>
      <c r="AY159" s="543" t="e">
        <f t="shared" si="297"/>
        <v>#DIV/0!</v>
      </c>
      <c r="AZ159" s="624"/>
      <c r="BA159" s="78">
        <v>0</v>
      </c>
      <c r="BB159" s="544" t="str">
        <f t="shared" si="298"/>
        <v>Autoevaluar el cumplimiento de la estrategia de rendición de cuentas implementada por la entidad.</v>
      </c>
      <c r="BC159" s="542">
        <f t="shared" si="299"/>
        <v>0</v>
      </c>
      <c r="BD159" s="73"/>
      <c r="BE159" s="73"/>
      <c r="BF159" s="543" t="e">
        <f t="shared" si="300"/>
        <v>#DIV/0!</v>
      </c>
      <c r="BG159" s="543" t="e">
        <f t="shared" si="301"/>
        <v>#DIV/0!</v>
      </c>
      <c r="BH159" s="543">
        <f t="shared" si="302"/>
        <v>1</v>
      </c>
      <c r="BI159" s="543" t="e">
        <f t="shared" si="303"/>
        <v>#DIV/0!</v>
      </c>
      <c r="BJ159" s="543"/>
      <c r="BK159" s="78">
        <v>0</v>
      </c>
      <c r="BL159" s="544" t="str">
        <f t="shared" si="304"/>
        <v>Autoevaluar el cumplimiento de la estrategia de rendición de cuentas implementada por la entidad.</v>
      </c>
      <c r="BM159" s="542">
        <f t="shared" si="305"/>
        <v>0</v>
      </c>
      <c r="BN159" s="541"/>
      <c r="BO159" s="541"/>
      <c r="BP159" s="543" t="e">
        <f t="shared" si="306"/>
        <v>#DIV/0!</v>
      </c>
      <c r="BQ159" s="543" t="e">
        <f t="shared" si="307"/>
        <v>#DIV/0!</v>
      </c>
      <c r="BR159" s="543">
        <f t="shared" si="308"/>
        <v>1</v>
      </c>
      <c r="BS159" s="543" t="e">
        <f t="shared" si="309"/>
        <v>#DIV/0!</v>
      </c>
      <c r="BT159" s="543"/>
      <c r="BU159" s="78">
        <v>0</v>
      </c>
      <c r="BV159" s="544" t="str">
        <f t="shared" si="310"/>
        <v>Autoevaluar el cumplimiento de la estrategia de rendición de cuentas implementada por la entidad.</v>
      </c>
      <c r="BW159" s="542">
        <f t="shared" si="311"/>
        <v>0</v>
      </c>
      <c r="BX159" s="541"/>
      <c r="BY159" s="541"/>
      <c r="BZ159" s="547" t="e">
        <f t="shared" si="312"/>
        <v>#DIV/0!</v>
      </c>
      <c r="CA159" s="547" t="e">
        <f t="shared" si="313"/>
        <v>#DIV/0!</v>
      </c>
      <c r="CB159" s="547">
        <f t="shared" si="314"/>
        <v>1</v>
      </c>
      <c r="CC159" s="547" t="e">
        <f t="shared" si="315"/>
        <v>#DIV/0!</v>
      </c>
      <c r="CD159" s="547"/>
      <c r="CE159" s="546">
        <f t="shared" si="316"/>
        <v>1</v>
      </c>
      <c r="CF159" s="546" t="str">
        <f t="shared" si="317"/>
        <v>No Prog ni Ejec</v>
      </c>
      <c r="CG159" s="546" t="str">
        <f t="shared" si="318"/>
        <v>No Prog ni Ejec</v>
      </c>
      <c r="CH159" s="546" t="str">
        <f t="shared" si="319"/>
        <v>No Prog ni Ejec</v>
      </c>
      <c r="CI159" s="546" t="str">
        <f t="shared" si="320"/>
        <v>No Prog ni Ejec</v>
      </c>
      <c r="CJ159" s="546" t="str">
        <f t="shared" si="321"/>
        <v>No Prog ni Ejec</v>
      </c>
      <c r="CK159" s="546" t="str">
        <f t="shared" si="322"/>
        <v>No Prog ni Ejec</v>
      </c>
      <c r="CL159" s="546" t="str">
        <f t="shared" si="323"/>
        <v>No Prog ni Ejec</v>
      </c>
      <c r="CM159" s="157">
        <f t="shared" si="265"/>
        <v>0</v>
      </c>
      <c r="CR159" s="138">
        <v>1</v>
      </c>
      <c r="CS159" s="190"/>
      <c r="CT159" s="190"/>
      <c r="CU159" s="190"/>
      <c r="CV159" s="190"/>
      <c r="CW159" s="190"/>
      <c r="CX159" s="190"/>
      <c r="CY159" s="190"/>
      <c r="CZ159" s="190"/>
      <c r="DA159" s="190"/>
      <c r="DB159" s="190"/>
      <c r="DC159" s="190"/>
    </row>
    <row r="160" spans="1:107" s="86" customFormat="1" ht="102" x14ac:dyDescent="0.2">
      <c r="A160" s="541">
        <v>12000</v>
      </c>
      <c r="B160" s="544" t="s">
        <v>15</v>
      </c>
      <c r="C160" s="544" t="s">
        <v>338</v>
      </c>
      <c r="D160" s="145" t="s">
        <v>1108</v>
      </c>
      <c r="E160" s="145"/>
      <c r="F160" s="145"/>
      <c r="G160" s="145"/>
      <c r="H160" s="145"/>
      <c r="I160" s="145"/>
      <c r="J160" s="145"/>
      <c r="K160" s="145"/>
      <c r="L160" s="145"/>
      <c r="M160" s="145"/>
      <c r="N160" s="145"/>
      <c r="O160" s="145"/>
      <c r="P160" s="145"/>
      <c r="Q160" s="544" t="s">
        <v>1234</v>
      </c>
      <c r="R160" s="544" t="s">
        <v>1241</v>
      </c>
      <c r="S160" s="541" t="s">
        <v>53</v>
      </c>
      <c r="T160" s="544" t="s">
        <v>94</v>
      </c>
      <c r="U160" s="544" t="s">
        <v>206</v>
      </c>
      <c r="V160" s="544" t="s">
        <v>206</v>
      </c>
      <c r="W160" s="541" t="s">
        <v>1049</v>
      </c>
      <c r="X160" s="544" t="s">
        <v>589</v>
      </c>
      <c r="Y160" s="60" t="s">
        <v>51</v>
      </c>
      <c r="Z160" s="561">
        <v>1</v>
      </c>
      <c r="AA160" s="541" t="s">
        <v>1040</v>
      </c>
      <c r="AB160" s="544" t="s">
        <v>588</v>
      </c>
      <c r="AC160" s="558">
        <v>0</v>
      </c>
      <c r="AD160" s="545">
        <v>1</v>
      </c>
      <c r="AE160" s="544" t="s">
        <v>18</v>
      </c>
      <c r="AF160" s="544" t="s">
        <v>24</v>
      </c>
      <c r="AG160" s="544" t="s">
        <v>206</v>
      </c>
      <c r="AH160" s="544" t="s">
        <v>678</v>
      </c>
      <c r="AI160" s="544" t="s">
        <v>1136</v>
      </c>
      <c r="AJ160" s="544" t="s">
        <v>1410</v>
      </c>
      <c r="AK160" s="544" t="s">
        <v>590</v>
      </c>
      <c r="AL160" s="544" t="s">
        <v>298</v>
      </c>
      <c r="AM160" s="561">
        <v>1</v>
      </c>
      <c r="AN160" s="544" t="str">
        <f t="shared" si="290"/>
        <v xml:space="preserve">Articular la publicación de información mínima requerida por la Ley 1712 de 2014 en página web </v>
      </c>
      <c r="AO160" s="550">
        <f t="shared" si="291"/>
        <v>0</v>
      </c>
      <c r="AP160" s="548" t="s">
        <v>48</v>
      </c>
      <c r="AQ160" s="561">
        <v>0.25</v>
      </c>
      <c r="AR160" s="544" t="str">
        <f t="shared" si="292"/>
        <v xml:space="preserve">Articular la publicación de información mínima requerida por la Ley 1712 de 2014 en página web </v>
      </c>
      <c r="AS160" s="542">
        <f t="shared" si="293"/>
        <v>0</v>
      </c>
      <c r="AT160" s="628">
        <f>(13/13)*25%</f>
        <v>0.25</v>
      </c>
      <c r="AU160" s="627">
        <v>0</v>
      </c>
      <c r="AV160" s="543">
        <f t="shared" si="294"/>
        <v>1</v>
      </c>
      <c r="AW160" s="543" t="e">
        <f t="shared" si="295"/>
        <v>#DIV/0!</v>
      </c>
      <c r="AX160" s="543">
        <f t="shared" si="296"/>
        <v>0.25</v>
      </c>
      <c r="AY160" s="543" t="e">
        <f t="shared" si="297"/>
        <v>#DIV/0!</v>
      </c>
      <c r="AZ160" s="629" t="s">
        <v>1527</v>
      </c>
      <c r="BA160" s="561">
        <v>0.25</v>
      </c>
      <c r="BB160" s="544" t="str">
        <f t="shared" si="298"/>
        <v xml:space="preserve">Articular la publicación de información mínima requerida por la Ley 1712 de 2014 en página web </v>
      </c>
      <c r="BC160" s="542">
        <f t="shared" si="299"/>
        <v>0</v>
      </c>
      <c r="BD160" s="73"/>
      <c r="BE160" s="73"/>
      <c r="BF160" s="543">
        <f t="shared" si="300"/>
        <v>0</v>
      </c>
      <c r="BG160" s="543" t="e">
        <f t="shared" si="301"/>
        <v>#DIV/0!</v>
      </c>
      <c r="BH160" s="543">
        <f t="shared" si="302"/>
        <v>0.25</v>
      </c>
      <c r="BI160" s="543" t="e">
        <f t="shared" si="303"/>
        <v>#DIV/0!</v>
      </c>
      <c r="BJ160" s="543"/>
      <c r="BK160" s="561">
        <v>0.25</v>
      </c>
      <c r="BL160" s="544" t="str">
        <f t="shared" si="304"/>
        <v xml:space="preserve">Articular la publicación de información mínima requerida por la Ley 1712 de 2014 en página web </v>
      </c>
      <c r="BM160" s="542">
        <f t="shared" si="305"/>
        <v>0</v>
      </c>
      <c r="BN160" s="541"/>
      <c r="BO160" s="541"/>
      <c r="BP160" s="543">
        <f t="shared" si="306"/>
        <v>0</v>
      </c>
      <c r="BQ160" s="543" t="e">
        <f t="shared" si="307"/>
        <v>#DIV/0!</v>
      </c>
      <c r="BR160" s="543">
        <f t="shared" si="308"/>
        <v>0.25</v>
      </c>
      <c r="BS160" s="543" t="e">
        <f t="shared" si="309"/>
        <v>#DIV/0!</v>
      </c>
      <c r="BT160" s="543"/>
      <c r="BU160" s="561">
        <v>0.25</v>
      </c>
      <c r="BV160" s="544" t="str">
        <f t="shared" si="310"/>
        <v xml:space="preserve">Articular la publicación de información mínima requerida por la Ley 1712 de 2014 en página web </v>
      </c>
      <c r="BW160" s="542">
        <f t="shared" si="311"/>
        <v>0</v>
      </c>
      <c r="BX160" s="541"/>
      <c r="BY160" s="541"/>
      <c r="BZ160" s="547">
        <f t="shared" si="312"/>
        <v>0</v>
      </c>
      <c r="CA160" s="547" t="e">
        <f t="shared" si="313"/>
        <v>#DIV/0!</v>
      </c>
      <c r="CB160" s="547">
        <f t="shared" si="314"/>
        <v>0.25</v>
      </c>
      <c r="CC160" s="547" t="e">
        <f t="shared" si="315"/>
        <v>#DIV/0!</v>
      </c>
      <c r="CD160" s="547"/>
      <c r="CE160" s="546">
        <f t="shared" si="316"/>
        <v>1</v>
      </c>
      <c r="CF160" s="546" t="str">
        <f t="shared" si="317"/>
        <v>No Prog ni Ejec</v>
      </c>
      <c r="CG160" s="546">
        <f t="shared" si="318"/>
        <v>0</v>
      </c>
      <c r="CH160" s="546" t="str">
        <f t="shared" si="319"/>
        <v>No Prog ni Ejec</v>
      </c>
      <c r="CI160" s="546">
        <f t="shared" si="320"/>
        <v>0</v>
      </c>
      <c r="CJ160" s="546" t="str">
        <f t="shared" si="321"/>
        <v>No Prog ni Ejec</v>
      </c>
      <c r="CK160" s="546">
        <f t="shared" si="322"/>
        <v>0</v>
      </c>
      <c r="CL160" s="546" t="str">
        <f t="shared" si="323"/>
        <v>No Prog ni Ejec</v>
      </c>
      <c r="CM160" s="157">
        <f t="shared" si="265"/>
        <v>0</v>
      </c>
      <c r="CR160" s="138">
        <v>1</v>
      </c>
      <c r="CS160" s="190"/>
      <c r="CT160" s="190"/>
      <c r="CU160" s="190"/>
      <c r="CV160" s="190"/>
      <c r="CW160" s="190"/>
      <c r="CX160" s="190"/>
      <c r="CY160" s="190"/>
      <c r="CZ160" s="190"/>
      <c r="DA160" s="190"/>
      <c r="DB160" s="190"/>
      <c r="DC160" s="190"/>
    </row>
    <row r="161" spans="1:107" s="86" customFormat="1" ht="89.25" x14ac:dyDescent="0.2">
      <c r="A161" s="541">
        <v>11800</v>
      </c>
      <c r="B161" s="544" t="s">
        <v>3</v>
      </c>
      <c r="C161" s="544" t="s">
        <v>338</v>
      </c>
      <c r="D161" s="145" t="s">
        <v>1108</v>
      </c>
      <c r="E161" s="145"/>
      <c r="F161" s="145"/>
      <c r="G161" s="145"/>
      <c r="H161" s="145"/>
      <c r="I161" s="145"/>
      <c r="J161" s="145"/>
      <c r="K161" s="145"/>
      <c r="L161" s="145"/>
      <c r="M161" s="145"/>
      <c r="N161" s="145"/>
      <c r="O161" s="145"/>
      <c r="P161" s="145"/>
      <c r="Q161" s="544" t="s">
        <v>1230</v>
      </c>
      <c r="R161" s="544" t="s">
        <v>1242</v>
      </c>
      <c r="S161" s="541" t="s">
        <v>116</v>
      </c>
      <c r="T161" s="544" t="s">
        <v>94</v>
      </c>
      <c r="U161" s="544" t="s">
        <v>206</v>
      </c>
      <c r="V161" s="544" t="s">
        <v>206</v>
      </c>
      <c r="W161" s="541" t="s">
        <v>1222</v>
      </c>
      <c r="X161" s="544" t="s">
        <v>576</v>
      </c>
      <c r="Y161" s="554" t="s">
        <v>411</v>
      </c>
      <c r="Z161" s="78">
        <v>3</v>
      </c>
      <c r="AA161" s="541" t="s">
        <v>1221</v>
      </c>
      <c r="AB161" s="544" t="s">
        <v>577</v>
      </c>
      <c r="AC161" s="558">
        <v>0</v>
      </c>
      <c r="AD161" s="545">
        <v>1</v>
      </c>
      <c r="AE161" s="544" t="s">
        <v>19</v>
      </c>
      <c r="AF161" s="544" t="s">
        <v>25</v>
      </c>
      <c r="AG161" s="544" t="s">
        <v>206</v>
      </c>
      <c r="AH161" s="544" t="s">
        <v>678</v>
      </c>
      <c r="AI161" s="544" t="s">
        <v>1135</v>
      </c>
      <c r="AJ161" s="544" t="s">
        <v>1405</v>
      </c>
      <c r="AK161" s="544" t="s">
        <v>578</v>
      </c>
      <c r="AL161" s="544" t="s">
        <v>206</v>
      </c>
      <c r="AM161" s="78">
        <v>3</v>
      </c>
      <c r="AN161" s="544" t="str">
        <f t="shared" si="290"/>
        <v>Realizar seguimiento al Mapa de Riesgos Operativos, de Corrupción y de Seguridad Digital y a la efectividad de los controles</v>
      </c>
      <c r="AO161" s="550">
        <f t="shared" si="291"/>
        <v>0</v>
      </c>
      <c r="AP161" s="548" t="s">
        <v>48</v>
      </c>
      <c r="AQ161" s="78">
        <v>1</v>
      </c>
      <c r="AR161" s="544" t="str">
        <f t="shared" si="292"/>
        <v>Realizar seguimiento al Mapa de Riesgos Operativos, de Corrupción y de Seguridad Digital y a la efectividad de los controles</v>
      </c>
      <c r="AS161" s="542">
        <v>0</v>
      </c>
      <c r="AT161" s="592">
        <v>1</v>
      </c>
      <c r="AU161" s="592">
        <v>0</v>
      </c>
      <c r="AV161" s="543">
        <f t="shared" si="294"/>
        <v>1</v>
      </c>
      <c r="AW161" s="543" t="e">
        <f t="shared" si="295"/>
        <v>#DIV/0!</v>
      </c>
      <c r="AX161" s="543">
        <f t="shared" si="296"/>
        <v>0.33333333333333331</v>
      </c>
      <c r="AY161" s="543" t="e">
        <f t="shared" si="297"/>
        <v>#DIV/0!</v>
      </c>
      <c r="AZ161" s="624"/>
      <c r="BA161" s="78">
        <v>1</v>
      </c>
      <c r="BB161" s="544" t="str">
        <f t="shared" si="298"/>
        <v>Realizar seguimiento al Mapa de Riesgos Operativos, de Corrupción y de Seguridad Digital y a la efectividad de los controles</v>
      </c>
      <c r="BC161" s="542">
        <v>0</v>
      </c>
      <c r="BD161" s="73"/>
      <c r="BE161" s="73"/>
      <c r="BF161" s="543">
        <f t="shared" si="300"/>
        <v>0</v>
      </c>
      <c r="BG161" s="543" t="e">
        <f t="shared" si="301"/>
        <v>#DIV/0!</v>
      </c>
      <c r="BH161" s="543">
        <f t="shared" si="302"/>
        <v>0.33333333333333331</v>
      </c>
      <c r="BI161" s="543" t="e">
        <f t="shared" si="303"/>
        <v>#DIV/0!</v>
      </c>
      <c r="BJ161" s="543"/>
      <c r="BK161" s="78">
        <v>1</v>
      </c>
      <c r="BL161" s="544" t="str">
        <f t="shared" si="304"/>
        <v>Realizar seguimiento al Mapa de Riesgos Operativos, de Corrupción y de Seguridad Digital y a la efectividad de los controles</v>
      </c>
      <c r="BM161" s="542">
        <v>0</v>
      </c>
      <c r="BN161" s="541"/>
      <c r="BO161" s="541"/>
      <c r="BP161" s="543">
        <f t="shared" si="306"/>
        <v>0</v>
      </c>
      <c r="BQ161" s="543" t="e">
        <f t="shared" si="307"/>
        <v>#DIV/0!</v>
      </c>
      <c r="BR161" s="543">
        <f t="shared" si="308"/>
        <v>0.33333333333333331</v>
      </c>
      <c r="BS161" s="543" t="e">
        <f t="shared" si="309"/>
        <v>#DIV/0!</v>
      </c>
      <c r="BT161" s="543"/>
      <c r="BU161" s="66">
        <v>0</v>
      </c>
      <c r="BV161" s="544" t="str">
        <f t="shared" si="310"/>
        <v>Realizar seguimiento al Mapa de Riesgos Operativos, de Corrupción y de Seguridad Digital y a la efectividad de los controles</v>
      </c>
      <c r="BW161" s="542">
        <v>0</v>
      </c>
      <c r="BX161" s="541"/>
      <c r="BY161" s="541"/>
      <c r="BZ161" s="547" t="e">
        <f t="shared" si="312"/>
        <v>#DIV/0!</v>
      </c>
      <c r="CA161" s="547" t="e">
        <f t="shared" si="313"/>
        <v>#DIV/0!</v>
      </c>
      <c r="CB161" s="547">
        <f t="shared" si="314"/>
        <v>0.33333333333333331</v>
      </c>
      <c r="CC161" s="547" t="e">
        <f t="shared" si="315"/>
        <v>#DIV/0!</v>
      </c>
      <c r="CD161" s="547"/>
      <c r="CE161" s="546">
        <f t="shared" si="316"/>
        <v>1</v>
      </c>
      <c r="CF161" s="546" t="str">
        <f t="shared" si="317"/>
        <v>No Prog ni Ejec</v>
      </c>
      <c r="CG161" s="546">
        <f t="shared" si="318"/>
        <v>0</v>
      </c>
      <c r="CH161" s="546" t="str">
        <f t="shared" si="319"/>
        <v>No Prog ni Ejec</v>
      </c>
      <c r="CI161" s="546">
        <f t="shared" si="320"/>
        <v>0</v>
      </c>
      <c r="CJ161" s="546" t="str">
        <f t="shared" si="321"/>
        <v>No Prog ni Ejec</v>
      </c>
      <c r="CK161" s="546" t="str">
        <f t="shared" si="322"/>
        <v>No Prog ni Ejec</v>
      </c>
      <c r="CL161" s="546" t="str">
        <f t="shared" si="323"/>
        <v>No Prog ni Ejec</v>
      </c>
      <c r="CM161" s="157">
        <f t="shared" si="265"/>
        <v>0</v>
      </c>
      <c r="CR161" s="138">
        <v>1</v>
      </c>
      <c r="CS161" s="190"/>
      <c r="CT161" s="190"/>
      <c r="CU161" s="190"/>
      <c r="CV161" s="190"/>
      <c r="CW161" s="190"/>
      <c r="CX161" s="190"/>
      <c r="CY161" s="190"/>
      <c r="CZ161" s="190"/>
      <c r="DA161" s="190"/>
      <c r="DB161" s="190"/>
      <c r="DC161" s="190"/>
    </row>
    <row r="162" spans="1:107" s="86" customFormat="1" ht="105" customHeight="1" x14ac:dyDescent="0.2">
      <c r="A162" s="541">
        <v>11500</v>
      </c>
      <c r="B162" s="544" t="s">
        <v>13</v>
      </c>
      <c r="C162" s="544" t="s">
        <v>338</v>
      </c>
      <c r="D162" s="145" t="s">
        <v>1108</v>
      </c>
      <c r="E162" s="145"/>
      <c r="F162" s="145"/>
      <c r="G162" s="145"/>
      <c r="H162" s="145"/>
      <c r="I162" s="145"/>
      <c r="J162" s="145"/>
      <c r="K162" s="145"/>
      <c r="L162" s="145"/>
      <c r="M162" s="145"/>
      <c r="N162" s="145"/>
      <c r="O162" s="145"/>
      <c r="P162" s="145"/>
      <c r="Q162" s="544" t="s">
        <v>1247</v>
      </c>
      <c r="R162" s="544" t="s">
        <v>1247</v>
      </c>
      <c r="S162" s="541" t="s">
        <v>96</v>
      </c>
      <c r="T162" s="544" t="s">
        <v>94</v>
      </c>
      <c r="U162" s="544" t="s">
        <v>206</v>
      </c>
      <c r="V162" s="544" t="s">
        <v>206</v>
      </c>
      <c r="W162" s="541" t="s">
        <v>107</v>
      </c>
      <c r="X162" s="559" t="s">
        <v>1157</v>
      </c>
      <c r="Y162" s="554" t="s">
        <v>411</v>
      </c>
      <c r="Z162" s="79">
        <v>1</v>
      </c>
      <c r="AA162" s="541" t="s">
        <v>97</v>
      </c>
      <c r="AB162" s="544" t="s">
        <v>1156</v>
      </c>
      <c r="AC162" s="558">
        <v>0</v>
      </c>
      <c r="AD162" s="545">
        <v>1</v>
      </c>
      <c r="AE162" s="544" t="s">
        <v>17</v>
      </c>
      <c r="AF162" s="544" t="s">
        <v>301</v>
      </c>
      <c r="AG162" s="544" t="s">
        <v>206</v>
      </c>
      <c r="AH162" s="544" t="s">
        <v>678</v>
      </c>
      <c r="AI162" s="544" t="s">
        <v>71</v>
      </c>
      <c r="AJ162" s="544" t="s">
        <v>206</v>
      </c>
      <c r="AK162" s="544" t="s">
        <v>1155</v>
      </c>
      <c r="AL162" s="544" t="s">
        <v>42</v>
      </c>
      <c r="AM162" s="78">
        <v>1</v>
      </c>
      <c r="AN162" s="560" t="str">
        <f>+AB162</f>
        <v>Racionalizar el trámite “Reconocimiento y pago de prestaciones por concepto de atenciones médico-quirúrgicas a víctimas de eventos catastróficos, terroristas y de accidentes de tránsito” a través de la revisión y mejoramiento del formato FURPEN.</v>
      </c>
      <c r="AO162" s="183">
        <f>+AC162</f>
        <v>0</v>
      </c>
      <c r="AP162" s="548" t="s">
        <v>48</v>
      </c>
      <c r="AQ162" s="78">
        <v>1</v>
      </c>
      <c r="AR162" s="544" t="str">
        <f t="shared" si="292"/>
        <v>Racionalizar el trámite “Reconocimiento y pago de prestaciones por concepto de atenciones médico-quirúrgicas a víctimas de eventos catastróficos, terroristas y de accidentes de tránsito” a través de la revisión y mejoramiento del formato FURPEN.</v>
      </c>
      <c r="AS162" s="542">
        <f>+AO162/4</f>
        <v>0</v>
      </c>
      <c r="AT162" s="587">
        <v>0</v>
      </c>
      <c r="AU162" s="614">
        <v>0</v>
      </c>
      <c r="AV162" s="543">
        <f t="shared" si="294"/>
        <v>0</v>
      </c>
      <c r="AW162" s="543" t="e">
        <f t="shared" si="295"/>
        <v>#DIV/0!</v>
      </c>
      <c r="AX162" s="543">
        <f t="shared" si="296"/>
        <v>0</v>
      </c>
      <c r="AY162" s="543" t="e">
        <f t="shared" si="297"/>
        <v>#DIV/0!</v>
      </c>
      <c r="AZ162" s="621" t="s">
        <v>1453</v>
      </c>
      <c r="BA162" s="78">
        <v>0</v>
      </c>
      <c r="BB162" s="544" t="str">
        <f t="shared" si="298"/>
        <v>Racionalizar el trámite “Reconocimiento y pago de prestaciones por concepto de atenciones médico-quirúrgicas a víctimas de eventos catastróficos, terroristas y de accidentes de tránsito” a través de la revisión y mejoramiento del formato FURPEN.</v>
      </c>
      <c r="BC162" s="542">
        <f>+AO162/4</f>
        <v>0</v>
      </c>
      <c r="BD162" s="73"/>
      <c r="BE162" s="73"/>
      <c r="BF162" s="543" t="e">
        <f t="shared" si="300"/>
        <v>#DIV/0!</v>
      </c>
      <c r="BG162" s="543" t="e">
        <f t="shared" si="301"/>
        <v>#DIV/0!</v>
      </c>
      <c r="BH162" s="543">
        <f t="shared" si="302"/>
        <v>0</v>
      </c>
      <c r="BI162" s="543" t="e">
        <f t="shared" si="303"/>
        <v>#DIV/0!</v>
      </c>
      <c r="BJ162" s="543"/>
      <c r="BK162" s="78">
        <v>0</v>
      </c>
      <c r="BL162" s="544" t="str">
        <f t="shared" si="304"/>
        <v>Racionalizar el trámite “Reconocimiento y pago de prestaciones por concepto de atenciones médico-quirúrgicas a víctimas de eventos catastróficos, terroristas y de accidentes de tránsito” a través de la revisión y mejoramiento del formato FURPEN.</v>
      </c>
      <c r="BM162" s="542">
        <f>+AO162/4</f>
        <v>0</v>
      </c>
      <c r="BN162" s="541"/>
      <c r="BO162" s="541"/>
      <c r="BP162" s="543" t="e">
        <f t="shared" si="306"/>
        <v>#DIV/0!</v>
      </c>
      <c r="BQ162" s="543" t="e">
        <f t="shared" si="307"/>
        <v>#DIV/0!</v>
      </c>
      <c r="BR162" s="543">
        <f t="shared" si="308"/>
        <v>0</v>
      </c>
      <c r="BS162" s="543" t="e">
        <f t="shared" si="309"/>
        <v>#DIV/0!</v>
      </c>
      <c r="BT162" s="84"/>
      <c r="BU162" s="78">
        <v>0</v>
      </c>
      <c r="BV162" s="544" t="str">
        <f t="shared" si="310"/>
        <v>Racionalizar el trámite “Reconocimiento y pago de prestaciones por concepto de atenciones médico-quirúrgicas a víctimas de eventos catastróficos, terroristas y de accidentes de tránsito” a través de la revisión y mejoramiento del formato FURPEN.</v>
      </c>
      <c r="BW162" s="542">
        <f>+AO162/4</f>
        <v>0</v>
      </c>
      <c r="BX162" s="541"/>
      <c r="BY162" s="541"/>
      <c r="BZ162" s="547" t="e">
        <f t="shared" si="312"/>
        <v>#DIV/0!</v>
      </c>
      <c r="CA162" s="547" t="e">
        <f t="shared" si="313"/>
        <v>#DIV/0!</v>
      </c>
      <c r="CB162" s="547">
        <f t="shared" si="314"/>
        <v>0</v>
      </c>
      <c r="CC162" s="547" t="e">
        <f t="shared" si="315"/>
        <v>#DIV/0!</v>
      </c>
      <c r="CD162" s="84"/>
      <c r="CE162" s="546">
        <f t="shared" ref="CE162:CE176" si="324">IF(AND(AQ162=0,AT162=0),"No Prog ni Ejec",IF(AQ162=0,CONCATENATE("No Prog, Ejec=  ",AT162),AT162/AQ162))</f>
        <v>0</v>
      </c>
      <c r="CF162" s="546" t="str">
        <f t="shared" ref="CF162:CF176" si="325">IF(AND(AS162=0,AU162=0),"No Prog ni Ejec",IF(AS162=0,CONCATENATE("No Prog, Ejec=  ",AU162),AU162/AS162))</f>
        <v>No Prog ni Ejec</v>
      </c>
      <c r="CG162" s="546" t="str">
        <f t="shared" ref="CG162:CG176" si="326">IF(AND(BA162=0,BD162=0),"No Prog ni Ejec",IF(BA162=0,CONCATENATE("No Prog, Ejec=  ",BD162),BD162/BA162))</f>
        <v>No Prog ni Ejec</v>
      </c>
      <c r="CH162" s="546" t="str">
        <f t="shared" ref="CH162:CH176" si="327">IF(AND(BC162=0,BE162=0),"No Prog ni Ejec",IF(BC162=0,CONCATENATE("No Prog, Ejec=  ",BE162),BE162/BC162))</f>
        <v>No Prog ni Ejec</v>
      </c>
      <c r="CI162" s="546" t="str">
        <f t="shared" ref="CI162:CI176" si="328">IF(AND(BK162=0,BN162=0),"No Prog ni Ejec",IF(BK162=0,CONCATENATE("No Prog, Ejec=  ",BN162),BN162/BK162))</f>
        <v>No Prog ni Ejec</v>
      </c>
      <c r="CJ162" s="546" t="str">
        <f t="shared" ref="CJ162:CJ176" si="329">IF(AND(BM162=0,BO162=0),"No Prog ni Ejec",IF(BM162=0,CONCATENATE("No Prog, Ejec=  ",BO162),BO162/BM162))</f>
        <v>No Prog ni Ejec</v>
      </c>
      <c r="CK162" s="546" t="str">
        <f t="shared" ref="CK162:CK176" si="330">IF(AND(BU162=0,BX162=0),"No Prog ni Ejec",IF(BU162=0,CONCATENATE("No Prog, Ejec=  ",BX162),BX162/BU162))</f>
        <v>No Prog ni Ejec</v>
      </c>
      <c r="CL162" s="546" t="str">
        <f t="shared" ref="CL162:CL176" si="331">IF(AND(BW162=0,BY162=0),"No Prog ni Ejec",IF(BW162=0,CONCATENATE("No Prog, Ejec=  ",BY162),BY162/BW162))</f>
        <v>No Prog ni Ejec</v>
      </c>
      <c r="CM162" s="157">
        <f t="shared" si="265"/>
        <v>0</v>
      </c>
      <c r="CR162" s="138">
        <v>1</v>
      </c>
      <c r="CS162" s="190"/>
      <c r="CT162" s="190"/>
      <c r="CU162" s="190"/>
      <c r="CV162" s="190"/>
      <c r="CW162" s="190"/>
      <c r="CX162" s="190"/>
      <c r="CY162" s="190"/>
      <c r="CZ162" s="190"/>
      <c r="DA162" s="190"/>
      <c r="DB162" s="190"/>
      <c r="DC162" s="190"/>
    </row>
    <row r="163" spans="1:107" s="86" customFormat="1" ht="101.25" customHeight="1" x14ac:dyDescent="0.2">
      <c r="A163" s="541">
        <v>11200</v>
      </c>
      <c r="B163" s="544" t="s">
        <v>1</v>
      </c>
      <c r="C163" s="544" t="s">
        <v>338</v>
      </c>
      <c r="D163" s="145" t="s">
        <v>1108</v>
      </c>
      <c r="E163" s="145"/>
      <c r="F163" s="145"/>
      <c r="G163" s="145"/>
      <c r="H163" s="145"/>
      <c r="I163" s="145"/>
      <c r="J163" s="145"/>
      <c r="K163" s="145"/>
      <c r="L163" s="145"/>
      <c r="M163" s="145"/>
      <c r="N163" s="145"/>
      <c r="O163" s="145"/>
      <c r="P163" s="145"/>
      <c r="Q163" s="544" t="s">
        <v>1232</v>
      </c>
      <c r="R163" s="544" t="s">
        <v>1246</v>
      </c>
      <c r="S163" s="541" t="s">
        <v>111</v>
      </c>
      <c r="T163" s="544" t="s">
        <v>94</v>
      </c>
      <c r="U163" s="544" t="s">
        <v>206</v>
      </c>
      <c r="V163" s="544" t="s">
        <v>206</v>
      </c>
      <c r="W163" s="541" t="s">
        <v>1014</v>
      </c>
      <c r="X163" s="559" t="s">
        <v>1003</v>
      </c>
      <c r="Y163" s="60" t="s">
        <v>52</v>
      </c>
      <c r="Z163" s="79">
        <v>1</v>
      </c>
      <c r="AA163" s="541" t="s">
        <v>1011</v>
      </c>
      <c r="AB163" s="559" t="s">
        <v>1000</v>
      </c>
      <c r="AC163" s="542">
        <v>0</v>
      </c>
      <c r="AD163" s="545">
        <v>1</v>
      </c>
      <c r="AE163" s="544" t="s">
        <v>18</v>
      </c>
      <c r="AF163" s="544" t="s">
        <v>24</v>
      </c>
      <c r="AG163" s="544" t="s">
        <v>206</v>
      </c>
      <c r="AH163" s="544" t="s">
        <v>678</v>
      </c>
      <c r="AI163" s="544" t="s">
        <v>1140</v>
      </c>
      <c r="AJ163" s="544" t="s">
        <v>1388</v>
      </c>
      <c r="AK163" s="559" t="s">
        <v>1001</v>
      </c>
      <c r="AL163" s="544" t="s">
        <v>40</v>
      </c>
      <c r="AM163" s="66">
        <v>1</v>
      </c>
      <c r="AN163" s="544" t="str">
        <f>+AB163</f>
        <v>Realizar la audiencia pública de rendición de cuentas y comunicar los resultados a la ciudadanía y partes interesadas.</v>
      </c>
      <c r="AO163" s="550">
        <f t="shared" ref="AO163:AO169" si="332">+AC163</f>
        <v>0</v>
      </c>
      <c r="AP163" s="548" t="s">
        <v>48</v>
      </c>
      <c r="AQ163" s="66">
        <v>0</v>
      </c>
      <c r="AR163" s="544" t="str">
        <f t="shared" ref="AR163:AR176" si="333">+AN163</f>
        <v>Realizar la audiencia pública de rendición de cuentas y comunicar los resultados a la ciudadanía y partes interesadas.</v>
      </c>
      <c r="AS163" s="542">
        <f>+AO163/4</f>
        <v>0</v>
      </c>
      <c r="AT163" s="587">
        <v>0</v>
      </c>
      <c r="AU163" s="614">
        <v>0</v>
      </c>
      <c r="AV163" s="543" t="e">
        <f t="shared" ref="AV163:AV176" si="334">+(AT163/AQ163)</f>
        <v>#DIV/0!</v>
      </c>
      <c r="AW163" s="543" t="e">
        <f t="shared" ref="AW163:AW176" si="335">+(AU163/AS163)</f>
        <v>#DIV/0!</v>
      </c>
      <c r="AX163" s="543">
        <f t="shared" ref="AX163:AX176" si="336">+(AT163/AM163)</f>
        <v>0</v>
      </c>
      <c r="AY163" s="543" t="e">
        <f t="shared" ref="AY163:AY176" si="337">+(AU163/AO163)</f>
        <v>#DIV/0!</v>
      </c>
      <c r="AZ163" s="586" t="s">
        <v>1454</v>
      </c>
      <c r="BA163" s="66">
        <v>0</v>
      </c>
      <c r="BB163" s="544" t="str">
        <f t="shared" ref="BB163:BB176" si="338">+AN163</f>
        <v>Realizar la audiencia pública de rendición de cuentas y comunicar los resultados a la ciudadanía y partes interesadas.</v>
      </c>
      <c r="BC163" s="542">
        <f>+AO163/4</f>
        <v>0</v>
      </c>
      <c r="BD163" s="73"/>
      <c r="BE163" s="73"/>
      <c r="BF163" s="543" t="e">
        <f t="shared" ref="BF163:BF176" si="339">+(BD163/BA163)</f>
        <v>#DIV/0!</v>
      </c>
      <c r="BG163" s="543" t="e">
        <f t="shared" ref="BG163:BG176" si="340">+(BE163/BC163)</f>
        <v>#DIV/0!</v>
      </c>
      <c r="BH163" s="543">
        <f t="shared" ref="BH163:BH176" si="341">+(BD163+AT163)/AM163</f>
        <v>0</v>
      </c>
      <c r="BI163" s="543" t="e">
        <f t="shared" ref="BI163:BI176" si="342">+(BE163+AU163)/AO163</f>
        <v>#DIV/0!</v>
      </c>
      <c r="BJ163" s="543"/>
      <c r="BK163" s="66">
        <v>1</v>
      </c>
      <c r="BL163" s="544" t="str">
        <f t="shared" ref="BL163:BL176" si="343">+AN163</f>
        <v>Realizar la audiencia pública de rendición de cuentas y comunicar los resultados a la ciudadanía y partes interesadas.</v>
      </c>
      <c r="BM163" s="542">
        <f>+AO163/4</f>
        <v>0</v>
      </c>
      <c r="BN163" s="541"/>
      <c r="BO163" s="541"/>
      <c r="BP163" s="543">
        <f t="shared" ref="BP163:BP176" si="344">+(BN163/BK163)</f>
        <v>0</v>
      </c>
      <c r="BQ163" s="543" t="e">
        <f t="shared" ref="BQ163:BQ176" si="345">+(BO163/BM163)</f>
        <v>#DIV/0!</v>
      </c>
      <c r="BR163" s="543">
        <f t="shared" ref="BR163:BR176" si="346">+(BD163+AT163+BN163)/AM163</f>
        <v>0</v>
      </c>
      <c r="BS163" s="543" t="e">
        <f t="shared" ref="BS163:BS176" si="347">+(BE163+AU163+BO163)/AO163</f>
        <v>#DIV/0!</v>
      </c>
      <c r="BT163" s="543"/>
      <c r="BU163" s="66">
        <v>0</v>
      </c>
      <c r="BV163" s="544" t="str">
        <f t="shared" ref="BV163:BV176" si="348">+AN163</f>
        <v>Realizar la audiencia pública de rendición de cuentas y comunicar los resultados a la ciudadanía y partes interesadas.</v>
      </c>
      <c r="BW163" s="542">
        <f>+AO163/4</f>
        <v>0</v>
      </c>
      <c r="BX163" s="541"/>
      <c r="BY163" s="541"/>
      <c r="BZ163" s="547" t="e">
        <f t="shared" ref="BZ163:BZ176" si="349">+(BX163/BU163)</f>
        <v>#DIV/0!</v>
      </c>
      <c r="CA163" s="547" t="e">
        <f t="shared" ref="CA163:CA173" si="350">+(BY163/BW163)</f>
        <v>#DIV/0!</v>
      </c>
      <c r="CB163" s="547">
        <f t="shared" ref="CB163:CB176" si="351">+(BD163+AT163+BN163+BX163)/AM163</f>
        <v>0</v>
      </c>
      <c r="CC163" s="547" t="e">
        <f t="shared" ref="CC163:CC173" si="352">+(BE163+AU163+BO163+BY163)/AO163</f>
        <v>#DIV/0!</v>
      </c>
      <c r="CD163" s="547"/>
      <c r="CE163" s="546" t="str">
        <f t="shared" si="324"/>
        <v>No Prog ni Ejec</v>
      </c>
      <c r="CF163" s="546" t="str">
        <f t="shared" si="325"/>
        <v>No Prog ni Ejec</v>
      </c>
      <c r="CG163" s="546" t="str">
        <f t="shared" si="326"/>
        <v>No Prog ni Ejec</v>
      </c>
      <c r="CH163" s="546" t="str">
        <f t="shared" si="327"/>
        <v>No Prog ni Ejec</v>
      </c>
      <c r="CI163" s="546">
        <f t="shared" si="328"/>
        <v>0</v>
      </c>
      <c r="CJ163" s="546" t="str">
        <f t="shared" si="329"/>
        <v>No Prog ni Ejec</v>
      </c>
      <c r="CK163" s="546" t="str">
        <f t="shared" si="330"/>
        <v>No Prog ni Ejec</v>
      </c>
      <c r="CL163" s="546" t="str">
        <f t="shared" si="331"/>
        <v>No Prog ni Ejec</v>
      </c>
      <c r="CM163" s="157">
        <f t="shared" si="265"/>
        <v>0</v>
      </c>
      <c r="CR163" s="138">
        <v>1</v>
      </c>
      <c r="CS163" s="190"/>
      <c r="CT163" s="190"/>
      <c r="CU163" s="190"/>
      <c r="CV163" s="190"/>
      <c r="CW163" s="190"/>
      <c r="CX163" s="190"/>
      <c r="CY163" s="190"/>
      <c r="CZ163" s="190"/>
      <c r="DA163" s="190"/>
      <c r="DB163" s="190"/>
      <c r="DC163" s="190"/>
    </row>
    <row r="164" spans="1:107" s="86" customFormat="1" ht="99" customHeight="1" x14ac:dyDescent="0.2">
      <c r="A164" s="541">
        <v>11200</v>
      </c>
      <c r="B164" s="544" t="s">
        <v>1</v>
      </c>
      <c r="C164" s="544" t="s">
        <v>338</v>
      </c>
      <c r="D164" s="145" t="s">
        <v>1108</v>
      </c>
      <c r="E164" s="145"/>
      <c r="F164" s="145"/>
      <c r="G164" s="145"/>
      <c r="H164" s="145"/>
      <c r="I164" s="145"/>
      <c r="J164" s="145"/>
      <c r="K164" s="145"/>
      <c r="L164" s="145"/>
      <c r="M164" s="145"/>
      <c r="N164" s="145"/>
      <c r="O164" s="145"/>
      <c r="P164" s="145"/>
      <c r="Q164" s="544" t="s">
        <v>1232</v>
      </c>
      <c r="R164" s="544" t="s">
        <v>1246</v>
      </c>
      <c r="S164" s="541" t="s">
        <v>111</v>
      </c>
      <c r="T164" s="544" t="s">
        <v>94</v>
      </c>
      <c r="U164" s="544" t="s">
        <v>206</v>
      </c>
      <c r="V164" s="544" t="s">
        <v>206</v>
      </c>
      <c r="W164" s="541" t="s">
        <v>1015</v>
      </c>
      <c r="X164" s="559" t="s">
        <v>1004</v>
      </c>
      <c r="Y164" s="60" t="s">
        <v>52</v>
      </c>
      <c r="Z164" s="79">
        <v>1</v>
      </c>
      <c r="AA164" s="541" t="s">
        <v>1012</v>
      </c>
      <c r="AB164" s="559" t="s">
        <v>1002</v>
      </c>
      <c r="AC164" s="542">
        <v>0</v>
      </c>
      <c r="AD164" s="545">
        <v>1</v>
      </c>
      <c r="AE164" s="544" t="s">
        <v>18</v>
      </c>
      <c r="AF164" s="544" t="s">
        <v>24</v>
      </c>
      <c r="AG164" s="544" t="s">
        <v>206</v>
      </c>
      <c r="AH164" s="544" t="s">
        <v>678</v>
      </c>
      <c r="AI164" s="544" t="s">
        <v>1140</v>
      </c>
      <c r="AJ164" s="544" t="s">
        <v>1398</v>
      </c>
      <c r="AK164" s="559" t="s">
        <v>997</v>
      </c>
      <c r="AL164" s="544" t="s">
        <v>40</v>
      </c>
      <c r="AM164" s="66">
        <v>1</v>
      </c>
      <c r="AN164" s="544" t="str">
        <f>+AB164</f>
        <v>Realizar la rendición de cuentas interna</v>
      </c>
      <c r="AO164" s="550">
        <f t="shared" si="332"/>
        <v>0</v>
      </c>
      <c r="AP164" s="548" t="s">
        <v>48</v>
      </c>
      <c r="AQ164" s="66">
        <v>0</v>
      </c>
      <c r="AR164" s="544" t="str">
        <f t="shared" si="333"/>
        <v>Realizar la rendición de cuentas interna</v>
      </c>
      <c r="AS164" s="542">
        <f>+AO164/4</f>
        <v>0</v>
      </c>
      <c r="AT164" s="587">
        <v>0</v>
      </c>
      <c r="AU164" s="608">
        <v>0</v>
      </c>
      <c r="AV164" s="543" t="e">
        <f t="shared" si="334"/>
        <v>#DIV/0!</v>
      </c>
      <c r="AW164" s="543" t="e">
        <f t="shared" si="335"/>
        <v>#DIV/0!</v>
      </c>
      <c r="AX164" s="543">
        <f t="shared" si="336"/>
        <v>0</v>
      </c>
      <c r="AY164" s="543" t="e">
        <f t="shared" si="337"/>
        <v>#DIV/0!</v>
      </c>
      <c r="AZ164" s="637" t="s">
        <v>1488</v>
      </c>
      <c r="BA164" s="66">
        <v>0</v>
      </c>
      <c r="BB164" s="544" t="str">
        <f t="shared" si="338"/>
        <v>Realizar la rendición de cuentas interna</v>
      </c>
      <c r="BC164" s="542">
        <f>+AO164/4</f>
        <v>0</v>
      </c>
      <c r="BD164" s="73"/>
      <c r="BE164" s="73"/>
      <c r="BF164" s="543" t="e">
        <f t="shared" si="339"/>
        <v>#DIV/0!</v>
      </c>
      <c r="BG164" s="543" t="e">
        <f t="shared" si="340"/>
        <v>#DIV/0!</v>
      </c>
      <c r="BH164" s="543">
        <f t="shared" si="341"/>
        <v>0</v>
      </c>
      <c r="BI164" s="543" t="e">
        <f t="shared" si="342"/>
        <v>#DIV/0!</v>
      </c>
      <c r="BJ164" s="543"/>
      <c r="BK164" s="66">
        <v>1</v>
      </c>
      <c r="BL164" s="544" t="str">
        <f t="shared" si="343"/>
        <v>Realizar la rendición de cuentas interna</v>
      </c>
      <c r="BM164" s="542">
        <f>+AO164/4</f>
        <v>0</v>
      </c>
      <c r="BN164" s="541"/>
      <c r="BO164" s="541"/>
      <c r="BP164" s="543">
        <f t="shared" si="344"/>
        <v>0</v>
      </c>
      <c r="BQ164" s="543" t="e">
        <f t="shared" si="345"/>
        <v>#DIV/0!</v>
      </c>
      <c r="BR164" s="543">
        <f t="shared" si="346"/>
        <v>0</v>
      </c>
      <c r="BS164" s="543" t="e">
        <f t="shared" si="347"/>
        <v>#DIV/0!</v>
      </c>
      <c r="BT164" s="543"/>
      <c r="BU164" s="66">
        <v>0</v>
      </c>
      <c r="BV164" s="544" t="str">
        <f t="shared" si="348"/>
        <v>Realizar la rendición de cuentas interna</v>
      </c>
      <c r="BW164" s="542">
        <f>+AO164/4</f>
        <v>0</v>
      </c>
      <c r="BX164" s="541"/>
      <c r="BY164" s="541"/>
      <c r="BZ164" s="547" t="e">
        <f t="shared" si="349"/>
        <v>#DIV/0!</v>
      </c>
      <c r="CA164" s="547" t="e">
        <f t="shared" si="350"/>
        <v>#DIV/0!</v>
      </c>
      <c r="CB164" s="547">
        <f t="shared" si="351"/>
        <v>0</v>
      </c>
      <c r="CC164" s="547" t="e">
        <f t="shared" si="352"/>
        <v>#DIV/0!</v>
      </c>
      <c r="CD164" s="547"/>
      <c r="CE164" s="546" t="str">
        <f t="shared" si="324"/>
        <v>No Prog ni Ejec</v>
      </c>
      <c r="CF164" s="546" t="str">
        <f t="shared" si="325"/>
        <v>No Prog ni Ejec</v>
      </c>
      <c r="CG164" s="546" t="str">
        <f t="shared" si="326"/>
        <v>No Prog ni Ejec</v>
      </c>
      <c r="CH164" s="546" t="str">
        <f t="shared" si="327"/>
        <v>No Prog ni Ejec</v>
      </c>
      <c r="CI164" s="546">
        <f t="shared" si="328"/>
        <v>0</v>
      </c>
      <c r="CJ164" s="546" t="str">
        <f t="shared" si="329"/>
        <v>No Prog ni Ejec</v>
      </c>
      <c r="CK164" s="546" t="str">
        <f t="shared" si="330"/>
        <v>No Prog ni Ejec</v>
      </c>
      <c r="CL164" s="546" t="str">
        <f t="shared" si="331"/>
        <v>No Prog ni Ejec</v>
      </c>
      <c r="CM164" s="157">
        <f t="shared" si="265"/>
        <v>0</v>
      </c>
      <c r="CR164" s="138">
        <v>1</v>
      </c>
      <c r="CS164" s="190"/>
      <c r="CT164" s="190"/>
      <c r="CU164" s="190"/>
      <c r="CV164" s="190"/>
      <c r="CW164" s="190"/>
      <c r="CX164" s="190"/>
      <c r="CY164" s="190"/>
      <c r="CZ164" s="190"/>
      <c r="DA164" s="190"/>
      <c r="DB164" s="190"/>
      <c r="DC164" s="190"/>
    </row>
    <row r="165" spans="1:107" s="86" customFormat="1" ht="105" customHeight="1" x14ac:dyDescent="0.2">
      <c r="A165" s="541">
        <v>11200</v>
      </c>
      <c r="B165" s="544" t="s">
        <v>1</v>
      </c>
      <c r="C165" s="544" t="s">
        <v>711</v>
      </c>
      <c r="D165" s="145" t="s">
        <v>1108</v>
      </c>
      <c r="E165" s="145" t="s">
        <v>1108</v>
      </c>
      <c r="F165" s="145"/>
      <c r="G165" s="145"/>
      <c r="H165" s="145"/>
      <c r="I165" s="145"/>
      <c r="J165" s="145"/>
      <c r="K165" s="145"/>
      <c r="L165" s="145"/>
      <c r="M165" s="145"/>
      <c r="N165" s="145"/>
      <c r="O165" s="145"/>
      <c r="P165" s="145"/>
      <c r="Q165" s="544" t="s">
        <v>1232</v>
      </c>
      <c r="R165" s="544" t="s">
        <v>1246</v>
      </c>
      <c r="S165" s="541" t="s">
        <v>111</v>
      </c>
      <c r="T165" s="544" t="s">
        <v>94</v>
      </c>
      <c r="U165" s="544" t="s">
        <v>206</v>
      </c>
      <c r="V165" s="544" t="s">
        <v>206</v>
      </c>
      <c r="W165" s="541" t="s">
        <v>1016</v>
      </c>
      <c r="X165" s="559" t="s">
        <v>1006</v>
      </c>
      <c r="Y165" s="60" t="s">
        <v>52</v>
      </c>
      <c r="Z165" s="79">
        <v>4</v>
      </c>
      <c r="AA165" s="541" t="s">
        <v>1013</v>
      </c>
      <c r="AB165" s="559" t="s">
        <v>1005</v>
      </c>
      <c r="AC165" s="542">
        <v>0</v>
      </c>
      <c r="AD165" s="545">
        <v>1</v>
      </c>
      <c r="AE165" s="544" t="s">
        <v>18</v>
      </c>
      <c r="AF165" s="544" t="s">
        <v>24</v>
      </c>
      <c r="AG165" s="544" t="s">
        <v>206</v>
      </c>
      <c r="AH165" s="544" t="s">
        <v>678</v>
      </c>
      <c r="AI165" s="544" t="s">
        <v>1140</v>
      </c>
      <c r="AJ165" s="544" t="s">
        <v>1388</v>
      </c>
      <c r="AK165" s="559" t="s">
        <v>1007</v>
      </c>
      <c r="AL165" s="544" t="s">
        <v>40</v>
      </c>
      <c r="AM165" s="66">
        <v>4</v>
      </c>
      <c r="AN165" s="544" t="str">
        <f>+AB165</f>
        <v>Realizar actividades de relacionamiento y rendición de cuentas con actores del sector salud y partes interesadas</v>
      </c>
      <c r="AO165" s="550">
        <f t="shared" si="332"/>
        <v>0</v>
      </c>
      <c r="AP165" s="548" t="s">
        <v>48</v>
      </c>
      <c r="AQ165" s="66">
        <v>1</v>
      </c>
      <c r="AR165" s="544" t="str">
        <f t="shared" si="333"/>
        <v>Realizar actividades de relacionamiento y rendición de cuentas con actores del sector salud y partes interesadas</v>
      </c>
      <c r="AS165" s="542">
        <f>+AO165/4</f>
        <v>0</v>
      </c>
      <c r="AT165" s="587">
        <v>1</v>
      </c>
      <c r="AU165" s="608">
        <v>0</v>
      </c>
      <c r="AV165" s="543">
        <f t="shared" si="334"/>
        <v>1</v>
      </c>
      <c r="AW165" s="543" t="e">
        <f t="shared" si="335"/>
        <v>#DIV/0!</v>
      </c>
      <c r="AX165" s="543">
        <f t="shared" si="336"/>
        <v>0.25</v>
      </c>
      <c r="AY165" s="543" t="e">
        <f t="shared" si="337"/>
        <v>#DIV/0!</v>
      </c>
      <c r="AZ165" s="637" t="s">
        <v>1491</v>
      </c>
      <c r="BA165" s="66">
        <v>1</v>
      </c>
      <c r="BB165" s="544" t="str">
        <f t="shared" si="338"/>
        <v>Realizar actividades de relacionamiento y rendición de cuentas con actores del sector salud y partes interesadas</v>
      </c>
      <c r="BC165" s="542">
        <f>+AO165/4</f>
        <v>0</v>
      </c>
      <c r="BD165" s="73"/>
      <c r="BE165" s="73"/>
      <c r="BF165" s="543">
        <f t="shared" si="339"/>
        <v>0</v>
      </c>
      <c r="BG165" s="543" t="e">
        <f t="shared" si="340"/>
        <v>#DIV/0!</v>
      </c>
      <c r="BH165" s="543">
        <f t="shared" si="341"/>
        <v>0.25</v>
      </c>
      <c r="BI165" s="543" t="e">
        <f t="shared" si="342"/>
        <v>#DIV/0!</v>
      </c>
      <c r="BJ165" s="543"/>
      <c r="BK165" s="66">
        <v>1</v>
      </c>
      <c r="BL165" s="544" t="str">
        <f t="shared" si="343"/>
        <v>Realizar actividades de relacionamiento y rendición de cuentas con actores del sector salud y partes interesadas</v>
      </c>
      <c r="BM165" s="542">
        <f>+AO165/4</f>
        <v>0</v>
      </c>
      <c r="BN165" s="541"/>
      <c r="BO165" s="541"/>
      <c r="BP165" s="543">
        <f t="shared" si="344"/>
        <v>0</v>
      </c>
      <c r="BQ165" s="543" t="e">
        <f t="shared" si="345"/>
        <v>#DIV/0!</v>
      </c>
      <c r="BR165" s="543">
        <f t="shared" si="346"/>
        <v>0.25</v>
      </c>
      <c r="BS165" s="543" t="e">
        <f t="shared" si="347"/>
        <v>#DIV/0!</v>
      </c>
      <c r="BT165" s="543"/>
      <c r="BU165" s="66">
        <v>1</v>
      </c>
      <c r="BV165" s="544" t="str">
        <f t="shared" si="348"/>
        <v>Realizar actividades de relacionamiento y rendición de cuentas con actores del sector salud y partes interesadas</v>
      </c>
      <c r="BW165" s="542">
        <f>+AO165/4</f>
        <v>0</v>
      </c>
      <c r="BX165" s="541"/>
      <c r="BY165" s="541"/>
      <c r="BZ165" s="547">
        <f t="shared" si="349"/>
        <v>0</v>
      </c>
      <c r="CA165" s="547" t="e">
        <f t="shared" si="350"/>
        <v>#DIV/0!</v>
      </c>
      <c r="CB165" s="547">
        <f t="shared" si="351"/>
        <v>0.25</v>
      </c>
      <c r="CC165" s="547" t="e">
        <f t="shared" si="352"/>
        <v>#DIV/0!</v>
      </c>
      <c r="CD165" s="547"/>
      <c r="CE165" s="546">
        <f t="shared" si="324"/>
        <v>1</v>
      </c>
      <c r="CF165" s="546" t="str">
        <f t="shared" si="325"/>
        <v>No Prog ni Ejec</v>
      </c>
      <c r="CG165" s="546">
        <f t="shared" si="326"/>
        <v>0</v>
      </c>
      <c r="CH165" s="546" t="str">
        <f t="shared" si="327"/>
        <v>No Prog ni Ejec</v>
      </c>
      <c r="CI165" s="546">
        <f t="shared" si="328"/>
        <v>0</v>
      </c>
      <c r="CJ165" s="546" t="str">
        <f t="shared" si="329"/>
        <v>No Prog ni Ejec</v>
      </c>
      <c r="CK165" s="546">
        <f t="shared" si="330"/>
        <v>0</v>
      </c>
      <c r="CL165" s="546" t="str">
        <f t="shared" si="331"/>
        <v>No Prog ni Ejec</v>
      </c>
      <c r="CM165" s="157">
        <f t="shared" si="265"/>
        <v>0</v>
      </c>
      <c r="CR165" s="138">
        <v>1</v>
      </c>
      <c r="CX165" s="190">
        <v>7</v>
      </c>
    </row>
    <row r="166" spans="1:107" s="86" customFormat="1" ht="102.75" customHeight="1" x14ac:dyDescent="0.2">
      <c r="A166" s="541">
        <v>11700</v>
      </c>
      <c r="B166" s="544" t="s">
        <v>14</v>
      </c>
      <c r="C166" s="544" t="s">
        <v>1118</v>
      </c>
      <c r="D166" s="145"/>
      <c r="E166" s="145"/>
      <c r="F166" s="145"/>
      <c r="G166" s="145"/>
      <c r="H166" s="145"/>
      <c r="I166" s="145"/>
      <c r="J166" s="145"/>
      <c r="K166" s="145" t="s">
        <v>1108</v>
      </c>
      <c r="L166" s="145" t="s">
        <v>1108</v>
      </c>
      <c r="M166" s="145"/>
      <c r="N166" s="145"/>
      <c r="O166" s="145"/>
      <c r="P166" s="145"/>
      <c r="Q166" s="540" t="s">
        <v>206</v>
      </c>
      <c r="R166" s="540" t="s">
        <v>206</v>
      </c>
      <c r="S166" s="541" t="s">
        <v>240</v>
      </c>
      <c r="T166" s="544" t="s">
        <v>94</v>
      </c>
      <c r="U166" s="544" t="s">
        <v>206</v>
      </c>
      <c r="V166" s="544" t="s">
        <v>206</v>
      </c>
      <c r="W166" s="541" t="s">
        <v>952</v>
      </c>
      <c r="X166" s="559" t="s">
        <v>1115</v>
      </c>
      <c r="Y166" s="554" t="s">
        <v>394</v>
      </c>
      <c r="Z166" s="79">
        <v>11</v>
      </c>
      <c r="AA166" s="541" t="s">
        <v>943</v>
      </c>
      <c r="AB166" s="559" t="s">
        <v>1109</v>
      </c>
      <c r="AC166" s="542">
        <v>0</v>
      </c>
      <c r="AD166" s="545">
        <v>1</v>
      </c>
      <c r="AE166" s="544" t="s">
        <v>16</v>
      </c>
      <c r="AF166" s="544" t="s">
        <v>21</v>
      </c>
      <c r="AG166" s="544" t="s">
        <v>206</v>
      </c>
      <c r="AH166" s="544" t="s">
        <v>678</v>
      </c>
      <c r="AI166" s="544" t="s">
        <v>77</v>
      </c>
      <c r="AJ166" s="544" t="s">
        <v>206</v>
      </c>
      <c r="AK166" s="559" t="s">
        <v>1112</v>
      </c>
      <c r="AL166" s="544" t="s">
        <v>43</v>
      </c>
      <c r="AM166" s="79">
        <v>11</v>
      </c>
      <c r="AN166" s="544" t="str">
        <f t="shared" ref="AN166:AN172" si="353">+AB166</f>
        <v>Enviar solicitud escrita mensualmente a cada Director, Subdirector y Jefe de Oficina, desde Talento Humano, con el fin de que indiquen los cargos vacantes a proveer</v>
      </c>
      <c r="AO166" s="550">
        <f t="shared" si="332"/>
        <v>0</v>
      </c>
      <c r="AP166" s="548" t="s">
        <v>48</v>
      </c>
      <c r="AQ166" s="67">
        <v>2</v>
      </c>
      <c r="AR166" s="544" t="str">
        <f t="shared" si="333"/>
        <v>Enviar solicitud escrita mensualmente a cada Director, Subdirector y Jefe de Oficina, desde Talento Humano, con el fin de que indiquen los cargos vacantes a proveer</v>
      </c>
      <c r="AS166" s="542">
        <f t="shared" ref="AS166:AS172" si="354">+AO166/4</f>
        <v>0</v>
      </c>
      <c r="AT166" s="587">
        <v>0</v>
      </c>
      <c r="AU166" s="614">
        <v>0</v>
      </c>
      <c r="AV166" s="543">
        <f t="shared" si="334"/>
        <v>0</v>
      </c>
      <c r="AW166" s="543" t="e">
        <f t="shared" si="335"/>
        <v>#DIV/0!</v>
      </c>
      <c r="AX166" s="543">
        <f t="shared" si="336"/>
        <v>0</v>
      </c>
      <c r="AY166" s="543" t="e">
        <f t="shared" si="337"/>
        <v>#DIV/0!</v>
      </c>
      <c r="AZ166" s="586" t="s">
        <v>1484</v>
      </c>
      <c r="BA166" s="67">
        <v>3</v>
      </c>
      <c r="BB166" s="544" t="str">
        <f t="shared" si="338"/>
        <v>Enviar solicitud escrita mensualmente a cada Director, Subdirector y Jefe de Oficina, desde Talento Humano, con el fin de que indiquen los cargos vacantes a proveer</v>
      </c>
      <c r="BC166" s="542">
        <f t="shared" ref="BC166:BC172" si="355">+AO166/4</f>
        <v>0</v>
      </c>
      <c r="BD166" s="73"/>
      <c r="BE166" s="73"/>
      <c r="BF166" s="543">
        <f t="shared" si="339"/>
        <v>0</v>
      </c>
      <c r="BG166" s="543" t="e">
        <f t="shared" si="340"/>
        <v>#DIV/0!</v>
      </c>
      <c r="BH166" s="543">
        <f t="shared" si="341"/>
        <v>0</v>
      </c>
      <c r="BI166" s="543" t="e">
        <f t="shared" si="342"/>
        <v>#DIV/0!</v>
      </c>
      <c r="BJ166" s="543"/>
      <c r="BK166" s="67">
        <v>3</v>
      </c>
      <c r="BL166" s="544" t="str">
        <f t="shared" si="343"/>
        <v>Enviar solicitud escrita mensualmente a cada Director, Subdirector y Jefe de Oficina, desde Talento Humano, con el fin de que indiquen los cargos vacantes a proveer</v>
      </c>
      <c r="BM166" s="542">
        <f t="shared" ref="BM166:BM172" si="356">+AO166/4</f>
        <v>0</v>
      </c>
      <c r="BN166" s="541"/>
      <c r="BO166" s="541"/>
      <c r="BP166" s="543">
        <f t="shared" si="344"/>
        <v>0</v>
      </c>
      <c r="BQ166" s="543" t="e">
        <f t="shared" si="345"/>
        <v>#DIV/0!</v>
      </c>
      <c r="BR166" s="543">
        <f t="shared" si="346"/>
        <v>0</v>
      </c>
      <c r="BS166" s="543" t="e">
        <f t="shared" si="347"/>
        <v>#DIV/0!</v>
      </c>
      <c r="BT166" s="543"/>
      <c r="BU166" s="67">
        <v>3</v>
      </c>
      <c r="BV166" s="544" t="str">
        <f t="shared" si="348"/>
        <v>Enviar solicitud escrita mensualmente a cada Director, Subdirector y Jefe de Oficina, desde Talento Humano, con el fin de que indiquen los cargos vacantes a proveer</v>
      </c>
      <c r="BW166" s="542">
        <f t="shared" ref="BW166:BW172" si="357">+AO166/4</f>
        <v>0</v>
      </c>
      <c r="BX166" s="541"/>
      <c r="BY166" s="541"/>
      <c r="BZ166" s="547">
        <f t="shared" si="349"/>
        <v>0</v>
      </c>
      <c r="CA166" s="547" t="e">
        <f t="shared" si="350"/>
        <v>#DIV/0!</v>
      </c>
      <c r="CB166" s="547">
        <f t="shared" si="351"/>
        <v>0</v>
      </c>
      <c r="CC166" s="547" t="e">
        <f t="shared" si="352"/>
        <v>#DIV/0!</v>
      </c>
      <c r="CD166" s="547"/>
      <c r="CE166" s="546">
        <f t="shared" si="324"/>
        <v>0</v>
      </c>
      <c r="CF166" s="546" t="str">
        <f t="shared" si="325"/>
        <v>No Prog ni Ejec</v>
      </c>
      <c r="CG166" s="546">
        <f t="shared" si="326"/>
        <v>0</v>
      </c>
      <c r="CH166" s="546" t="str">
        <f t="shared" si="327"/>
        <v>No Prog ni Ejec</v>
      </c>
      <c r="CI166" s="546">
        <f t="shared" si="328"/>
        <v>0</v>
      </c>
      <c r="CJ166" s="546" t="str">
        <f t="shared" si="329"/>
        <v>No Prog ni Ejec</v>
      </c>
      <c r="CK166" s="546">
        <f t="shared" si="330"/>
        <v>0</v>
      </c>
      <c r="CL166" s="546" t="str">
        <f t="shared" si="331"/>
        <v>No Prog ni Ejec</v>
      </c>
      <c r="CM166" s="157">
        <f t="shared" si="265"/>
        <v>0</v>
      </c>
    </row>
    <row r="167" spans="1:107" s="86" customFormat="1" ht="102" customHeight="1" x14ac:dyDescent="0.2">
      <c r="A167" s="541">
        <v>11700</v>
      </c>
      <c r="B167" s="544" t="s">
        <v>14</v>
      </c>
      <c r="C167" s="544" t="s">
        <v>1118</v>
      </c>
      <c r="D167" s="145"/>
      <c r="E167" s="145"/>
      <c r="F167" s="145"/>
      <c r="G167" s="145"/>
      <c r="H167" s="145"/>
      <c r="I167" s="145"/>
      <c r="J167" s="145"/>
      <c r="K167" s="145" t="s">
        <v>1108</v>
      </c>
      <c r="L167" s="145" t="s">
        <v>1108</v>
      </c>
      <c r="M167" s="145"/>
      <c r="N167" s="145"/>
      <c r="O167" s="145"/>
      <c r="P167" s="145"/>
      <c r="Q167" s="540" t="s">
        <v>206</v>
      </c>
      <c r="R167" s="540" t="s">
        <v>206</v>
      </c>
      <c r="S167" s="541" t="s">
        <v>240</v>
      </c>
      <c r="T167" s="544" t="s">
        <v>94</v>
      </c>
      <c r="U167" s="544" t="s">
        <v>206</v>
      </c>
      <c r="V167" s="544" t="s">
        <v>206</v>
      </c>
      <c r="W167" s="541" t="s">
        <v>953</v>
      </c>
      <c r="X167" s="559" t="s">
        <v>1116</v>
      </c>
      <c r="Y167" s="554" t="s">
        <v>51</v>
      </c>
      <c r="Z167" s="140">
        <v>1</v>
      </c>
      <c r="AA167" s="541" t="s">
        <v>944</v>
      </c>
      <c r="AB167" s="559" t="s">
        <v>1110</v>
      </c>
      <c r="AC167" s="542">
        <v>0</v>
      </c>
      <c r="AD167" s="545">
        <v>1</v>
      </c>
      <c r="AE167" s="544" t="s">
        <v>16</v>
      </c>
      <c r="AF167" s="544" t="s">
        <v>21</v>
      </c>
      <c r="AG167" s="544" t="s">
        <v>206</v>
      </c>
      <c r="AH167" s="544" t="s">
        <v>678</v>
      </c>
      <c r="AI167" s="544" t="s">
        <v>77</v>
      </c>
      <c r="AJ167" s="544" t="s">
        <v>1412</v>
      </c>
      <c r="AK167" s="559" t="s">
        <v>1113</v>
      </c>
      <c r="AL167" s="544" t="s">
        <v>43</v>
      </c>
      <c r="AM167" s="140">
        <v>1</v>
      </c>
      <c r="AN167" s="544" t="str">
        <f t="shared" si="353"/>
        <v>Realizar nombramientos de acuerdo con los requerimientos de cada dependencia donde haya vacantes</v>
      </c>
      <c r="AO167" s="550">
        <f t="shared" si="332"/>
        <v>0</v>
      </c>
      <c r="AP167" s="548" t="s">
        <v>48</v>
      </c>
      <c r="AQ167" s="545">
        <v>0.25</v>
      </c>
      <c r="AR167" s="544" t="str">
        <f t="shared" si="333"/>
        <v>Realizar nombramientos de acuerdo con los requerimientos de cada dependencia donde haya vacantes</v>
      </c>
      <c r="AS167" s="542">
        <f t="shared" si="354"/>
        <v>0</v>
      </c>
      <c r="AT167" s="593">
        <f>(8/8)*0.25</f>
        <v>0.25</v>
      </c>
      <c r="AU167" s="614">
        <v>0</v>
      </c>
      <c r="AV167" s="543">
        <f t="shared" si="334"/>
        <v>1</v>
      </c>
      <c r="AW167" s="543" t="e">
        <f t="shared" si="335"/>
        <v>#DIV/0!</v>
      </c>
      <c r="AX167" s="543">
        <f t="shared" si="336"/>
        <v>0.25</v>
      </c>
      <c r="AY167" s="543" t="e">
        <f t="shared" si="337"/>
        <v>#DIV/0!</v>
      </c>
      <c r="AZ167" s="586" t="s">
        <v>1485</v>
      </c>
      <c r="BA167" s="545">
        <v>0.25</v>
      </c>
      <c r="BB167" s="544" t="str">
        <f t="shared" si="338"/>
        <v>Realizar nombramientos de acuerdo con los requerimientos de cada dependencia donde haya vacantes</v>
      </c>
      <c r="BC167" s="542">
        <f t="shared" si="355"/>
        <v>0</v>
      </c>
      <c r="BD167" s="73"/>
      <c r="BE167" s="73"/>
      <c r="BF167" s="543">
        <f t="shared" si="339"/>
        <v>0</v>
      </c>
      <c r="BG167" s="543" t="e">
        <f t="shared" si="340"/>
        <v>#DIV/0!</v>
      </c>
      <c r="BH167" s="543">
        <f t="shared" si="341"/>
        <v>0.25</v>
      </c>
      <c r="BI167" s="543" t="e">
        <f t="shared" si="342"/>
        <v>#DIV/0!</v>
      </c>
      <c r="BJ167" s="543"/>
      <c r="BK167" s="545">
        <v>0.25</v>
      </c>
      <c r="BL167" s="544" t="str">
        <f t="shared" si="343"/>
        <v>Realizar nombramientos de acuerdo con los requerimientos de cada dependencia donde haya vacantes</v>
      </c>
      <c r="BM167" s="542">
        <f t="shared" si="356"/>
        <v>0</v>
      </c>
      <c r="BN167" s="541"/>
      <c r="BO167" s="541"/>
      <c r="BP167" s="543">
        <f t="shared" si="344"/>
        <v>0</v>
      </c>
      <c r="BQ167" s="543" t="e">
        <f t="shared" si="345"/>
        <v>#DIV/0!</v>
      </c>
      <c r="BR167" s="543">
        <f t="shared" si="346"/>
        <v>0.25</v>
      </c>
      <c r="BS167" s="543" t="e">
        <f t="shared" si="347"/>
        <v>#DIV/0!</v>
      </c>
      <c r="BT167" s="543"/>
      <c r="BU167" s="545">
        <v>0.25</v>
      </c>
      <c r="BV167" s="544" t="str">
        <f t="shared" si="348"/>
        <v>Realizar nombramientos de acuerdo con los requerimientos de cada dependencia donde haya vacantes</v>
      </c>
      <c r="BW167" s="542">
        <f t="shared" si="357"/>
        <v>0</v>
      </c>
      <c r="BX167" s="541"/>
      <c r="BY167" s="541"/>
      <c r="BZ167" s="547">
        <f t="shared" si="349"/>
        <v>0</v>
      </c>
      <c r="CA167" s="547" t="e">
        <f t="shared" si="350"/>
        <v>#DIV/0!</v>
      </c>
      <c r="CB167" s="547">
        <f t="shared" si="351"/>
        <v>0.25</v>
      </c>
      <c r="CC167" s="547" t="e">
        <f t="shared" si="352"/>
        <v>#DIV/0!</v>
      </c>
      <c r="CD167" s="547"/>
      <c r="CE167" s="546">
        <f t="shared" si="324"/>
        <v>1</v>
      </c>
      <c r="CF167" s="546" t="str">
        <f t="shared" si="325"/>
        <v>No Prog ni Ejec</v>
      </c>
      <c r="CG167" s="546">
        <f t="shared" si="326"/>
        <v>0</v>
      </c>
      <c r="CH167" s="546" t="str">
        <f t="shared" si="327"/>
        <v>No Prog ni Ejec</v>
      </c>
      <c r="CI167" s="546">
        <f t="shared" si="328"/>
        <v>0</v>
      </c>
      <c r="CJ167" s="546" t="str">
        <f t="shared" si="329"/>
        <v>No Prog ni Ejec</v>
      </c>
      <c r="CK167" s="546">
        <f t="shared" si="330"/>
        <v>0</v>
      </c>
      <c r="CL167" s="546" t="str">
        <f t="shared" si="331"/>
        <v>No Prog ni Ejec</v>
      </c>
      <c r="CM167" s="157">
        <f t="shared" si="265"/>
        <v>0</v>
      </c>
    </row>
    <row r="168" spans="1:107" s="86" customFormat="1" ht="99" customHeight="1" x14ac:dyDescent="0.2">
      <c r="A168" s="541">
        <v>11700</v>
      </c>
      <c r="B168" s="544" t="s">
        <v>14</v>
      </c>
      <c r="C168" s="544" t="s">
        <v>1118</v>
      </c>
      <c r="D168" s="145"/>
      <c r="E168" s="145"/>
      <c r="F168" s="145"/>
      <c r="G168" s="145"/>
      <c r="H168" s="145"/>
      <c r="I168" s="145"/>
      <c r="J168" s="145"/>
      <c r="K168" s="145" t="s">
        <v>1108</v>
      </c>
      <c r="L168" s="145" t="s">
        <v>1108</v>
      </c>
      <c r="M168" s="145"/>
      <c r="N168" s="145"/>
      <c r="O168" s="145"/>
      <c r="P168" s="145"/>
      <c r="Q168" s="540" t="s">
        <v>206</v>
      </c>
      <c r="R168" s="540" t="s">
        <v>206</v>
      </c>
      <c r="S168" s="541" t="s">
        <v>240</v>
      </c>
      <c r="T168" s="544" t="s">
        <v>94</v>
      </c>
      <c r="U168" s="544" t="s">
        <v>206</v>
      </c>
      <c r="V168" s="544" t="s">
        <v>206</v>
      </c>
      <c r="W168" s="541" t="s">
        <v>954</v>
      </c>
      <c r="X168" s="559" t="s">
        <v>1117</v>
      </c>
      <c r="Y168" s="554" t="s">
        <v>51</v>
      </c>
      <c r="Z168" s="140">
        <v>1</v>
      </c>
      <c r="AA168" s="541" t="s">
        <v>945</v>
      </c>
      <c r="AB168" s="559" t="s">
        <v>1111</v>
      </c>
      <c r="AC168" s="542">
        <v>0</v>
      </c>
      <c r="AD168" s="545">
        <v>1</v>
      </c>
      <c r="AE168" s="544" t="s">
        <v>16</v>
      </c>
      <c r="AF168" s="544" t="s">
        <v>21</v>
      </c>
      <c r="AG168" s="544" t="s">
        <v>206</v>
      </c>
      <c r="AH168" s="544" t="s">
        <v>678</v>
      </c>
      <c r="AI168" s="544" t="s">
        <v>77</v>
      </c>
      <c r="AJ168" s="544" t="s">
        <v>1412</v>
      </c>
      <c r="AK168" s="559" t="s">
        <v>1114</v>
      </c>
      <c r="AL168" s="544" t="s">
        <v>43</v>
      </c>
      <c r="AM168" s="140">
        <v>1</v>
      </c>
      <c r="AN168" s="544" t="str">
        <f t="shared" si="353"/>
        <v>Realizar posesiones de acuerdo con los nombramientos realizados</v>
      </c>
      <c r="AO168" s="550">
        <f t="shared" si="332"/>
        <v>0</v>
      </c>
      <c r="AP168" s="548" t="s">
        <v>48</v>
      </c>
      <c r="AQ168" s="545">
        <v>0.25</v>
      </c>
      <c r="AR168" s="544" t="str">
        <f t="shared" si="333"/>
        <v>Realizar posesiones de acuerdo con los nombramientos realizados</v>
      </c>
      <c r="AS168" s="542">
        <f t="shared" si="354"/>
        <v>0</v>
      </c>
      <c r="AT168" s="593">
        <f>(7/7)*0.25</f>
        <v>0.25</v>
      </c>
      <c r="AU168" s="614">
        <v>0</v>
      </c>
      <c r="AV168" s="543">
        <f t="shared" si="334"/>
        <v>1</v>
      </c>
      <c r="AW168" s="543" t="e">
        <f t="shared" si="335"/>
        <v>#DIV/0!</v>
      </c>
      <c r="AX168" s="543">
        <f t="shared" si="336"/>
        <v>0.25</v>
      </c>
      <c r="AY168" s="543" t="e">
        <f t="shared" si="337"/>
        <v>#DIV/0!</v>
      </c>
      <c r="AZ168" s="586" t="s">
        <v>1486</v>
      </c>
      <c r="BA168" s="545">
        <v>0.25</v>
      </c>
      <c r="BB168" s="544" t="str">
        <f t="shared" si="338"/>
        <v>Realizar posesiones de acuerdo con los nombramientos realizados</v>
      </c>
      <c r="BC168" s="542">
        <f t="shared" si="355"/>
        <v>0</v>
      </c>
      <c r="BD168" s="73"/>
      <c r="BE168" s="73"/>
      <c r="BF168" s="543">
        <f t="shared" si="339"/>
        <v>0</v>
      </c>
      <c r="BG168" s="543" t="e">
        <f t="shared" si="340"/>
        <v>#DIV/0!</v>
      </c>
      <c r="BH168" s="543">
        <f t="shared" si="341"/>
        <v>0.25</v>
      </c>
      <c r="BI168" s="543" t="e">
        <f t="shared" si="342"/>
        <v>#DIV/0!</v>
      </c>
      <c r="BJ168" s="543"/>
      <c r="BK168" s="545">
        <v>0.25</v>
      </c>
      <c r="BL168" s="544" t="str">
        <f t="shared" si="343"/>
        <v>Realizar posesiones de acuerdo con los nombramientos realizados</v>
      </c>
      <c r="BM168" s="542">
        <f t="shared" si="356"/>
        <v>0</v>
      </c>
      <c r="BN168" s="541"/>
      <c r="BO168" s="541"/>
      <c r="BP168" s="543">
        <f t="shared" si="344"/>
        <v>0</v>
      </c>
      <c r="BQ168" s="543" t="e">
        <f t="shared" si="345"/>
        <v>#DIV/0!</v>
      </c>
      <c r="BR168" s="543">
        <f t="shared" si="346"/>
        <v>0.25</v>
      </c>
      <c r="BS168" s="543" t="e">
        <f t="shared" si="347"/>
        <v>#DIV/0!</v>
      </c>
      <c r="BT168" s="543"/>
      <c r="BU168" s="545">
        <v>0.25</v>
      </c>
      <c r="BV168" s="544" t="str">
        <f t="shared" si="348"/>
        <v>Realizar posesiones de acuerdo con los nombramientos realizados</v>
      </c>
      <c r="BW168" s="542">
        <f t="shared" si="357"/>
        <v>0</v>
      </c>
      <c r="BX168" s="541"/>
      <c r="BY168" s="541"/>
      <c r="BZ168" s="547">
        <f t="shared" si="349"/>
        <v>0</v>
      </c>
      <c r="CA168" s="547" t="e">
        <f t="shared" si="350"/>
        <v>#DIV/0!</v>
      </c>
      <c r="CB168" s="547">
        <f t="shared" si="351"/>
        <v>0.25</v>
      </c>
      <c r="CC168" s="547" t="e">
        <f t="shared" si="352"/>
        <v>#DIV/0!</v>
      </c>
      <c r="CD168" s="547"/>
      <c r="CE168" s="546">
        <f t="shared" si="324"/>
        <v>1</v>
      </c>
      <c r="CF168" s="546" t="str">
        <f t="shared" si="325"/>
        <v>No Prog ni Ejec</v>
      </c>
      <c r="CG168" s="546">
        <f t="shared" si="326"/>
        <v>0</v>
      </c>
      <c r="CH168" s="546" t="str">
        <f t="shared" si="327"/>
        <v>No Prog ni Ejec</v>
      </c>
      <c r="CI168" s="546">
        <f t="shared" si="328"/>
        <v>0</v>
      </c>
      <c r="CJ168" s="546" t="str">
        <f t="shared" si="329"/>
        <v>No Prog ni Ejec</v>
      </c>
      <c r="CK168" s="546">
        <f t="shared" si="330"/>
        <v>0</v>
      </c>
      <c r="CL168" s="546" t="str">
        <f t="shared" si="331"/>
        <v>No Prog ni Ejec</v>
      </c>
      <c r="CM168" s="157">
        <f t="shared" si="265"/>
        <v>0</v>
      </c>
    </row>
    <row r="169" spans="1:107" s="86" customFormat="1" ht="102" customHeight="1" x14ac:dyDescent="0.2">
      <c r="A169" s="541">
        <v>11700</v>
      </c>
      <c r="B169" s="544" t="s">
        <v>14</v>
      </c>
      <c r="C169" s="544" t="s">
        <v>1119</v>
      </c>
      <c r="D169" s="145"/>
      <c r="E169" s="145"/>
      <c r="F169" s="145" t="s">
        <v>1108</v>
      </c>
      <c r="G169" s="145"/>
      <c r="H169" s="145"/>
      <c r="I169" s="145"/>
      <c r="J169" s="145"/>
      <c r="K169" s="145"/>
      <c r="L169" s="145"/>
      <c r="M169" s="145"/>
      <c r="N169" s="145"/>
      <c r="O169" s="145"/>
      <c r="P169" s="145"/>
      <c r="Q169" s="540" t="s">
        <v>206</v>
      </c>
      <c r="R169" s="540" t="s">
        <v>206</v>
      </c>
      <c r="S169" s="541" t="s">
        <v>240</v>
      </c>
      <c r="T169" s="544" t="s">
        <v>94</v>
      </c>
      <c r="U169" s="544" t="s">
        <v>206</v>
      </c>
      <c r="V169" s="544" t="s">
        <v>206</v>
      </c>
      <c r="W169" s="541" t="s">
        <v>955</v>
      </c>
      <c r="X169" s="559" t="s">
        <v>1120</v>
      </c>
      <c r="Y169" s="554" t="s">
        <v>51</v>
      </c>
      <c r="Z169" s="140">
        <v>1</v>
      </c>
      <c r="AA169" s="541" t="s">
        <v>946</v>
      </c>
      <c r="AB169" s="559" t="s">
        <v>1121</v>
      </c>
      <c r="AC169" s="569">
        <v>12823603315.700001</v>
      </c>
      <c r="AD169" s="545">
        <v>1</v>
      </c>
      <c r="AE169" s="544" t="s">
        <v>17</v>
      </c>
      <c r="AF169" s="544" t="s">
        <v>290</v>
      </c>
      <c r="AG169" s="544" t="s">
        <v>206</v>
      </c>
      <c r="AH169" s="544" t="s">
        <v>678</v>
      </c>
      <c r="AI169" s="544" t="s">
        <v>76</v>
      </c>
      <c r="AJ169" s="544" t="s">
        <v>1413</v>
      </c>
      <c r="AK169" s="559" t="s">
        <v>1122</v>
      </c>
      <c r="AL169" s="544" t="s">
        <v>206</v>
      </c>
      <c r="AM169" s="140">
        <v>1</v>
      </c>
      <c r="AN169" s="544" t="str">
        <f t="shared" si="353"/>
        <v>Realizar el seguimiento a la ejecución del Plan de Adquisiciones</v>
      </c>
      <c r="AO169" s="550">
        <f t="shared" si="332"/>
        <v>12823603315.700001</v>
      </c>
      <c r="AP169" s="548" t="s">
        <v>46</v>
      </c>
      <c r="AQ169" s="545">
        <v>0.25</v>
      </c>
      <c r="AR169" s="544" t="str">
        <f t="shared" si="333"/>
        <v>Realizar el seguimiento a la ejecución del Plan de Adquisiciones</v>
      </c>
      <c r="AS169" s="542">
        <f t="shared" si="354"/>
        <v>3205900828.9250002</v>
      </c>
      <c r="AT169" s="593">
        <f>(94/158)*25%</f>
        <v>0.14873417721518986</v>
      </c>
      <c r="AU169" s="581">
        <v>4187490186</v>
      </c>
      <c r="AV169" s="543">
        <f t="shared" si="334"/>
        <v>0.59493670886075944</v>
      </c>
      <c r="AW169" s="543">
        <f t="shared" si="335"/>
        <v>1.3061820715783481</v>
      </c>
      <c r="AX169" s="543">
        <f t="shared" si="336"/>
        <v>0.14873417721518986</v>
      </c>
      <c r="AY169" s="543">
        <f t="shared" si="337"/>
        <v>0.32654551789458702</v>
      </c>
      <c r="AZ169" s="586" t="s">
        <v>1487</v>
      </c>
      <c r="BA169" s="545">
        <v>0.25</v>
      </c>
      <c r="BB169" s="544" t="str">
        <f t="shared" si="338"/>
        <v>Realizar el seguimiento a la ejecución del Plan de Adquisiciones</v>
      </c>
      <c r="BC169" s="542">
        <f t="shared" si="355"/>
        <v>3205900828.9250002</v>
      </c>
      <c r="BD169" s="73"/>
      <c r="BE169" s="73"/>
      <c r="BF169" s="543">
        <f t="shared" si="339"/>
        <v>0</v>
      </c>
      <c r="BG169" s="543">
        <f t="shared" si="340"/>
        <v>0</v>
      </c>
      <c r="BH169" s="543">
        <f t="shared" si="341"/>
        <v>0.14873417721518986</v>
      </c>
      <c r="BI169" s="543">
        <f t="shared" si="342"/>
        <v>0.32654551789458702</v>
      </c>
      <c r="BJ169" s="543"/>
      <c r="BK169" s="545">
        <v>0.25</v>
      </c>
      <c r="BL169" s="544" t="str">
        <f t="shared" si="343"/>
        <v>Realizar el seguimiento a la ejecución del Plan de Adquisiciones</v>
      </c>
      <c r="BM169" s="542">
        <f t="shared" si="356"/>
        <v>3205900828.9250002</v>
      </c>
      <c r="BN169" s="541"/>
      <c r="BO169" s="541"/>
      <c r="BP169" s="543">
        <f t="shared" si="344"/>
        <v>0</v>
      </c>
      <c r="BQ169" s="543">
        <f t="shared" si="345"/>
        <v>0</v>
      </c>
      <c r="BR169" s="543">
        <f t="shared" si="346"/>
        <v>0.14873417721518986</v>
      </c>
      <c r="BS169" s="543">
        <f t="shared" si="347"/>
        <v>0.32654551789458702</v>
      </c>
      <c r="BT169" s="543"/>
      <c r="BU169" s="545">
        <v>0.25</v>
      </c>
      <c r="BV169" s="544" t="str">
        <f t="shared" si="348"/>
        <v>Realizar el seguimiento a la ejecución del Plan de Adquisiciones</v>
      </c>
      <c r="BW169" s="542">
        <f t="shared" si="357"/>
        <v>3205900828.9250002</v>
      </c>
      <c r="BX169" s="541"/>
      <c r="BY169" s="541"/>
      <c r="BZ169" s="547">
        <f t="shared" si="349"/>
        <v>0</v>
      </c>
      <c r="CA169" s="547">
        <f t="shared" si="350"/>
        <v>0</v>
      </c>
      <c r="CB169" s="547">
        <f t="shared" si="351"/>
        <v>0.14873417721518986</v>
      </c>
      <c r="CC169" s="547">
        <f t="shared" si="352"/>
        <v>0.32654551789458702</v>
      </c>
      <c r="CD169" s="547"/>
      <c r="CE169" s="546">
        <f t="shared" si="324"/>
        <v>0.59493670886075944</v>
      </c>
      <c r="CF169" s="546">
        <f t="shared" si="325"/>
        <v>1.3061820715783481</v>
      </c>
      <c r="CG169" s="546">
        <f t="shared" si="326"/>
        <v>0</v>
      </c>
      <c r="CH169" s="546">
        <f t="shared" si="327"/>
        <v>0</v>
      </c>
      <c r="CI169" s="546">
        <f t="shared" si="328"/>
        <v>0</v>
      </c>
      <c r="CJ169" s="546">
        <f t="shared" si="329"/>
        <v>0</v>
      </c>
      <c r="CK169" s="546">
        <f t="shared" si="330"/>
        <v>0</v>
      </c>
      <c r="CL169" s="546">
        <f t="shared" si="331"/>
        <v>0</v>
      </c>
      <c r="CM169" s="157">
        <f t="shared" si="265"/>
        <v>0</v>
      </c>
    </row>
    <row r="170" spans="1:107" s="86" customFormat="1" ht="89.25" x14ac:dyDescent="0.2">
      <c r="A170" s="541">
        <v>11400</v>
      </c>
      <c r="B170" s="544" t="s">
        <v>12</v>
      </c>
      <c r="C170" s="544" t="s">
        <v>338</v>
      </c>
      <c r="D170" s="145" t="s">
        <v>1108</v>
      </c>
      <c r="E170" s="145"/>
      <c r="F170" s="145"/>
      <c r="G170" s="145"/>
      <c r="H170" s="145"/>
      <c r="I170" s="145"/>
      <c r="J170" s="145"/>
      <c r="K170" s="145"/>
      <c r="L170" s="145"/>
      <c r="M170" s="145"/>
      <c r="N170" s="145"/>
      <c r="O170" s="145"/>
      <c r="P170" s="145"/>
      <c r="Q170" s="544" t="s">
        <v>1231</v>
      </c>
      <c r="R170" s="544" t="s">
        <v>1248</v>
      </c>
      <c r="S170" s="541" t="s">
        <v>68</v>
      </c>
      <c r="T170" s="544" t="s">
        <v>94</v>
      </c>
      <c r="U170" s="544" t="s">
        <v>206</v>
      </c>
      <c r="V170" s="544" t="s">
        <v>206</v>
      </c>
      <c r="W170" s="541" t="s">
        <v>86</v>
      </c>
      <c r="X170" s="559" t="s">
        <v>1153</v>
      </c>
      <c r="Y170" s="554" t="s">
        <v>394</v>
      </c>
      <c r="Z170" s="141">
        <v>1</v>
      </c>
      <c r="AA170" s="541" t="s">
        <v>69</v>
      </c>
      <c r="AB170" s="559" t="s">
        <v>1152</v>
      </c>
      <c r="AC170" s="542">
        <v>0</v>
      </c>
      <c r="AD170" s="545">
        <v>1</v>
      </c>
      <c r="AE170" s="544" t="s">
        <v>17</v>
      </c>
      <c r="AF170" s="544" t="s">
        <v>301</v>
      </c>
      <c r="AG170" s="544" t="s">
        <v>206</v>
      </c>
      <c r="AH170" s="544" t="s">
        <v>678</v>
      </c>
      <c r="AI170" s="544" t="s">
        <v>80</v>
      </c>
      <c r="AJ170" s="544" t="s">
        <v>206</v>
      </c>
      <c r="AK170" s="559" t="s">
        <v>1154</v>
      </c>
      <c r="AL170" s="544" t="s">
        <v>42</v>
      </c>
      <c r="AM170" s="140">
        <v>1</v>
      </c>
      <c r="AN170" s="544" t="str">
        <f t="shared" si="353"/>
        <v xml:space="preserve">Racionalizar el trámite de Solicitud compra de cartera a través del cambio en la Resolución 4373 de 2017 del ministerio de salud </v>
      </c>
      <c r="AO170" s="550">
        <f t="shared" ref="AO170:AO176" si="358">+AC170</f>
        <v>0</v>
      </c>
      <c r="AP170" s="548" t="s">
        <v>46</v>
      </c>
      <c r="AQ170" s="78">
        <v>0</v>
      </c>
      <c r="AR170" s="544" t="str">
        <f t="shared" si="333"/>
        <v xml:space="preserve">Racionalizar el trámite de Solicitud compra de cartera a través del cambio en la Resolución 4373 de 2017 del ministerio de salud </v>
      </c>
      <c r="AS170" s="542">
        <f t="shared" si="354"/>
        <v>0</v>
      </c>
      <c r="AT170" s="607">
        <v>0</v>
      </c>
      <c r="AU170" s="608">
        <v>0</v>
      </c>
      <c r="AV170" s="543" t="e">
        <f t="shared" si="334"/>
        <v>#DIV/0!</v>
      </c>
      <c r="AW170" s="543" t="e">
        <f t="shared" si="335"/>
        <v>#DIV/0!</v>
      </c>
      <c r="AX170" s="543">
        <f t="shared" si="336"/>
        <v>0</v>
      </c>
      <c r="AY170" s="543" t="e">
        <f t="shared" si="337"/>
        <v>#DIV/0!</v>
      </c>
      <c r="AZ170" s="609" t="s">
        <v>1531</v>
      </c>
      <c r="BA170" s="78">
        <v>1</v>
      </c>
      <c r="BB170" s="544" t="str">
        <f t="shared" si="338"/>
        <v xml:space="preserve">Racionalizar el trámite de Solicitud compra de cartera a través del cambio en la Resolución 4373 de 2017 del ministerio de salud </v>
      </c>
      <c r="BC170" s="542">
        <f t="shared" si="355"/>
        <v>0</v>
      </c>
      <c r="BD170" s="73"/>
      <c r="BE170" s="73"/>
      <c r="BF170" s="543">
        <f t="shared" si="339"/>
        <v>0</v>
      </c>
      <c r="BG170" s="543" t="e">
        <f t="shared" si="340"/>
        <v>#DIV/0!</v>
      </c>
      <c r="BH170" s="543">
        <f t="shared" si="341"/>
        <v>0</v>
      </c>
      <c r="BI170" s="543" t="e">
        <f t="shared" si="342"/>
        <v>#DIV/0!</v>
      </c>
      <c r="BJ170" s="543"/>
      <c r="BK170" s="78">
        <v>0</v>
      </c>
      <c r="BL170" s="544" t="str">
        <f t="shared" si="343"/>
        <v xml:space="preserve">Racionalizar el trámite de Solicitud compra de cartera a través del cambio en la Resolución 4373 de 2017 del ministerio de salud </v>
      </c>
      <c r="BM170" s="542">
        <f t="shared" si="356"/>
        <v>0</v>
      </c>
      <c r="BN170" s="541"/>
      <c r="BO170" s="541"/>
      <c r="BP170" s="543" t="e">
        <f t="shared" si="344"/>
        <v>#DIV/0!</v>
      </c>
      <c r="BQ170" s="543" t="e">
        <f t="shared" si="345"/>
        <v>#DIV/0!</v>
      </c>
      <c r="BR170" s="543">
        <f t="shared" si="346"/>
        <v>0</v>
      </c>
      <c r="BS170" s="543" t="e">
        <f t="shared" si="347"/>
        <v>#DIV/0!</v>
      </c>
      <c r="BT170" s="84"/>
      <c r="BU170" s="78">
        <v>0</v>
      </c>
      <c r="BV170" s="544" t="str">
        <f t="shared" si="348"/>
        <v xml:space="preserve">Racionalizar el trámite de Solicitud compra de cartera a través del cambio en la Resolución 4373 de 2017 del ministerio de salud </v>
      </c>
      <c r="BW170" s="542">
        <f t="shared" si="357"/>
        <v>0</v>
      </c>
      <c r="BX170" s="541"/>
      <c r="BY170" s="541"/>
      <c r="BZ170" s="547" t="e">
        <f t="shared" si="349"/>
        <v>#DIV/0!</v>
      </c>
      <c r="CA170" s="547" t="e">
        <f t="shared" si="350"/>
        <v>#DIV/0!</v>
      </c>
      <c r="CB170" s="547">
        <f t="shared" si="351"/>
        <v>0</v>
      </c>
      <c r="CC170" s="547" t="e">
        <f t="shared" si="352"/>
        <v>#DIV/0!</v>
      </c>
      <c r="CD170" s="84"/>
      <c r="CE170" s="546" t="str">
        <f t="shared" si="324"/>
        <v>No Prog ni Ejec</v>
      </c>
      <c r="CF170" s="546" t="str">
        <f t="shared" si="325"/>
        <v>No Prog ni Ejec</v>
      </c>
      <c r="CG170" s="546">
        <f t="shared" si="326"/>
        <v>0</v>
      </c>
      <c r="CH170" s="546" t="str">
        <f t="shared" si="327"/>
        <v>No Prog ni Ejec</v>
      </c>
      <c r="CI170" s="546" t="str">
        <f t="shared" si="328"/>
        <v>No Prog ni Ejec</v>
      </c>
      <c r="CJ170" s="546" t="str">
        <f t="shared" si="329"/>
        <v>No Prog ni Ejec</v>
      </c>
      <c r="CK170" s="546" t="str">
        <f t="shared" si="330"/>
        <v>No Prog ni Ejec</v>
      </c>
      <c r="CL170" s="546" t="str">
        <f t="shared" si="331"/>
        <v>No Prog ni Ejec</v>
      </c>
      <c r="CM170" s="157">
        <f t="shared" si="265"/>
        <v>0</v>
      </c>
    </row>
    <row r="171" spans="1:107" s="75" customFormat="1" ht="114.75" x14ac:dyDescent="0.2">
      <c r="A171" s="541">
        <v>11400</v>
      </c>
      <c r="B171" s="544" t="s">
        <v>12</v>
      </c>
      <c r="C171" s="544" t="s">
        <v>338</v>
      </c>
      <c r="D171" s="145" t="s">
        <v>1108</v>
      </c>
      <c r="E171" s="145"/>
      <c r="F171" s="145"/>
      <c r="G171" s="145"/>
      <c r="H171" s="145"/>
      <c r="I171" s="145"/>
      <c r="J171" s="145"/>
      <c r="K171" s="145"/>
      <c r="L171" s="145"/>
      <c r="M171" s="145"/>
      <c r="N171" s="145"/>
      <c r="O171" s="145"/>
      <c r="P171" s="145"/>
      <c r="Q171" s="544" t="s">
        <v>1230</v>
      </c>
      <c r="R171" s="544" t="s">
        <v>1237</v>
      </c>
      <c r="S171" s="541" t="s">
        <v>68</v>
      </c>
      <c r="T171" s="544" t="s">
        <v>94</v>
      </c>
      <c r="U171" s="544" t="s">
        <v>206</v>
      </c>
      <c r="V171" s="544" t="s">
        <v>206</v>
      </c>
      <c r="W171" s="541" t="s">
        <v>145</v>
      </c>
      <c r="X171" s="544" t="s">
        <v>1146</v>
      </c>
      <c r="Y171" s="554" t="s">
        <v>394</v>
      </c>
      <c r="Z171" s="66">
        <v>3</v>
      </c>
      <c r="AA171" s="541" t="s">
        <v>144</v>
      </c>
      <c r="AB171" s="544" t="s">
        <v>1145</v>
      </c>
      <c r="AC171" s="542">
        <v>0</v>
      </c>
      <c r="AD171" s="545">
        <v>1</v>
      </c>
      <c r="AE171" s="544" t="s">
        <v>17</v>
      </c>
      <c r="AF171" s="544" t="s">
        <v>297</v>
      </c>
      <c r="AG171" s="544" t="s">
        <v>206</v>
      </c>
      <c r="AH171" s="544" t="s">
        <v>678</v>
      </c>
      <c r="AI171" s="544" t="s">
        <v>1136</v>
      </c>
      <c r="AJ171" s="544" t="s">
        <v>1396</v>
      </c>
      <c r="AK171" s="544" t="s">
        <v>1147</v>
      </c>
      <c r="AL171" s="544" t="s">
        <v>206</v>
      </c>
      <c r="AM171" s="67">
        <v>3</v>
      </c>
      <c r="AN171" s="544" t="str">
        <f t="shared" si="353"/>
        <v>Realizar reuniones de autocontrol y seguimiento a los procesos que evidencien el monitoreo a los riesgos, indicadores, planes de mejoramiento, manuales y documentos asociados</v>
      </c>
      <c r="AO171" s="550">
        <f t="shared" si="358"/>
        <v>0</v>
      </c>
      <c r="AP171" s="548" t="s">
        <v>48</v>
      </c>
      <c r="AQ171" s="67">
        <v>0</v>
      </c>
      <c r="AR171" s="544" t="str">
        <f t="shared" si="333"/>
        <v>Realizar reuniones de autocontrol y seguimiento a los procesos que evidencien el monitoreo a los riesgos, indicadores, planes de mejoramiento, manuales y documentos asociados</v>
      </c>
      <c r="AS171" s="542">
        <f t="shared" si="354"/>
        <v>0</v>
      </c>
      <c r="AT171" s="607">
        <v>0</v>
      </c>
      <c r="AU171" s="608">
        <v>0</v>
      </c>
      <c r="AV171" s="543" t="e">
        <f t="shared" si="334"/>
        <v>#DIV/0!</v>
      </c>
      <c r="AW171" s="543" t="e">
        <f t="shared" si="335"/>
        <v>#DIV/0!</v>
      </c>
      <c r="AX171" s="543">
        <f t="shared" si="336"/>
        <v>0</v>
      </c>
      <c r="AY171" s="543" t="e">
        <f t="shared" si="337"/>
        <v>#DIV/0!</v>
      </c>
      <c r="AZ171" s="624" t="s">
        <v>1531</v>
      </c>
      <c r="BA171" s="67">
        <v>1</v>
      </c>
      <c r="BB171" s="544" t="str">
        <f t="shared" si="338"/>
        <v>Realizar reuniones de autocontrol y seguimiento a los procesos que evidencien el monitoreo a los riesgos, indicadores, planes de mejoramiento, manuales y documentos asociados</v>
      </c>
      <c r="BC171" s="542">
        <f t="shared" si="355"/>
        <v>0</v>
      </c>
      <c r="BD171" s="73"/>
      <c r="BE171" s="73"/>
      <c r="BF171" s="543">
        <f t="shared" si="339"/>
        <v>0</v>
      </c>
      <c r="BG171" s="543" t="e">
        <f t="shared" si="340"/>
        <v>#DIV/0!</v>
      </c>
      <c r="BH171" s="543">
        <f t="shared" si="341"/>
        <v>0</v>
      </c>
      <c r="BI171" s="543" t="e">
        <f t="shared" si="342"/>
        <v>#DIV/0!</v>
      </c>
      <c r="BJ171" s="543"/>
      <c r="BK171" s="67">
        <v>1</v>
      </c>
      <c r="BL171" s="544" t="str">
        <f t="shared" si="343"/>
        <v>Realizar reuniones de autocontrol y seguimiento a los procesos que evidencien el monitoreo a los riesgos, indicadores, planes de mejoramiento, manuales y documentos asociados</v>
      </c>
      <c r="BM171" s="542">
        <f t="shared" si="356"/>
        <v>0</v>
      </c>
      <c r="BN171" s="541"/>
      <c r="BO171" s="541"/>
      <c r="BP171" s="543">
        <f t="shared" si="344"/>
        <v>0</v>
      </c>
      <c r="BQ171" s="543" t="e">
        <f t="shared" si="345"/>
        <v>#DIV/0!</v>
      </c>
      <c r="BR171" s="543">
        <f t="shared" si="346"/>
        <v>0</v>
      </c>
      <c r="BS171" s="543" t="e">
        <f t="shared" si="347"/>
        <v>#DIV/0!</v>
      </c>
      <c r="BT171" s="543"/>
      <c r="BU171" s="67">
        <v>1</v>
      </c>
      <c r="BV171" s="544" t="str">
        <f t="shared" si="348"/>
        <v>Realizar reuniones de autocontrol y seguimiento a los procesos que evidencien el monitoreo a los riesgos, indicadores, planes de mejoramiento, manuales y documentos asociados</v>
      </c>
      <c r="BW171" s="542">
        <f t="shared" si="357"/>
        <v>0</v>
      </c>
      <c r="BX171" s="541"/>
      <c r="BY171" s="541"/>
      <c r="BZ171" s="547">
        <f t="shared" si="349"/>
        <v>0</v>
      </c>
      <c r="CA171" s="547" t="e">
        <f t="shared" si="350"/>
        <v>#DIV/0!</v>
      </c>
      <c r="CB171" s="547">
        <f t="shared" si="351"/>
        <v>0</v>
      </c>
      <c r="CC171" s="547" t="e">
        <f t="shared" si="352"/>
        <v>#DIV/0!</v>
      </c>
      <c r="CD171" s="547"/>
      <c r="CE171" s="546" t="str">
        <f t="shared" si="324"/>
        <v>No Prog ni Ejec</v>
      </c>
      <c r="CF171" s="546" t="str">
        <f t="shared" si="325"/>
        <v>No Prog ni Ejec</v>
      </c>
      <c r="CG171" s="546">
        <f t="shared" si="326"/>
        <v>0</v>
      </c>
      <c r="CH171" s="546" t="str">
        <f t="shared" si="327"/>
        <v>No Prog ni Ejec</v>
      </c>
      <c r="CI171" s="546">
        <f t="shared" si="328"/>
        <v>0</v>
      </c>
      <c r="CJ171" s="546" t="str">
        <f t="shared" si="329"/>
        <v>No Prog ni Ejec</v>
      </c>
      <c r="CK171" s="546">
        <f t="shared" si="330"/>
        <v>0</v>
      </c>
      <c r="CL171" s="546" t="str">
        <f t="shared" si="331"/>
        <v>No Prog ni Ejec</v>
      </c>
      <c r="CM171" s="157">
        <f t="shared" si="265"/>
        <v>0</v>
      </c>
      <c r="CW171" s="138"/>
    </row>
    <row r="172" spans="1:107" s="75" customFormat="1" ht="99.75" customHeight="1" x14ac:dyDescent="0.2">
      <c r="A172" s="541">
        <v>11500</v>
      </c>
      <c r="B172" s="544" t="s">
        <v>13</v>
      </c>
      <c r="C172" s="544" t="s">
        <v>338</v>
      </c>
      <c r="D172" s="145" t="s">
        <v>1108</v>
      </c>
      <c r="E172" s="145"/>
      <c r="F172" s="145"/>
      <c r="G172" s="145"/>
      <c r="H172" s="145"/>
      <c r="I172" s="145"/>
      <c r="J172" s="145"/>
      <c r="K172" s="145"/>
      <c r="L172" s="145"/>
      <c r="M172" s="145"/>
      <c r="N172" s="145"/>
      <c r="O172" s="145"/>
      <c r="P172" s="145"/>
      <c r="Q172" s="544" t="s">
        <v>1230</v>
      </c>
      <c r="R172" s="544" t="s">
        <v>1237</v>
      </c>
      <c r="S172" s="541" t="s">
        <v>96</v>
      </c>
      <c r="T172" s="544" t="s">
        <v>94</v>
      </c>
      <c r="U172" s="544" t="s">
        <v>206</v>
      </c>
      <c r="V172" s="544" t="s">
        <v>206</v>
      </c>
      <c r="W172" s="541" t="s">
        <v>108</v>
      </c>
      <c r="X172" s="544" t="s">
        <v>1146</v>
      </c>
      <c r="Y172" s="554" t="s">
        <v>394</v>
      </c>
      <c r="Z172" s="66">
        <v>3</v>
      </c>
      <c r="AA172" s="541" t="s">
        <v>98</v>
      </c>
      <c r="AB172" s="544" t="s">
        <v>1145</v>
      </c>
      <c r="AC172" s="542">
        <v>0</v>
      </c>
      <c r="AD172" s="545">
        <v>1</v>
      </c>
      <c r="AE172" s="544" t="s">
        <v>17</v>
      </c>
      <c r="AF172" s="544" t="s">
        <v>297</v>
      </c>
      <c r="AG172" s="544" t="s">
        <v>206</v>
      </c>
      <c r="AH172" s="544" t="s">
        <v>678</v>
      </c>
      <c r="AI172" s="544" t="s">
        <v>1136</v>
      </c>
      <c r="AJ172" s="544" t="s">
        <v>1396</v>
      </c>
      <c r="AK172" s="544" t="s">
        <v>1147</v>
      </c>
      <c r="AL172" s="544" t="s">
        <v>206</v>
      </c>
      <c r="AM172" s="67">
        <v>3</v>
      </c>
      <c r="AN172" s="544" t="str">
        <f t="shared" si="353"/>
        <v>Realizar reuniones de autocontrol y seguimiento a los procesos que evidencien el monitoreo a los riesgos, indicadores, planes de mejoramiento, manuales y documentos asociados</v>
      </c>
      <c r="AO172" s="550">
        <f t="shared" si="358"/>
        <v>0</v>
      </c>
      <c r="AP172" s="548" t="s">
        <v>48</v>
      </c>
      <c r="AQ172" s="67">
        <v>0</v>
      </c>
      <c r="AR172" s="544" t="str">
        <f t="shared" si="333"/>
        <v>Realizar reuniones de autocontrol y seguimiento a los procesos que evidencien el monitoreo a los riesgos, indicadores, planes de mejoramiento, manuales y documentos asociados</v>
      </c>
      <c r="AS172" s="542">
        <f t="shared" si="354"/>
        <v>0</v>
      </c>
      <c r="AT172" s="587">
        <v>0</v>
      </c>
      <c r="AU172" s="614">
        <v>0</v>
      </c>
      <c r="AV172" s="543" t="e">
        <f t="shared" si="334"/>
        <v>#DIV/0!</v>
      </c>
      <c r="AW172" s="543" t="e">
        <f t="shared" si="335"/>
        <v>#DIV/0!</v>
      </c>
      <c r="AX172" s="543">
        <f t="shared" si="336"/>
        <v>0</v>
      </c>
      <c r="AY172" s="543" t="e">
        <f t="shared" si="337"/>
        <v>#DIV/0!</v>
      </c>
      <c r="AZ172" s="586" t="s">
        <v>1454</v>
      </c>
      <c r="BA172" s="67">
        <v>1</v>
      </c>
      <c r="BB172" s="544" t="str">
        <f t="shared" si="338"/>
        <v>Realizar reuniones de autocontrol y seguimiento a los procesos que evidencien el monitoreo a los riesgos, indicadores, planes de mejoramiento, manuales y documentos asociados</v>
      </c>
      <c r="BC172" s="542">
        <f t="shared" si="355"/>
        <v>0</v>
      </c>
      <c r="BD172" s="73"/>
      <c r="BE172" s="73"/>
      <c r="BF172" s="543">
        <f t="shared" si="339"/>
        <v>0</v>
      </c>
      <c r="BG172" s="543" t="e">
        <f t="shared" si="340"/>
        <v>#DIV/0!</v>
      </c>
      <c r="BH172" s="543">
        <f t="shared" si="341"/>
        <v>0</v>
      </c>
      <c r="BI172" s="543" t="e">
        <f t="shared" si="342"/>
        <v>#DIV/0!</v>
      </c>
      <c r="BJ172" s="543"/>
      <c r="BK172" s="67">
        <v>1</v>
      </c>
      <c r="BL172" s="544" t="str">
        <f t="shared" si="343"/>
        <v>Realizar reuniones de autocontrol y seguimiento a los procesos que evidencien el monitoreo a los riesgos, indicadores, planes de mejoramiento, manuales y documentos asociados</v>
      </c>
      <c r="BM172" s="542">
        <f t="shared" si="356"/>
        <v>0</v>
      </c>
      <c r="BN172" s="541"/>
      <c r="BO172" s="541"/>
      <c r="BP172" s="543">
        <f t="shared" si="344"/>
        <v>0</v>
      </c>
      <c r="BQ172" s="543" t="e">
        <f t="shared" si="345"/>
        <v>#DIV/0!</v>
      </c>
      <c r="BR172" s="543">
        <f t="shared" si="346"/>
        <v>0</v>
      </c>
      <c r="BS172" s="543" t="e">
        <f t="shared" si="347"/>
        <v>#DIV/0!</v>
      </c>
      <c r="BT172" s="543"/>
      <c r="BU172" s="67">
        <v>1</v>
      </c>
      <c r="BV172" s="544" t="str">
        <f t="shared" si="348"/>
        <v>Realizar reuniones de autocontrol y seguimiento a los procesos que evidencien el monitoreo a los riesgos, indicadores, planes de mejoramiento, manuales y documentos asociados</v>
      </c>
      <c r="BW172" s="542">
        <f t="shared" si="357"/>
        <v>0</v>
      </c>
      <c r="BX172" s="541"/>
      <c r="BY172" s="541"/>
      <c r="BZ172" s="547">
        <f t="shared" si="349"/>
        <v>0</v>
      </c>
      <c r="CA172" s="547" t="e">
        <f t="shared" si="350"/>
        <v>#DIV/0!</v>
      </c>
      <c r="CB172" s="547">
        <f t="shared" si="351"/>
        <v>0</v>
      </c>
      <c r="CC172" s="547" t="e">
        <f t="shared" si="352"/>
        <v>#DIV/0!</v>
      </c>
      <c r="CD172" s="547"/>
      <c r="CE172" s="546" t="str">
        <f t="shared" si="324"/>
        <v>No Prog ni Ejec</v>
      </c>
      <c r="CF172" s="546" t="str">
        <f t="shared" si="325"/>
        <v>No Prog ni Ejec</v>
      </c>
      <c r="CG172" s="546">
        <f t="shared" si="326"/>
        <v>0</v>
      </c>
      <c r="CH172" s="546" t="str">
        <f t="shared" si="327"/>
        <v>No Prog ni Ejec</v>
      </c>
      <c r="CI172" s="546">
        <f t="shared" si="328"/>
        <v>0</v>
      </c>
      <c r="CJ172" s="546" t="str">
        <f t="shared" si="329"/>
        <v>No Prog ni Ejec</v>
      </c>
      <c r="CK172" s="546">
        <f t="shared" si="330"/>
        <v>0</v>
      </c>
      <c r="CL172" s="546" t="str">
        <f t="shared" si="331"/>
        <v>No Prog ni Ejec</v>
      </c>
      <c r="CM172" s="157">
        <f t="shared" si="265"/>
        <v>0</v>
      </c>
      <c r="CW172" s="138"/>
    </row>
    <row r="173" spans="1:107" s="86" customFormat="1" ht="89.25" customHeight="1" x14ac:dyDescent="0.2">
      <c r="A173" s="541">
        <v>12000</v>
      </c>
      <c r="B173" s="544" t="s">
        <v>15</v>
      </c>
      <c r="C173" s="544" t="s">
        <v>338</v>
      </c>
      <c r="D173" s="145"/>
      <c r="E173" s="145" t="s">
        <v>1108</v>
      </c>
      <c r="F173" s="145"/>
      <c r="G173" s="145"/>
      <c r="H173" s="145"/>
      <c r="I173" s="145"/>
      <c r="J173" s="145"/>
      <c r="K173" s="145"/>
      <c r="L173" s="145"/>
      <c r="M173" s="145"/>
      <c r="N173" s="145"/>
      <c r="O173" s="145"/>
      <c r="P173" s="145"/>
      <c r="Q173" s="544" t="s">
        <v>1232</v>
      </c>
      <c r="R173" s="544" t="s">
        <v>1235</v>
      </c>
      <c r="S173" s="541" t="s">
        <v>53</v>
      </c>
      <c r="T173" s="544" t="s">
        <v>94</v>
      </c>
      <c r="U173" s="544" t="s">
        <v>206</v>
      </c>
      <c r="V173" s="544" t="s">
        <v>206</v>
      </c>
      <c r="W173" s="541" t="s">
        <v>1220</v>
      </c>
      <c r="X173" s="544" t="s">
        <v>1174</v>
      </c>
      <c r="Y173" s="189" t="s">
        <v>394</v>
      </c>
      <c r="Z173" s="78">
        <v>1</v>
      </c>
      <c r="AA173" s="541" t="s">
        <v>1219</v>
      </c>
      <c r="AB173" s="544" t="s">
        <v>1173</v>
      </c>
      <c r="AC173" s="558">
        <v>0</v>
      </c>
      <c r="AD173" s="545">
        <v>1</v>
      </c>
      <c r="AE173" s="544" t="s">
        <v>17</v>
      </c>
      <c r="AF173" s="544" t="s">
        <v>297</v>
      </c>
      <c r="AG173" s="544" t="s">
        <v>206</v>
      </c>
      <c r="AH173" s="544" t="s">
        <v>678</v>
      </c>
      <c r="AI173" s="544" t="s">
        <v>1136</v>
      </c>
      <c r="AJ173" s="544" t="s">
        <v>1401</v>
      </c>
      <c r="AK173" s="544" t="s">
        <v>1176</v>
      </c>
      <c r="AL173" s="544" t="s">
        <v>44</v>
      </c>
      <c r="AM173" s="78">
        <v>1</v>
      </c>
      <c r="AN173" s="544" t="str">
        <f>+AB173</f>
        <v>Hacer seguimiento a la implementación de MIPG</v>
      </c>
      <c r="AO173" s="550">
        <f t="shared" si="358"/>
        <v>0</v>
      </c>
      <c r="AP173" s="548" t="s">
        <v>48</v>
      </c>
      <c r="AQ173" s="561">
        <v>0.25</v>
      </c>
      <c r="AR173" s="544" t="str">
        <f t="shared" si="333"/>
        <v>Hacer seguimiento a la implementación de MIPG</v>
      </c>
      <c r="AS173" s="542">
        <f>+AO173/4</f>
        <v>0</v>
      </c>
      <c r="AT173" s="611">
        <f>1*25%</f>
        <v>0.25</v>
      </c>
      <c r="AU173" s="627">
        <v>0</v>
      </c>
      <c r="AV173" s="543">
        <f t="shared" si="334"/>
        <v>1</v>
      </c>
      <c r="AW173" s="543" t="e">
        <f t="shared" si="335"/>
        <v>#DIV/0!</v>
      </c>
      <c r="AX173" s="543">
        <f t="shared" si="336"/>
        <v>0.25</v>
      </c>
      <c r="AY173" s="543" t="e">
        <f t="shared" si="337"/>
        <v>#DIV/0!</v>
      </c>
      <c r="AZ173" s="629" t="s">
        <v>1528</v>
      </c>
      <c r="BA173" s="561">
        <v>0.25</v>
      </c>
      <c r="BB173" s="544" t="str">
        <f t="shared" si="338"/>
        <v>Hacer seguimiento a la implementación de MIPG</v>
      </c>
      <c r="BC173" s="542">
        <f>+AO173/4</f>
        <v>0</v>
      </c>
      <c r="BD173" s="73"/>
      <c r="BE173" s="73"/>
      <c r="BF173" s="543">
        <f t="shared" si="339"/>
        <v>0</v>
      </c>
      <c r="BG173" s="543" t="e">
        <f t="shared" si="340"/>
        <v>#DIV/0!</v>
      </c>
      <c r="BH173" s="543">
        <f t="shared" si="341"/>
        <v>0.25</v>
      </c>
      <c r="BI173" s="543" t="e">
        <f t="shared" si="342"/>
        <v>#DIV/0!</v>
      </c>
      <c r="BJ173" s="543"/>
      <c r="BK173" s="561">
        <v>0.25</v>
      </c>
      <c r="BL173" s="544" t="str">
        <f t="shared" si="343"/>
        <v>Hacer seguimiento a la implementación de MIPG</v>
      </c>
      <c r="BM173" s="542">
        <f>+AO173/4</f>
        <v>0</v>
      </c>
      <c r="BN173" s="541"/>
      <c r="BO173" s="541"/>
      <c r="BP173" s="543">
        <f t="shared" si="344"/>
        <v>0</v>
      </c>
      <c r="BQ173" s="543" t="e">
        <f t="shared" si="345"/>
        <v>#DIV/0!</v>
      </c>
      <c r="BR173" s="543">
        <f t="shared" si="346"/>
        <v>0.25</v>
      </c>
      <c r="BS173" s="543" t="e">
        <f t="shared" si="347"/>
        <v>#DIV/0!</v>
      </c>
      <c r="BT173" s="543"/>
      <c r="BU173" s="561">
        <v>0.25</v>
      </c>
      <c r="BV173" s="544" t="str">
        <f t="shared" si="348"/>
        <v>Hacer seguimiento a la implementación de MIPG</v>
      </c>
      <c r="BW173" s="542">
        <f>+AO173/4</f>
        <v>0</v>
      </c>
      <c r="BX173" s="541"/>
      <c r="BY173" s="541"/>
      <c r="BZ173" s="547">
        <f t="shared" si="349"/>
        <v>0</v>
      </c>
      <c r="CA173" s="547" t="e">
        <f t="shared" si="350"/>
        <v>#DIV/0!</v>
      </c>
      <c r="CB173" s="547">
        <f t="shared" si="351"/>
        <v>0.25</v>
      </c>
      <c r="CC173" s="547" t="e">
        <f t="shared" si="352"/>
        <v>#DIV/0!</v>
      </c>
      <c r="CD173" s="547"/>
      <c r="CE173" s="546">
        <f t="shared" si="324"/>
        <v>1</v>
      </c>
      <c r="CF173" s="546" t="str">
        <f t="shared" si="325"/>
        <v>No Prog ni Ejec</v>
      </c>
      <c r="CG173" s="546">
        <f t="shared" si="326"/>
        <v>0</v>
      </c>
      <c r="CH173" s="546" t="str">
        <f t="shared" si="327"/>
        <v>No Prog ni Ejec</v>
      </c>
      <c r="CI173" s="546">
        <f t="shared" si="328"/>
        <v>0</v>
      </c>
      <c r="CJ173" s="546" t="str">
        <f t="shared" si="329"/>
        <v>No Prog ni Ejec</v>
      </c>
      <c r="CK173" s="546">
        <f t="shared" si="330"/>
        <v>0</v>
      </c>
      <c r="CL173" s="546" t="str">
        <f t="shared" si="331"/>
        <v>No Prog ni Ejec</v>
      </c>
      <c r="CM173" s="157">
        <f t="shared" si="265"/>
        <v>0</v>
      </c>
    </row>
    <row r="174" spans="1:107" ht="242.25" x14ac:dyDescent="0.25">
      <c r="A174" s="541" t="s">
        <v>1342</v>
      </c>
      <c r="B174" s="544" t="s">
        <v>1341</v>
      </c>
      <c r="C174" s="605" t="s">
        <v>334</v>
      </c>
      <c r="D174" s="562"/>
      <c r="E174" s="145" t="s">
        <v>1108</v>
      </c>
      <c r="F174" s="562"/>
      <c r="G174" s="562"/>
      <c r="H174" s="562"/>
      <c r="I174" s="562"/>
      <c r="J174" s="562"/>
      <c r="K174" s="562"/>
      <c r="L174" s="562"/>
      <c r="M174" s="562"/>
      <c r="N174" s="562"/>
      <c r="O174" s="145" t="s">
        <v>1108</v>
      </c>
      <c r="P174" s="562"/>
      <c r="Q174" s="544" t="s">
        <v>206</v>
      </c>
      <c r="R174" s="544" t="s">
        <v>206</v>
      </c>
      <c r="S174" s="541" t="s">
        <v>1343</v>
      </c>
      <c r="T174" s="544" t="s">
        <v>94</v>
      </c>
      <c r="U174" s="544" t="s">
        <v>206</v>
      </c>
      <c r="V174" s="544" t="s">
        <v>206</v>
      </c>
      <c r="W174" s="150" t="s">
        <v>1346</v>
      </c>
      <c r="X174" s="559" t="s">
        <v>1355</v>
      </c>
      <c r="Y174" s="108" t="s">
        <v>394</v>
      </c>
      <c r="Z174" s="78">
        <v>1</v>
      </c>
      <c r="AA174" s="150" t="s">
        <v>1347</v>
      </c>
      <c r="AB174" s="559" t="s">
        <v>1352</v>
      </c>
      <c r="AC174" s="542">
        <v>0</v>
      </c>
      <c r="AD174" s="545">
        <v>1</v>
      </c>
      <c r="AE174" s="544" t="s">
        <v>17</v>
      </c>
      <c r="AF174" s="544" t="s">
        <v>299</v>
      </c>
      <c r="AG174" s="544" t="s">
        <v>206</v>
      </c>
      <c r="AH174" s="544" t="s">
        <v>678</v>
      </c>
      <c r="AI174" s="544" t="s">
        <v>81</v>
      </c>
      <c r="AJ174" s="544" t="s">
        <v>1388</v>
      </c>
      <c r="AK174" s="559" t="s">
        <v>1356</v>
      </c>
      <c r="AL174" s="544" t="s">
        <v>206</v>
      </c>
      <c r="AM174" s="67">
        <f>+Z174</f>
        <v>1</v>
      </c>
      <c r="AN174" s="544" t="str">
        <f>+AB174</f>
        <v>Realizar autodiagnóstico frente al cumplimiento del Régimen de protección de datos personales</v>
      </c>
      <c r="AO174" s="550">
        <f t="shared" si="358"/>
        <v>0</v>
      </c>
      <c r="AP174" s="548" t="s">
        <v>48</v>
      </c>
      <c r="AQ174" s="541">
        <v>1</v>
      </c>
      <c r="AR174" s="544" t="str">
        <f t="shared" si="333"/>
        <v>Realizar autodiagnóstico frente al cumplimiento del Régimen de protección de datos personales</v>
      </c>
      <c r="AS174" s="542">
        <v>0</v>
      </c>
      <c r="AT174" s="607">
        <v>1</v>
      </c>
      <c r="AU174" s="612">
        <v>0</v>
      </c>
      <c r="AV174" s="543">
        <f t="shared" si="334"/>
        <v>1</v>
      </c>
      <c r="AW174" s="543" t="e">
        <f t="shared" si="335"/>
        <v>#DIV/0!</v>
      </c>
      <c r="AX174" s="543">
        <f t="shared" si="336"/>
        <v>1</v>
      </c>
      <c r="AY174" s="543" t="e">
        <f t="shared" si="337"/>
        <v>#DIV/0!</v>
      </c>
      <c r="AZ174" s="577" t="s">
        <v>1537</v>
      </c>
      <c r="BA174" s="563">
        <v>0</v>
      </c>
      <c r="BB174" s="544" t="str">
        <f t="shared" si="338"/>
        <v>Realizar autodiagnóstico frente al cumplimiento del Régimen de protección de datos personales</v>
      </c>
      <c r="BC174" s="542">
        <v>0</v>
      </c>
      <c r="BD174" s="73"/>
      <c r="BE174" s="551"/>
      <c r="BF174" s="543" t="e">
        <f t="shared" si="339"/>
        <v>#DIV/0!</v>
      </c>
      <c r="BG174" s="543" t="e">
        <f t="shared" si="340"/>
        <v>#DIV/0!</v>
      </c>
      <c r="BH174" s="543">
        <f t="shared" si="341"/>
        <v>1</v>
      </c>
      <c r="BI174" s="553" t="e">
        <f t="shared" si="342"/>
        <v>#DIV/0!</v>
      </c>
      <c r="BJ174" s="543"/>
      <c r="BK174" s="541">
        <v>0</v>
      </c>
      <c r="BL174" s="544" t="str">
        <f t="shared" si="343"/>
        <v>Realizar autodiagnóstico frente al cumplimiento del Régimen de protección de datos personales</v>
      </c>
      <c r="BM174" s="542">
        <v>0</v>
      </c>
      <c r="BN174" s="541"/>
      <c r="BO174" s="541"/>
      <c r="BP174" s="543" t="e">
        <f t="shared" si="344"/>
        <v>#DIV/0!</v>
      </c>
      <c r="BQ174" s="543" t="e">
        <f t="shared" si="345"/>
        <v>#DIV/0!</v>
      </c>
      <c r="BR174" s="543">
        <f t="shared" si="346"/>
        <v>1</v>
      </c>
      <c r="BS174" s="553" t="e">
        <f t="shared" si="347"/>
        <v>#DIV/0!</v>
      </c>
      <c r="BT174" s="543"/>
      <c r="BU174" s="221">
        <v>0</v>
      </c>
      <c r="BV174" s="544" t="str">
        <f t="shared" si="348"/>
        <v>Realizar autodiagnóstico frente al cumplimiento del Régimen de protección de datos personales</v>
      </c>
      <c r="BW174" s="542">
        <v>0</v>
      </c>
      <c r="BX174" s="541"/>
      <c r="BY174" s="541"/>
      <c r="BZ174" s="547" t="e">
        <f t="shared" si="349"/>
        <v>#DIV/0!</v>
      </c>
      <c r="CA174" s="547" t="e">
        <f>+(#REF!/#REF!)</f>
        <v>#REF!</v>
      </c>
      <c r="CB174" s="547">
        <f t="shared" si="351"/>
        <v>1</v>
      </c>
      <c r="CC174" s="552" t="e">
        <f>+(#REF!+#REF!+#REF!+#REF!)/#REF!</f>
        <v>#REF!</v>
      </c>
      <c r="CD174" s="547"/>
      <c r="CE174" s="546">
        <f t="shared" si="324"/>
        <v>1</v>
      </c>
      <c r="CF174" s="613" t="str">
        <f t="shared" si="325"/>
        <v>No Prog ni Ejec</v>
      </c>
      <c r="CG174" s="546" t="str">
        <f t="shared" si="326"/>
        <v>No Prog ni Ejec</v>
      </c>
      <c r="CH174" s="613" t="str">
        <f t="shared" si="327"/>
        <v>No Prog ni Ejec</v>
      </c>
      <c r="CI174" s="546" t="str">
        <f t="shared" si="328"/>
        <v>No Prog ni Ejec</v>
      </c>
      <c r="CJ174" s="613" t="str">
        <f t="shared" si="329"/>
        <v>No Prog ni Ejec</v>
      </c>
      <c r="CK174" s="546" t="str">
        <f t="shared" si="330"/>
        <v>No Prog ni Ejec</v>
      </c>
      <c r="CL174" s="613" t="str">
        <f t="shared" si="331"/>
        <v>No Prog ni Ejec</v>
      </c>
      <c r="CM174" s="157">
        <f>+AC174-AS174-BC174-BM174-BW174</f>
        <v>0</v>
      </c>
    </row>
    <row r="175" spans="1:107" ht="114.75" x14ac:dyDescent="0.25">
      <c r="A175" s="541" t="s">
        <v>1342</v>
      </c>
      <c r="B175" s="544" t="s">
        <v>1341</v>
      </c>
      <c r="C175" s="605" t="s">
        <v>334</v>
      </c>
      <c r="D175" s="562"/>
      <c r="E175" s="145" t="s">
        <v>1108</v>
      </c>
      <c r="F175" s="562"/>
      <c r="G175" s="562"/>
      <c r="H175" s="562"/>
      <c r="I175" s="562"/>
      <c r="J175" s="562"/>
      <c r="K175" s="562"/>
      <c r="L175" s="562"/>
      <c r="M175" s="562"/>
      <c r="N175" s="562"/>
      <c r="O175" s="145" t="s">
        <v>1108</v>
      </c>
      <c r="P175" s="562"/>
      <c r="Q175" s="544" t="s">
        <v>206</v>
      </c>
      <c r="R175" s="544" t="s">
        <v>206</v>
      </c>
      <c r="S175" s="541" t="s">
        <v>1343</v>
      </c>
      <c r="T175" s="544" t="s">
        <v>94</v>
      </c>
      <c r="U175" s="544" t="s">
        <v>206</v>
      </c>
      <c r="V175" s="544" t="s">
        <v>206</v>
      </c>
      <c r="W175" s="150" t="s">
        <v>1350</v>
      </c>
      <c r="X175" s="559" t="s">
        <v>1344</v>
      </c>
      <c r="Y175" s="108" t="s">
        <v>394</v>
      </c>
      <c r="Z175" s="78">
        <v>1</v>
      </c>
      <c r="AA175" s="150" t="s">
        <v>1348</v>
      </c>
      <c r="AB175" s="559" t="s">
        <v>1353</v>
      </c>
      <c r="AC175" s="542">
        <v>0</v>
      </c>
      <c r="AD175" s="545">
        <v>1</v>
      </c>
      <c r="AE175" s="544" t="s">
        <v>17</v>
      </c>
      <c r="AF175" s="544" t="s">
        <v>299</v>
      </c>
      <c r="AG175" s="544" t="s">
        <v>206</v>
      </c>
      <c r="AH175" s="544" t="s">
        <v>678</v>
      </c>
      <c r="AI175" s="544" t="s">
        <v>81</v>
      </c>
      <c r="AJ175" s="544" t="s">
        <v>1388</v>
      </c>
      <c r="AK175" s="559" t="s">
        <v>1357</v>
      </c>
      <c r="AL175" s="544" t="s">
        <v>206</v>
      </c>
      <c r="AM175" s="67">
        <f>+Z175</f>
        <v>1</v>
      </c>
      <c r="AN175" s="544" t="str">
        <f>+AB175</f>
        <v>Realizar registro de las bases de datos con datos personales ante la Superintendencia de Industria y Comercio - SIC</v>
      </c>
      <c r="AO175" s="550">
        <f t="shared" si="358"/>
        <v>0</v>
      </c>
      <c r="AP175" s="548" t="s">
        <v>48</v>
      </c>
      <c r="AQ175" s="541">
        <v>1</v>
      </c>
      <c r="AR175" s="544" t="str">
        <f t="shared" si="333"/>
        <v>Realizar registro de las bases de datos con datos personales ante la Superintendencia de Industria y Comercio - SIC</v>
      </c>
      <c r="AS175" s="542">
        <v>0</v>
      </c>
      <c r="AT175" s="607">
        <v>1</v>
      </c>
      <c r="AU175" s="612">
        <v>0</v>
      </c>
      <c r="AV175" s="543">
        <f t="shared" si="334"/>
        <v>1</v>
      </c>
      <c r="AW175" s="543" t="e">
        <f t="shared" si="335"/>
        <v>#DIV/0!</v>
      </c>
      <c r="AX175" s="543">
        <f t="shared" si="336"/>
        <v>1</v>
      </c>
      <c r="AY175" s="543" t="e">
        <f t="shared" si="337"/>
        <v>#DIV/0!</v>
      </c>
      <c r="AZ175" s="577" t="s">
        <v>1538</v>
      </c>
      <c r="BA175" s="563">
        <v>0</v>
      </c>
      <c r="BB175" s="544" t="str">
        <f t="shared" si="338"/>
        <v>Realizar registro de las bases de datos con datos personales ante la Superintendencia de Industria y Comercio - SIC</v>
      </c>
      <c r="BC175" s="542">
        <v>0</v>
      </c>
      <c r="BD175" s="73"/>
      <c r="BE175" s="551"/>
      <c r="BF175" s="543" t="e">
        <f t="shared" si="339"/>
        <v>#DIV/0!</v>
      </c>
      <c r="BG175" s="543" t="e">
        <f t="shared" si="340"/>
        <v>#DIV/0!</v>
      </c>
      <c r="BH175" s="543">
        <f t="shared" si="341"/>
        <v>1</v>
      </c>
      <c r="BI175" s="553" t="e">
        <f t="shared" si="342"/>
        <v>#DIV/0!</v>
      </c>
      <c r="BJ175" s="543"/>
      <c r="BK175" s="541">
        <v>0</v>
      </c>
      <c r="BL175" s="544" t="str">
        <f t="shared" si="343"/>
        <v>Realizar registro de las bases de datos con datos personales ante la Superintendencia de Industria y Comercio - SIC</v>
      </c>
      <c r="BM175" s="542">
        <v>0</v>
      </c>
      <c r="BN175" s="541"/>
      <c r="BO175" s="541"/>
      <c r="BP175" s="543" t="e">
        <f t="shared" si="344"/>
        <v>#DIV/0!</v>
      </c>
      <c r="BQ175" s="543" t="e">
        <f t="shared" si="345"/>
        <v>#DIV/0!</v>
      </c>
      <c r="BR175" s="543">
        <f t="shared" si="346"/>
        <v>1</v>
      </c>
      <c r="BS175" s="553" t="e">
        <f t="shared" si="347"/>
        <v>#DIV/0!</v>
      </c>
      <c r="BT175" s="543"/>
      <c r="BU175" s="221">
        <v>0</v>
      </c>
      <c r="BV175" s="544" t="str">
        <f t="shared" si="348"/>
        <v>Realizar registro de las bases de datos con datos personales ante la Superintendencia de Industria y Comercio - SIC</v>
      </c>
      <c r="BW175" s="542">
        <v>0</v>
      </c>
      <c r="BX175" s="541"/>
      <c r="BY175" s="541"/>
      <c r="BZ175" s="547" t="e">
        <f t="shared" si="349"/>
        <v>#DIV/0!</v>
      </c>
      <c r="CA175" s="547" t="e">
        <f>+(BY156/BW156)</f>
        <v>#DIV/0!</v>
      </c>
      <c r="CB175" s="547">
        <f t="shared" si="351"/>
        <v>1</v>
      </c>
      <c r="CC175" s="552" t="e">
        <f>+(BE156+AU156+BO156+BY156)/AO156</f>
        <v>#DIV/0!</v>
      </c>
      <c r="CD175" s="547"/>
      <c r="CE175" s="546">
        <f t="shared" si="324"/>
        <v>1</v>
      </c>
      <c r="CF175" s="613" t="str">
        <f t="shared" si="325"/>
        <v>No Prog ni Ejec</v>
      </c>
      <c r="CG175" s="546" t="str">
        <f t="shared" si="326"/>
        <v>No Prog ni Ejec</v>
      </c>
      <c r="CH175" s="613" t="str">
        <f t="shared" si="327"/>
        <v>No Prog ni Ejec</v>
      </c>
      <c r="CI175" s="546" t="str">
        <f t="shared" si="328"/>
        <v>No Prog ni Ejec</v>
      </c>
      <c r="CJ175" s="613" t="str">
        <f t="shared" si="329"/>
        <v>No Prog ni Ejec</v>
      </c>
      <c r="CK175" s="546" t="str">
        <f t="shared" si="330"/>
        <v>No Prog ni Ejec</v>
      </c>
      <c r="CL175" s="613" t="str">
        <f t="shared" si="331"/>
        <v>No Prog ni Ejec</v>
      </c>
      <c r="CM175" s="157">
        <f>+AC175-AS175-BC175-BM175-BW175</f>
        <v>0</v>
      </c>
    </row>
    <row r="176" spans="1:107" ht="114.75" x14ac:dyDescent="0.25">
      <c r="A176" s="541" t="s">
        <v>1342</v>
      </c>
      <c r="B176" s="544" t="s">
        <v>1341</v>
      </c>
      <c r="C176" s="605" t="s">
        <v>334</v>
      </c>
      <c r="D176" s="562"/>
      <c r="E176" s="145" t="s">
        <v>1108</v>
      </c>
      <c r="F176" s="562"/>
      <c r="G176" s="562"/>
      <c r="H176" s="562"/>
      <c r="I176" s="562"/>
      <c r="J176" s="562"/>
      <c r="K176" s="562"/>
      <c r="L176" s="562"/>
      <c r="M176" s="562"/>
      <c r="N176" s="562"/>
      <c r="O176" s="145" t="s">
        <v>1108</v>
      </c>
      <c r="P176" s="562"/>
      <c r="Q176" s="544" t="s">
        <v>206</v>
      </c>
      <c r="R176" s="544" t="s">
        <v>206</v>
      </c>
      <c r="S176" s="541" t="s">
        <v>1343</v>
      </c>
      <c r="T176" s="544" t="s">
        <v>94</v>
      </c>
      <c r="U176" s="544" t="s">
        <v>206</v>
      </c>
      <c r="V176" s="544" t="s">
        <v>206</v>
      </c>
      <c r="W176" s="150" t="s">
        <v>1351</v>
      </c>
      <c r="X176" s="559" t="s">
        <v>1345</v>
      </c>
      <c r="Y176" s="108" t="s">
        <v>51</v>
      </c>
      <c r="Z176" s="561">
        <v>0.8</v>
      </c>
      <c r="AA176" s="150" t="s">
        <v>1349</v>
      </c>
      <c r="AB176" s="559" t="s">
        <v>1354</v>
      </c>
      <c r="AC176" s="542">
        <v>0</v>
      </c>
      <c r="AD176" s="545">
        <v>1</v>
      </c>
      <c r="AE176" s="544" t="s">
        <v>17</v>
      </c>
      <c r="AF176" s="544" t="s">
        <v>299</v>
      </c>
      <c r="AG176" s="544" t="s">
        <v>206</v>
      </c>
      <c r="AH176" s="544" t="s">
        <v>678</v>
      </c>
      <c r="AI176" s="544" t="s">
        <v>81</v>
      </c>
      <c r="AJ176" s="544" t="s">
        <v>1388</v>
      </c>
      <c r="AK176" s="559" t="s">
        <v>1415</v>
      </c>
      <c r="AL176" s="544" t="s">
        <v>206</v>
      </c>
      <c r="AM176" s="545">
        <f>+Z176</f>
        <v>0.8</v>
      </c>
      <c r="AN176" s="544" t="str">
        <f>+AB176</f>
        <v>Desarrollar e implementar solicitudes de autorización para el tratamiento de datos personales</v>
      </c>
      <c r="AO176" s="550">
        <f t="shared" si="358"/>
        <v>0</v>
      </c>
      <c r="AP176" s="548" t="s">
        <v>48</v>
      </c>
      <c r="AQ176" s="547">
        <v>0</v>
      </c>
      <c r="AR176" s="544" t="str">
        <f t="shared" si="333"/>
        <v>Desarrollar e implementar solicitudes de autorización para el tratamiento de datos personales</v>
      </c>
      <c r="AS176" s="542">
        <v>0</v>
      </c>
      <c r="AT176" s="607">
        <v>0</v>
      </c>
      <c r="AU176" s="612">
        <v>0</v>
      </c>
      <c r="AV176" s="543" t="e">
        <f t="shared" si="334"/>
        <v>#DIV/0!</v>
      </c>
      <c r="AW176" s="543" t="e">
        <f t="shared" si="335"/>
        <v>#DIV/0!</v>
      </c>
      <c r="AX176" s="543">
        <f t="shared" si="336"/>
        <v>0</v>
      </c>
      <c r="AY176" s="543" t="e">
        <f t="shared" si="337"/>
        <v>#DIV/0!</v>
      </c>
      <c r="AZ176" s="577" t="s">
        <v>1437</v>
      </c>
      <c r="BA176" s="564">
        <v>0.4</v>
      </c>
      <c r="BB176" s="544" t="str">
        <f t="shared" si="338"/>
        <v>Desarrollar e implementar solicitudes de autorización para el tratamiento de datos personales</v>
      </c>
      <c r="BC176" s="542">
        <v>0</v>
      </c>
      <c r="BD176" s="73"/>
      <c r="BE176" s="551"/>
      <c r="BF176" s="543">
        <f t="shared" si="339"/>
        <v>0</v>
      </c>
      <c r="BG176" s="543" t="e">
        <f t="shared" si="340"/>
        <v>#DIV/0!</v>
      </c>
      <c r="BH176" s="543">
        <f t="shared" si="341"/>
        <v>0</v>
      </c>
      <c r="BI176" s="553" t="e">
        <f t="shared" si="342"/>
        <v>#DIV/0!</v>
      </c>
      <c r="BJ176" s="543"/>
      <c r="BK176" s="547">
        <v>0</v>
      </c>
      <c r="BL176" s="544" t="str">
        <f t="shared" si="343"/>
        <v>Desarrollar e implementar solicitudes de autorización para el tratamiento de datos personales</v>
      </c>
      <c r="BM176" s="542">
        <v>0</v>
      </c>
      <c r="BN176" s="541"/>
      <c r="BO176" s="541"/>
      <c r="BP176" s="543" t="e">
        <f t="shared" si="344"/>
        <v>#DIV/0!</v>
      </c>
      <c r="BQ176" s="543" t="e">
        <f t="shared" si="345"/>
        <v>#DIV/0!</v>
      </c>
      <c r="BR176" s="543">
        <f t="shared" si="346"/>
        <v>0</v>
      </c>
      <c r="BS176" s="553" t="e">
        <f t="shared" si="347"/>
        <v>#DIV/0!</v>
      </c>
      <c r="BT176" s="543"/>
      <c r="BU176" s="565">
        <v>0.4</v>
      </c>
      <c r="BV176" s="544" t="str">
        <f t="shared" si="348"/>
        <v>Desarrollar e implementar solicitudes de autorización para el tratamiento de datos personales</v>
      </c>
      <c r="BW176" s="542">
        <v>0</v>
      </c>
      <c r="BX176" s="541"/>
      <c r="BY176" s="541"/>
      <c r="BZ176" s="547">
        <f t="shared" si="349"/>
        <v>0</v>
      </c>
      <c r="CA176" s="547" t="e">
        <f>+(BY157/BW157)</f>
        <v>#DIV/0!</v>
      </c>
      <c r="CB176" s="547">
        <f t="shared" si="351"/>
        <v>0</v>
      </c>
      <c r="CC176" s="552" t="e">
        <f>+(BE157+AU157+BO157+BY157)/AO157</f>
        <v>#DIV/0!</v>
      </c>
      <c r="CD176" s="547"/>
      <c r="CE176" s="546" t="str">
        <f t="shared" si="324"/>
        <v>No Prog ni Ejec</v>
      </c>
      <c r="CF176" s="613" t="str">
        <f t="shared" si="325"/>
        <v>No Prog ni Ejec</v>
      </c>
      <c r="CG176" s="546">
        <f t="shared" si="326"/>
        <v>0</v>
      </c>
      <c r="CH176" s="613" t="str">
        <f t="shared" si="327"/>
        <v>No Prog ni Ejec</v>
      </c>
      <c r="CI176" s="546" t="str">
        <f t="shared" si="328"/>
        <v>No Prog ni Ejec</v>
      </c>
      <c r="CJ176" s="613" t="str">
        <f t="shared" si="329"/>
        <v>No Prog ni Ejec</v>
      </c>
      <c r="CK176" s="546">
        <f t="shared" si="330"/>
        <v>0</v>
      </c>
      <c r="CL176" s="613" t="str">
        <f t="shared" si="331"/>
        <v>No Prog ni Ejec</v>
      </c>
      <c r="CM176" s="157">
        <f>+AC176-AS176-BC176-BM176-BW176</f>
        <v>0</v>
      </c>
    </row>
    <row r="178" spans="1:29" x14ac:dyDescent="0.25">
      <c r="A178" s="22" t="s">
        <v>1386</v>
      </c>
    </row>
    <row r="179" spans="1:29" x14ac:dyDescent="0.25">
      <c r="AC179" s="569">
        <v>12128354642.799999</v>
      </c>
    </row>
  </sheetData>
  <autoFilter ref="A7:CM176" xr:uid="{17AA98AC-301D-411B-BE57-84D56F48424D}">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2" showButton="0"/>
    <filterColumn colId="83" showButton="0"/>
    <filterColumn colId="84" showButton="0"/>
    <filterColumn colId="85" showButton="0"/>
    <filterColumn colId="86" showButton="0"/>
    <filterColumn colId="87" showButton="0"/>
    <filterColumn colId="88" showButton="0"/>
  </autoFilter>
  <mergeCells count="418">
    <mergeCell ref="AJ134:AJ135"/>
    <mergeCell ref="AJ10:AJ13"/>
    <mergeCell ref="CA31:CA34"/>
    <mergeCell ref="BL99:BL100"/>
    <mergeCell ref="BL101:BL106"/>
    <mergeCell ref="AR134:AR135"/>
    <mergeCell ref="BB134:BB135"/>
    <mergeCell ref="BL134:BL135"/>
    <mergeCell ref="BV134:BV135"/>
    <mergeCell ref="BI38:BI39"/>
    <mergeCell ref="BY31:BY34"/>
    <mergeCell ref="AN26:AN28"/>
    <mergeCell ref="AO26:AO28"/>
    <mergeCell ref="AN31:AN34"/>
    <mergeCell ref="AO31:AO34"/>
    <mergeCell ref="AR31:AR34"/>
    <mergeCell ref="AS31:AS34"/>
    <mergeCell ref="BC38:BC39"/>
    <mergeCell ref="BE35:BE36"/>
    <mergeCell ref="BE38:BE39"/>
    <mergeCell ref="BL38:BL39"/>
    <mergeCell ref="BM38:BM39"/>
    <mergeCell ref="BG38:BG39"/>
    <mergeCell ref="BL93:BL98"/>
    <mergeCell ref="W153:W154"/>
    <mergeCell ref="BV29:BV30"/>
    <mergeCell ref="BW29:BW30"/>
    <mergeCell ref="BY29:BY30"/>
    <mergeCell ref="BV99:BV100"/>
    <mergeCell ref="BV101:BV106"/>
    <mergeCell ref="BV109:BV113"/>
    <mergeCell ref="X153:X154"/>
    <mergeCell ref="Y153:Y154"/>
    <mergeCell ref="Z153:Z154"/>
    <mergeCell ref="AC151:AC152"/>
    <mergeCell ref="AN151:AN152"/>
    <mergeCell ref="AB101:AB106"/>
    <mergeCell ref="AB109:AB113"/>
    <mergeCell ref="AA101:AA106"/>
    <mergeCell ref="AA109:AA113"/>
    <mergeCell ref="AC109:AC113"/>
    <mergeCell ref="AD151:AD152"/>
    <mergeCell ref="AE151:AE152"/>
    <mergeCell ref="AL93:AL97"/>
    <mergeCell ref="BL84:BL90"/>
    <mergeCell ref="BL91:BL92"/>
    <mergeCell ref="BI55:BI71"/>
    <mergeCell ref="AU153:AU155"/>
    <mergeCell ref="AA35:AA36"/>
    <mergeCell ref="AC55:AC71"/>
    <mergeCell ref="AJ35:AJ36"/>
    <mergeCell ref="AJ38:AJ39"/>
    <mergeCell ref="AY38:AY39"/>
    <mergeCell ref="AU38:AU39"/>
    <mergeCell ref="AA93:AA98"/>
    <mergeCell ref="AO93:AO97"/>
    <mergeCell ref="AN93:AN98"/>
    <mergeCell ref="AB93:AB98"/>
    <mergeCell ref="AC93:AC97"/>
    <mergeCell ref="AB35:AB36"/>
    <mergeCell ref="AC35:AC36"/>
    <mergeCell ref="AN35:AN36"/>
    <mergeCell ref="AO35:AO36"/>
    <mergeCell ref="AR35:AR36"/>
    <mergeCell ref="AS35:AS36"/>
    <mergeCell ref="AU35:AU36"/>
    <mergeCell ref="AA153:AA155"/>
    <mergeCell ref="AB38:AB39"/>
    <mergeCell ref="AC38:AC39"/>
    <mergeCell ref="AN38:AN39"/>
    <mergeCell ref="AO38:AO39"/>
    <mergeCell ref="AR38:AR39"/>
    <mergeCell ref="AS38:AS39"/>
    <mergeCell ref="AN84:AN90"/>
    <mergeCell ref="AA38:AA39"/>
    <mergeCell ref="AA84:AA90"/>
    <mergeCell ref="AA91:AA92"/>
    <mergeCell ref="AA99:AA100"/>
    <mergeCell ref="AO109:AO113"/>
    <mergeCell ref="AB99:AB100"/>
    <mergeCell ref="AB84:AB90"/>
    <mergeCell ref="AB91:AB92"/>
    <mergeCell ref="AD101:AD106"/>
    <mergeCell ref="AN101:AN106"/>
    <mergeCell ref="AB153:AB155"/>
    <mergeCell ref="AC153:AC155"/>
    <mergeCell ref="AE153:AE155"/>
    <mergeCell ref="AI151:AI152"/>
    <mergeCell ref="AL151:AL152"/>
    <mergeCell ref="AO151:AO152"/>
    <mergeCell ref="AD153:AD155"/>
    <mergeCell ref="AL153:AL155"/>
    <mergeCell ref="AH153:AH155"/>
    <mergeCell ref="AG151:AG152"/>
    <mergeCell ref="AH151:AH152"/>
    <mergeCell ref="AB151:AB152"/>
    <mergeCell ref="AN153:AN155"/>
    <mergeCell ref="AO153:AO155"/>
    <mergeCell ref="AR153:AR155"/>
    <mergeCell ref="AJ151:AJ152"/>
    <mergeCell ref="AF153:AF155"/>
    <mergeCell ref="AG153:AG155"/>
    <mergeCell ref="AI153:AI154"/>
    <mergeCell ref="AJ153:AJ154"/>
    <mergeCell ref="AR151:AR152"/>
    <mergeCell ref="CL153:CL155"/>
    <mergeCell ref="CH29:CH30"/>
    <mergeCell ref="CJ29:CJ30"/>
    <mergeCell ref="CL29:CL30"/>
    <mergeCell ref="BI153:BI155"/>
    <mergeCell ref="BL153:BL155"/>
    <mergeCell ref="BM153:BM155"/>
    <mergeCell ref="BO153:BO155"/>
    <mergeCell ref="BL151:BL152"/>
    <mergeCell ref="BI151:BI152"/>
    <mergeCell ref="CF151:CF152"/>
    <mergeCell ref="CA55:CA71"/>
    <mergeCell ref="CC55:CC71"/>
    <mergeCell ref="BV151:BV152"/>
    <mergeCell ref="CC31:CC34"/>
    <mergeCell ref="CC29:CC30"/>
    <mergeCell ref="BQ153:BQ155"/>
    <mergeCell ref="BQ38:BQ39"/>
    <mergeCell ref="BS38:BS39"/>
    <mergeCell ref="BO38:BO39"/>
    <mergeCell ref="BM55:BM71"/>
    <mergeCell ref="BQ35:BQ36"/>
    <mergeCell ref="BS35:BS36"/>
    <mergeCell ref="BO35:BO36"/>
    <mergeCell ref="BY153:BY155"/>
    <mergeCell ref="CA153:CA155"/>
    <mergeCell ref="BC151:BC152"/>
    <mergeCell ref="AF151:AF152"/>
    <mergeCell ref="AI93:AI97"/>
    <mergeCell ref="AD93:AD97"/>
    <mergeCell ref="AE93:AE97"/>
    <mergeCell ref="AF93:AF97"/>
    <mergeCell ref="AO55:AO71"/>
    <mergeCell ref="AN134:AN135"/>
    <mergeCell ref="AD110:AD113"/>
    <mergeCell ref="AS55:AS71"/>
    <mergeCell ref="BG55:BG71"/>
    <mergeCell ref="BO55:BO71"/>
    <mergeCell ref="BV91:BV92"/>
    <mergeCell ref="BV84:BV90"/>
    <mergeCell ref="BB91:BB92"/>
    <mergeCell ref="BB84:BB90"/>
    <mergeCell ref="BC109:BC112"/>
    <mergeCell ref="AG93:AG97"/>
    <mergeCell ref="AH93:AH97"/>
    <mergeCell ref="BL109:BL113"/>
    <mergeCell ref="BV93:BV98"/>
    <mergeCell ref="AN91:AN92"/>
    <mergeCell ref="CL151:CL152"/>
    <mergeCell ref="CH151:CH152"/>
    <mergeCell ref="CJ151:CJ152"/>
    <mergeCell ref="Y29:Y30"/>
    <mergeCell ref="Z29:Z30"/>
    <mergeCell ref="AA29:AA30"/>
    <mergeCell ref="AB29:AB30"/>
    <mergeCell ref="AC29:AC30"/>
    <mergeCell ref="AN29:AN30"/>
    <mergeCell ref="AO29:AO30"/>
    <mergeCell ref="AR29:AR30"/>
    <mergeCell ref="AS29:AS30"/>
    <mergeCell ref="AL29:AL30"/>
    <mergeCell ref="AI29:AI30"/>
    <mergeCell ref="AH29:AH30"/>
    <mergeCell ref="AG29:AG30"/>
    <mergeCell ref="AF29:AF30"/>
    <mergeCell ref="AE29:AE30"/>
    <mergeCell ref="AA134:AA135"/>
    <mergeCell ref="AA151:AA152"/>
    <mergeCell ref="AB134:AB135"/>
    <mergeCell ref="BB38:BB39"/>
    <mergeCell ref="AW38:AW39"/>
    <mergeCell ref="BS55:BS71"/>
    <mergeCell ref="CC153:CC155"/>
    <mergeCell ref="CF153:CF155"/>
    <mergeCell ref="CH153:CH155"/>
    <mergeCell ref="CJ153:CJ155"/>
    <mergeCell ref="AY151:AY152"/>
    <mergeCell ref="BB153:BB155"/>
    <mergeCell ref="BC153:BC155"/>
    <mergeCell ref="BE153:BE155"/>
    <mergeCell ref="BG153:BG155"/>
    <mergeCell ref="BQ151:BQ152"/>
    <mergeCell ref="BM151:BM152"/>
    <mergeCell ref="BO151:BO152"/>
    <mergeCell ref="CC151:CC152"/>
    <mergeCell ref="CA151:CA152"/>
    <mergeCell ref="BY151:BY152"/>
    <mergeCell ref="BW151:BW152"/>
    <mergeCell ref="BS151:BS152"/>
    <mergeCell ref="BB151:BB152"/>
    <mergeCell ref="BG151:BG152"/>
    <mergeCell ref="BE151:BE152"/>
    <mergeCell ref="BS153:BS155"/>
    <mergeCell ref="BV153:BV155"/>
    <mergeCell ref="BW153:BW155"/>
    <mergeCell ref="AZ151:AZ152"/>
    <mergeCell ref="BV38:BV39"/>
    <mergeCell ref="CJ55:CJ71"/>
    <mergeCell ref="CL55:CL71"/>
    <mergeCell ref="BW55:BW71"/>
    <mergeCell ref="CF55:CF71"/>
    <mergeCell ref="CH55:CH71"/>
    <mergeCell ref="BY55:BY71"/>
    <mergeCell ref="BW109:BW112"/>
    <mergeCell ref="AR93:AR98"/>
    <mergeCell ref="AR99:AR100"/>
    <mergeCell ref="AR101:AR106"/>
    <mergeCell ref="AR109:AR113"/>
    <mergeCell ref="BB93:BB98"/>
    <mergeCell ref="BB99:BB100"/>
    <mergeCell ref="BB101:BB106"/>
    <mergeCell ref="BB109:BB113"/>
    <mergeCell ref="BC55:BC71"/>
    <mergeCell ref="BE55:BE71"/>
    <mergeCell ref="AW55:AW71"/>
    <mergeCell ref="AY55:AY71"/>
    <mergeCell ref="AU55:AU71"/>
    <mergeCell ref="AR84:AR90"/>
    <mergeCell ref="AR91:AR92"/>
    <mergeCell ref="BQ55:BQ71"/>
    <mergeCell ref="CL35:CL36"/>
    <mergeCell ref="BY35:BY36"/>
    <mergeCell ref="CA35:CA36"/>
    <mergeCell ref="CC35:CC36"/>
    <mergeCell ref="CH38:CH39"/>
    <mergeCell ref="CJ38:CJ39"/>
    <mergeCell ref="CL38:CL39"/>
    <mergeCell ref="BW38:BW39"/>
    <mergeCell ref="CA38:CA39"/>
    <mergeCell ref="CC38:CC39"/>
    <mergeCell ref="BY38:BY39"/>
    <mergeCell ref="CF38:CF39"/>
    <mergeCell ref="BM35:BM36"/>
    <mergeCell ref="BW35:BW36"/>
    <mergeCell ref="BB35:BB36"/>
    <mergeCell ref="BL35:BL36"/>
    <mergeCell ref="BV35:BV36"/>
    <mergeCell ref="CF35:CF36"/>
    <mergeCell ref="CH35:CH36"/>
    <mergeCell ref="CJ35:CJ36"/>
    <mergeCell ref="BG35:BG36"/>
    <mergeCell ref="BI35:BI36"/>
    <mergeCell ref="BC35:BC36"/>
    <mergeCell ref="CE7:CL7"/>
    <mergeCell ref="BC29:BC30"/>
    <mergeCell ref="BE29:BE30"/>
    <mergeCell ref="BG29:BG30"/>
    <mergeCell ref="BI29:BI30"/>
    <mergeCell ref="BL29:BL30"/>
    <mergeCell ref="BM29:BM30"/>
    <mergeCell ref="BB26:BB28"/>
    <mergeCell ref="BC26:BC28"/>
    <mergeCell ref="BL26:BL28"/>
    <mergeCell ref="BM26:BM28"/>
    <mergeCell ref="BV26:BV28"/>
    <mergeCell ref="BW26:BW28"/>
    <mergeCell ref="BE26:BE28"/>
    <mergeCell ref="BG26:BG28"/>
    <mergeCell ref="BI26:BI28"/>
    <mergeCell ref="CF29:CF30"/>
    <mergeCell ref="CJ10:CJ13"/>
    <mergeCell ref="CL10:CL13"/>
    <mergeCell ref="BL10:BL13"/>
    <mergeCell ref="BM10:BM13"/>
    <mergeCell ref="BB29:BB30"/>
    <mergeCell ref="BA7:BJ7"/>
    <mergeCell ref="BO26:BO28"/>
    <mergeCell ref="A1:B3"/>
    <mergeCell ref="CI1:CL3"/>
    <mergeCell ref="X1:CH1"/>
    <mergeCell ref="Y2:CF3"/>
    <mergeCell ref="CG2:CG3"/>
    <mergeCell ref="CH2:CH3"/>
    <mergeCell ref="X2:X3"/>
    <mergeCell ref="C1:W1"/>
    <mergeCell ref="C2:W2"/>
    <mergeCell ref="C3:W3"/>
    <mergeCell ref="CF10:CF13"/>
    <mergeCell ref="BS31:BS34"/>
    <mergeCell ref="BB31:BB34"/>
    <mergeCell ref="BC31:BC34"/>
    <mergeCell ref="BL31:BL34"/>
    <mergeCell ref="BM31:BM34"/>
    <mergeCell ref="AW29:AW30"/>
    <mergeCell ref="AU26:AU28"/>
    <mergeCell ref="AW26:AW28"/>
    <mergeCell ref="AC31:AC34"/>
    <mergeCell ref="AU31:AU34"/>
    <mergeCell ref="AW31:AW34"/>
    <mergeCell ref="AY31:AY34"/>
    <mergeCell ref="BE31:BE34"/>
    <mergeCell ref="BG31:BG34"/>
    <mergeCell ref="BI31:BI34"/>
    <mergeCell ref="AJ29:AJ30"/>
    <mergeCell ref="AJ31:AJ34"/>
    <mergeCell ref="AJ26:AJ28"/>
    <mergeCell ref="CH10:CH13"/>
    <mergeCell ref="AH10:AH13"/>
    <mergeCell ref="AI10:AI13"/>
    <mergeCell ref="AL10:AL13"/>
    <mergeCell ref="AB26:AB28"/>
    <mergeCell ref="AC26:AC28"/>
    <mergeCell ref="W29:W30"/>
    <mergeCell ref="X29:X30"/>
    <mergeCell ref="AB10:AB13"/>
    <mergeCell ref="AN10:AN13"/>
    <mergeCell ref="AO10:AO13"/>
    <mergeCell ref="AS10:AS13"/>
    <mergeCell ref="AY26:AY28"/>
    <mergeCell ref="AC10:AC13"/>
    <mergeCell ref="CA29:CA30"/>
    <mergeCell ref="AU29:AU30"/>
    <mergeCell ref="AE10:AE13"/>
    <mergeCell ref="AF10:AF13"/>
    <mergeCell ref="AG10:AG13"/>
    <mergeCell ref="AD10:AD13"/>
    <mergeCell ref="AD29:AD30"/>
    <mergeCell ref="BQ26:BQ28"/>
    <mergeCell ref="BS26:BS28"/>
    <mergeCell ref="CL26:CL28"/>
    <mergeCell ref="CC26:CC28"/>
    <mergeCell ref="CF26:CF28"/>
    <mergeCell ref="CH26:CH28"/>
    <mergeCell ref="BO29:BO30"/>
    <mergeCell ref="BQ29:BQ30"/>
    <mergeCell ref="BS29:BS30"/>
    <mergeCell ref="BV31:BV34"/>
    <mergeCell ref="BW31:BW34"/>
    <mergeCell ref="CJ26:CJ28"/>
    <mergeCell ref="CF31:CF34"/>
    <mergeCell ref="CH31:CH34"/>
    <mergeCell ref="BQ31:BQ34"/>
    <mergeCell ref="BO31:BO34"/>
    <mergeCell ref="CJ31:CJ34"/>
    <mergeCell ref="CL31:CL34"/>
    <mergeCell ref="BY26:BY28"/>
    <mergeCell ref="CA26:CA28"/>
    <mergeCell ref="BU7:CD7"/>
    <mergeCell ref="BS10:BS13"/>
    <mergeCell ref="BV10:BV13"/>
    <mergeCell ref="BW10:BW13"/>
    <mergeCell ref="BY10:BY13"/>
    <mergeCell ref="CA10:CA13"/>
    <mergeCell ref="AU10:AU13"/>
    <mergeCell ref="CC10:CC13"/>
    <mergeCell ref="BO10:BO13"/>
    <mergeCell ref="BQ10:BQ13"/>
    <mergeCell ref="AQ7:AZ7"/>
    <mergeCell ref="BK7:BT7"/>
    <mergeCell ref="BB10:BB13"/>
    <mergeCell ref="BC10:BC13"/>
    <mergeCell ref="BG10:BG13"/>
    <mergeCell ref="BI10:BI13"/>
    <mergeCell ref="AW10:AW13"/>
    <mergeCell ref="AY10:AY13"/>
    <mergeCell ref="AR10:AR13"/>
    <mergeCell ref="A11:A13"/>
    <mergeCell ref="B11:B13"/>
    <mergeCell ref="C11:C13"/>
    <mergeCell ref="T11:T13"/>
    <mergeCell ref="U11:U13"/>
    <mergeCell ref="AA10:AA13"/>
    <mergeCell ref="S10:S13"/>
    <mergeCell ref="AB31:AB34"/>
    <mergeCell ref="A7:A8"/>
    <mergeCell ref="B7:B8"/>
    <mergeCell ref="C7:C8"/>
    <mergeCell ref="Q7:Q8"/>
    <mergeCell ref="R7:R8"/>
    <mergeCell ref="S7:S8"/>
    <mergeCell ref="T7:T8"/>
    <mergeCell ref="U7:U8"/>
    <mergeCell ref="V7:V8"/>
    <mergeCell ref="D7:P7"/>
    <mergeCell ref="X11:X13"/>
    <mergeCell ref="V11:V13"/>
    <mergeCell ref="AA31:AA34"/>
    <mergeCell ref="AA26:AA28"/>
    <mergeCell ref="X6:AI6"/>
    <mergeCell ref="Q4:R4"/>
    <mergeCell ref="Q5:R5"/>
    <mergeCell ref="AF7:AF8"/>
    <mergeCell ref="AG7:AG8"/>
    <mergeCell ref="AH7:AH8"/>
    <mergeCell ref="AI7:AI8"/>
    <mergeCell ref="AK7:AK8"/>
    <mergeCell ref="T5:AE5"/>
    <mergeCell ref="AL7:AL8"/>
    <mergeCell ref="W7:W8"/>
    <mergeCell ref="X7:X8"/>
    <mergeCell ref="Y7:Y8"/>
    <mergeCell ref="Z7:Z8"/>
    <mergeCell ref="AA7:AA8"/>
    <mergeCell ref="AB7:AB8"/>
    <mergeCell ref="AC7:AC8"/>
    <mergeCell ref="AD7:AD8"/>
    <mergeCell ref="AE7:AE8"/>
    <mergeCell ref="AS153:AS155"/>
    <mergeCell ref="AW153:AW155"/>
    <mergeCell ref="AY153:AY155"/>
    <mergeCell ref="AN109:AN113"/>
    <mergeCell ref="AW151:AW152"/>
    <mergeCell ref="AS151:AS152"/>
    <mergeCell ref="AP7:AP8"/>
    <mergeCell ref="AM7:AM8"/>
    <mergeCell ref="AN7:AN8"/>
    <mergeCell ref="AO7:AO8"/>
    <mergeCell ref="AY29:AY30"/>
    <mergeCell ref="AW35:AW36"/>
    <mergeCell ref="AY35:AY36"/>
    <mergeCell ref="AN99:AN100"/>
    <mergeCell ref="AR26:AR28"/>
    <mergeCell ref="AS26:AS28"/>
  </mergeCells>
  <conditionalFormatting sqref="CE27:CE28 CG27:CG28 CI27:CI28 CK27:CK28 CE32:CE34 CG32:CG34 CI32:CI34 CK32:CK34 CE35:CL35 CE36 CG36 CI36 CK36 CE37:CL38 CE39 CG39 CI39 CK39 CE40:CL40 CE14:CL16 CE52:CL55 CE72:CL72 CE116:CL116 CE75:CL75 CE119:CL121 CE9:CL10 CE19:CL19 CE29:CL29 CE31:CL31 CE132:CL137 CE11:CE13 CG11:CG13 CI11:CI13 CK11:CK13 CE30 CG30 CI30 CK30 CE21:CL26">
    <cfRule type="cellIs" dxfId="11173" priority="301" operator="equal">
      <formula>#REF!</formula>
    </cfRule>
    <cfRule type="cellIs" dxfId="11172" priority="302" operator="greaterThan">
      <formula>1</formula>
    </cfRule>
    <cfRule type="cellIs" dxfId="11171" priority="303" operator="equal">
      <formula>100%</formula>
    </cfRule>
    <cfRule type="cellIs" dxfId="11170" priority="304" operator="between">
      <formula>80%</formula>
      <formula>99%</formula>
    </cfRule>
    <cfRule type="cellIs" dxfId="11169" priority="305" operator="between">
      <formula>0%</formula>
      <formula>79%</formula>
    </cfRule>
  </conditionalFormatting>
  <conditionalFormatting sqref="CE50:CL51 CE122:CL129 CE42:CL47">
    <cfRule type="cellIs" dxfId="11168" priority="277" operator="equal">
      <formula>#REF!</formula>
    </cfRule>
    <cfRule type="cellIs" dxfId="11167" priority="278" operator="greaterThan">
      <formula>1</formula>
    </cfRule>
    <cfRule type="cellIs" dxfId="11166" priority="279" operator="equal">
      <formula>100%</formula>
    </cfRule>
    <cfRule type="cellIs" dxfId="11165" priority="280" operator="between">
      <formula>80%</formula>
      <formula>99%</formula>
    </cfRule>
    <cfRule type="cellIs" dxfId="11164" priority="281" operator="between">
      <formula>0%</formula>
      <formula>79%</formula>
    </cfRule>
  </conditionalFormatting>
  <conditionalFormatting sqref="CE138 CE20:CL20 CE147:CL149 CE154:CE155 CG154:CG155 CI154:CI155 CK154:CK155">
    <cfRule type="cellIs" dxfId="11163" priority="271" operator="equal">
      <formula>#REF!</formula>
    </cfRule>
    <cfRule type="cellIs" dxfId="11162" priority="272" operator="greaterThan">
      <formula>1</formula>
    </cfRule>
    <cfRule type="cellIs" dxfId="11161" priority="273" operator="equal">
      <formula>100%</formula>
    </cfRule>
    <cfRule type="cellIs" dxfId="11160" priority="274" operator="between">
      <formula>80%</formula>
      <formula>99%</formula>
    </cfRule>
    <cfRule type="cellIs" dxfId="11159" priority="275" operator="between">
      <formula>0%</formula>
      <formula>79%</formula>
    </cfRule>
  </conditionalFormatting>
  <conditionalFormatting sqref="CE130:CL130">
    <cfRule type="cellIs" dxfId="11158" priority="259" operator="equal">
      <formula>#REF!</formula>
    </cfRule>
    <cfRule type="cellIs" dxfId="11157" priority="260" operator="greaterThan">
      <formula>1</formula>
    </cfRule>
    <cfRule type="cellIs" dxfId="11156" priority="261" operator="equal">
      <formula>100%</formula>
    </cfRule>
    <cfRule type="cellIs" dxfId="11155" priority="262" operator="between">
      <formula>80%</formula>
      <formula>99%</formula>
    </cfRule>
    <cfRule type="cellIs" dxfId="11154" priority="263" operator="between">
      <formula>0%</formula>
      <formula>79%</formula>
    </cfRule>
  </conditionalFormatting>
  <conditionalFormatting sqref="CE49 CG49 CI49 CK49">
    <cfRule type="cellIs" dxfId="11153" priority="241" operator="equal">
      <formula>#REF!</formula>
    </cfRule>
    <cfRule type="cellIs" dxfId="11152" priority="242" operator="greaterThan">
      <formula>1</formula>
    </cfRule>
    <cfRule type="cellIs" dxfId="11151" priority="243" operator="equal">
      <formula>100%</formula>
    </cfRule>
    <cfRule type="cellIs" dxfId="11150" priority="244" operator="between">
      <formula>80%</formula>
      <formula>99%</formula>
    </cfRule>
    <cfRule type="cellIs" dxfId="11149" priority="245" operator="between">
      <formula>0%</formula>
      <formula>79%</formula>
    </cfRule>
  </conditionalFormatting>
  <conditionalFormatting sqref="CE140:CL146">
    <cfRule type="cellIs" dxfId="11148" priority="235" operator="equal">
      <formula>#REF!</formula>
    </cfRule>
    <cfRule type="cellIs" dxfId="11147" priority="236" operator="greaterThan">
      <formula>1</formula>
    </cfRule>
    <cfRule type="cellIs" dxfId="11146" priority="237" operator="equal">
      <formula>100%</formula>
    </cfRule>
    <cfRule type="cellIs" dxfId="11145" priority="238" operator="between">
      <formula>80%</formula>
      <formula>99%</formula>
    </cfRule>
    <cfRule type="cellIs" dxfId="11144" priority="239" operator="between">
      <formula>0%</formula>
      <formula>79%</formula>
    </cfRule>
  </conditionalFormatting>
  <conditionalFormatting sqref="CE150:CL151 CE153:CL153 CE152 CG152 CI152 CK152 CE156:CL160">
    <cfRule type="cellIs" dxfId="11143" priority="217" operator="equal">
      <formula>#REF!</formula>
    </cfRule>
    <cfRule type="cellIs" dxfId="11142" priority="218" operator="greaterThan">
      <formula>1</formula>
    </cfRule>
    <cfRule type="cellIs" dxfId="11141" priority="219" operator="equal">
      <formula>100%</formula>
    </cfRule>
    <cfRule type="cellIs" dxfId="11140" priority="220" operator="between">
      <formula>80%</formula>
      <formula>99%</formula>
    </cfRule>
    <cfRule type="cellIs" dxfId="11139" priority="221" operator="between">
      <formula>0%</formula>
      <formula>79%</formula>
    </cfRule>
  </conditionalFormatting>
  <conditionalFormatting sqref="CF49">
    <cfRule type="cellIs" dxfId="11138" priority="211" operator="equal">
      <formula>#REF!</formula>
    </cfRule>
    <cfRule type="cellIs" dxfId="11137" priority="212" operator="greaterThan">
      <formula>1</formula>
    </cfRule>
    <cfRule type="cellIs" dxfId="11136" priority="213" operator="equal">
      <formula>100%</formula>
    </cfRule>
    <cfRule type="cellIs" dxfId="11135" priority="214" operator="between">
      <formula>80%</formula>
      <formula>99%</formula>
    </cfRule>
    <cfRule type="cellIs" dxfId="11134" priority="215" operator="between">
      <formula>0%</formula>
      <formula>79%</formula>
    </cfRule>
  </conditionalFormatting>
  <conditionalFormatting sqref="CH49">
    <cfRule type="cellIs" dxfId="11133" priority="205" operator="equal">
      <formula>#REF!</formula>
    </cfRule>
    <cfRule type="cellIs" dxfId="11132" priority="206" operator="greaterThan">
      <formula>1</formula>
    </cfRule>
    <cfRule type="cellIs" dxfId="11131" priority="207" operator="equal">
      <formula>100%</formula>
    </cfRule>
    <cfRule type="cellIs" dxfId="11130" priority="208" operator="between">
      <formula>80%</formula>
      <formula>99%</formula>
    </cfRule>
    <cfRule type="cellIs" dxfId="11129" priority="209" operator="between">
      <formula>0%</formula>
      <formula>79%</formula>
    </cfRule>
  </conditionalFormatting>
  <conditionalFormatting sqref="CJ49">
    <cfRule type="cellIs" dxfId="11128" priority="199" operator="equal">
      <formula>#REF!</formula>
    </cfRule>
    <cfRule type="cellIs" dxfId="11127" priority="200" operator="greaterThan">
      <formula>1</formula>
    </cfRule>
    <cfRule type="cellIs" dxfId="11126" priority="201" operator="equal">
      <formula>100%</formula>
    </cfRule>
    <cfRule type="cellIs" dxfId="11125" priority="202" operator="between">
      <formula>80%</formula>
      <formula>99%</formula>
    </cfRule>
    <cfRule type="cellIs" dxfId="11124" priority="203" operator="between">
      <formula>0%</formula>
      <formula>79%</formula>
    </cfRule>
  </conditionalFormatting>
  <conditionalFormatting sqref="CL49">
    <cfRule type="cellIs" dxfId="11123" priority="193" operator="equal">
      <formula>#REF!</formula>
    </cfRule>
    <cfRule type="cellIs" dxfId="11122" priority="194" operator="greaterThan">
      <formula>1</formula>
    </cfRule>
    <cfRule type="cellIs" dxfId="11121" priority="195" operator="equal">
      <formula>100%</formula>
    </cfRule>
    <cfRule type="cellIs" dxfId="11120" priority="196" operator="between">
      <formula>80%</formula>
      <formula>99%</formula>
    </cfRule>
    <cfRule type="cellIs" dxfId="11119" priority="197" operator="between">
      <formula>0%</formula>
      <formula>79%</formula>
    </cfRule>
  </conditionalFormatting>
  <conditionalFormatting sqref="CE56:CE66 CG56:CG66 CI56:CI66 CK56:CK66">
    <cfRule type="cellIs" dxfId="11118" priority="187" operator="equal">
      <formula>#REF!</formula>
    </cfRule>
    <cfRule type="cellIs" dxfId="11117" priority="188" operator="greaterThan">
      <formula>1</formula>
    </cfRule>
    <cfRule type="cellIs" dxfId="11116" priority="189" operator="equal">
      <formula>100%</formula>
    </cfRule>
    <cfRule type="cellIs" dxfId="11115" priority="190" operator="between">
      <formula>80%</formula>
      <formula>99%</formula>
    </cfRule>
    <cfRule type="cellIs" dxfId="11114" priority="191" operator="between">
      <formula>0%</formula>
      <formula>79%</formula>
    </cfRule>
  </conditionalFormatting>
  <conditionalFormatting sqref="CE68:CE71 CG68:CG71 CI68:CI71 CK68:CK71">
    <cfRule type="cellIs" dxfId="11113" priority="181" operator="equal">
      <formula>#REF!</formula>
    </cfRule>
    <cfRule type="cellIs" dxfId="11112" priority="182" operator="greaterThan">
      <formula>1</formula>
    </cfRule>
    <cfRule type="cellIs" dxfId="11111" priority="183" operator="equal">
      <formula>100%</formula>
    </cfRule>
    <cfRule type="cellIs" dxfId="11110" priority="184" operator="between">
      <formula>80%</formula>
      <formula>99%</formula>
    </cfRule>
    <cfRule type="cellIs" dxfId="11109" priority="185" operator="between">
      <formula>0%</formula>
      <formula>79%</formula>
    </cfRule>
  </conditionalFormatting>
  <conditionalFormatting sqref="CE67 CG67 CI67 CK67">
    <cfRule type="cellIs" dxfId="11108" priority="175" operator="equal">
      <formula>#REF!</formula>
    </cfRule>
    <cfRule type="cellIs" dxfId="11107" priority="176" operator="greaterThan">
      <formula>1</formula>
    </cfRule>
    <cfRule type="cellIs" dxfId="11106" priority="177" operator="equal">
      <formula>100%</formula>
    </cfRule>
    <cfRule type="cellIs" dxfId="11105" priority="178" operator="between">
      <formula>80%</formula>
      <formula>99%</formula>
    </cfRule>
    <cfRule type="cellIs" dxfId="11104" priority="179" operator="between">
      <formula>0%</formula>
      <formula>79%</formula>
    </cfRule>
  </conditionalFormatting>
  <conditionalFormatting sqref="CE73:CL74">
    <cfRule type="cellIs" dxfId="11103" priority="169" operator="equal">
      <formula>#REF!</formula>
    </cfRule>
    <cfRule type="cellIs" dxfId="11102" priority="170" operator="greaterThan">
      <formula>1</formula>
    </cfRule>
    <cfRule type="cellIs" dxfId="11101" priority="171" operator="equal">
      <formula>100%</formula>
    </cfRule>
    <cfRule type="cellIs" dxfId="11100" priority="172" operator="between">
      <formula>80%</formula>
      <formula>99%</formula>
    </cfRule>
    <cfRule type="cellIs" dxfId="11099" priority="173" operator="between">
      <formula>0%</formula>
      <formula>79%</formula>
    </cfRule>
  </conditionalFormatting>
  <conditionalFormatting sqref="CE76:CL115">
    <cfRule type="cellIs" dxfId="11098" priority="163" operator="equal">
      <formula>#REF!</formula>
    </cfRule>
    <cfRule type="cellIs" dxfId="11097" priority="164" operator="greaterThan">
      <formula>1</formula>
    </cfRule>
    <cfRule type="cellIs" dxfId="11096" priority="165" operator="equal">
      <formula>100%</formula>
    </cfRule>
    <cfRule type="cellIs" dxfId="11095" priority="166" operator="between">
      <formula>80%</formula>
      <formula>99%</formula>
    </cfRule>
    <cfRule type="cellIs" dxfId="11094" priority="167" operator="between">
      <formula>0%</formula>
      <formula>79%</formula>
    </cfRule>
  </conditionalFormatting>
  <conditionalFormatting sqref="CE117:CL118">
    <cfRule type="cellIs" dxfId="11093" priority="157" operator="equal">
      <formula>#REF!</formula>
    </cfRule>
    <cfRule type="cellIs" dxfId="11092" priority="158" operator="greaterThan">
      <formula>1</formula>
    </cfRule>
    <cfRule type="cellIs" dxfId="11091" priority="159" operator="equal">
      <formula>100%</formula>
    </cfRule>
    <cfRule type="cellIs" dxfId="11090" priority="160" operator="between">
      <formula>80%</formula>
      <formula>99%</formula>
    </cfRule>
    <cfRule type="cellIs" dxfId="11089" priority="161" operator="between">
      <formula>0%</formula>
      <formula>79%</formula>
    </cfRule>
  </conditionalFormatting>
  <conditionalFormatting sqref="CE161:CL161">
    <cfRule type="cellIs" dxfId="11088" priority="151" operator="equal">
      <formula>#REF!</formula>
    </cfRule>
    <cfRule type="cellIs" dxfId="11087" priority="152" operator="greaterThan">
      <formula>1</formula>
    </cfRule>
    <cfRule type="cellIs" dxfId="11086" priority="153" operator="equal">
      <formula>100%</formula>
    </cfRule>
    <cfRule type="cellIs" dxfId="11085" priority="154" operator="between">
      <formula>80%</formula>
      <formula>99%</formula>
    </cfRule>
    <cfRule type="cellIs" dxfId="11084" priority="155" operator="between">
      <formula>0%</formula>
      <formula>79%</formula>
    </cfRule>
  </conditionalFormatting>
  <conditionalFormatting sqref="CE163:CL165">
    <cfRule type="cellIs" dxfId="11083" priority="145" operator="equal">
      <formula>#REF!</formula>
    </cfRule>
    <cfRule type="cellIs" dxfId="11082" priority="146" operator="greaterThan">
      <formula>1</formula>
    </cfRule>
    <cfRule type="cellIs" dxfId="11081" priority="147" operator="equal">
      <formula>100%</formula>
    </cfRule>
    <cfRule type="cellIs" dxfId="11080" priority="148" operator="between">
      <formula>80%</formula>
      <formula>99%</formula>
    </cfRule>
    <cfRule type="cellIs" dxfId="11079" priority="149" operator="between">
      <formula>0%</formula>
      <formula>79%</formula>
    </cfRule>
  </conditionalFormatting>
  <conditionalFormatting sqref="CE17:CL18">
    <cfRule type="cellIs" dxfId="11078" priority="139" operator="equal">
      <formula>#REF!</formula>
    </cfRule>
    <cfRule type="cellIs" dxfId="11077" priority="140" operator="greaterThan">
      <formula>1</formula>
    </cfRule>
    <cfRule type="cellIs" dxfId="11076" priority="141" operator="equal">
      <formula>100%</formula>
    </cfRule>
    <cfRule type="cellIs" dxfId="11075" priority="142" operator="between">
      <formula>80%</formula>
      <formula>99%</formula>
    </cfRule>
    <cfRule type="cellIs" dxfId="11074" priority="143" operator="between">
      <formula>0%</formula>
      <formula>79%</formula>
    </cfRule>
  </conditionalFormatting>
  <conditionalFormatting sqref="CE41:CL41">
    <cfRule type="cellIs" dxfId="11073" priority="127" operator="equal">
      <formula>#REF!</formula>
    </cfRule>
    <cfRule type="cellIs" dxfId="11072" priority="128" operator="greaterThan">
      <formula>1</formula>
    </cfRule>
    <cfRule type="cellIs" dxfId="11071" priority="129" operator="equal">
      <formula>100%</formula>
    </cfRule>
    <cfRule type="cellIs" dxfId="11070" priority="130" operator="between">
      <formula>80%</formula>
      <formula>99%</formula>
    </cfRule>
    <cfRule type="cellIs" dxfId="11069" priority="131" operator="between">
      <formula>0%</formula>
      <formula>79%</formula>
    </cfRule>
  </conditionalFormatting>
  <conditionalFormatting sqref="CE48:CL48">
    <cfRule type="cellIs" dxfId="11068" priority="121" operator="equal">
      <formula>#REF!</formula>
    </cfRule>
    <cfRule type="cellIs" dxfId="11067" priority="122" operator="greaterThan">
      <formula>1</formula>
    </cfRule>
    <cfRule type="cellIs" dxfId="11066" priority="123" operator="equal">
      <formula>100%</formula>
    </cfRule>
    <cfRule type="cellIs" dxfId="11065" priority="124" operator="between">
      <formula>80%</formula>
      <formula>99%</formula>
    </cfRule>
    <cfRule type="cellIs" dxfId="11064" priority="125" operator="between">
      <formula>0%</formula>
      <formula>79%</formula>
    </cfRule>
  </conditionalFormatting>
  <conditionalFormatting sqref="CE131:CL131">
    <cfRule type="cellIs" dxfId="11063" priority="115" operator="equal">
      <formula>#REF!</formula>
    </cfRule>
    <cfRule type="cellIs" dxfId="11062" priority="116" operator="greaterThan">
      <formula>1</formula>
    </cfRule>
    <cfRule type="cellIs" dxfId="11061" priority="117" operator="equal">
      <formula>100%</formula>
    </cfRule>
    <cfRule type="cellIs" dxfId="11060" priority="118" operator="between">
      <formula>80%</formula>
      <formula>99%</formula>
    </cfRule>
    <cfRule type="cellIs" dxfId="11059" priority="119" operator="between">
      <formula>0%</formula>
      <formula>79%</formula>
    </cfRule>
  </conditionalFormatting>
  <conditionalFormatting sqref="CE139:CL139">
    <cfRule type="cellIs" dxfId="11058" priority="109" operator="equal">
      <formula>#REF!</formula>
    </cfRule>
    <cfRule type="cellIs" dxfId="11057" priority="110" operator="greaterThan">
      <formula>1</formula>
    </cfRule>
    <cfRule type="cellIs" dxfId="11056" priority="111" operator="equal">
      <formula>100%</formula>
    </cfRule>
    <cfRule type="cellIs" dxfId="11055" priority="112" operator="between">
      <formula>80%</formula>
      <formula>99%</formula>
    </cfRule>
    <cfRule type="cellIs" dxfId="11054" priority="113" operator="between">
      <formula>0%</formula>
      <formula>79%</formula>
    </cfRule>
  </conditionalFormatting>
  <conditionalFormatting sqref="CE166:CL166">
    <cfRule type="cellIs" dxfId="11053" priority="97" operator="equal">
      <formula>#REF!</formula>
    </cfRule>
    <cfRule type="cellIs" dxfId="11052" priority="98" operator="greaterThan">
      <formula>1</formula>
    </cfRule>
    <cfRule type="cellIs" dxfId="11051" priority="99" operator="equal">
      <formula>100%</formula>
    </cfRule>
    <cfRule type="cellIs" dxfId="11050" priority="100" operator="between">
      <formula>80%</formula>
      <formula>99%</formula>
    </cfRule>
    <cfRule type="cellIs" dxfId="11049" priority="101" operator="between">
      <formula>0%</formula>
      <formula>79%</formula>
    </cfRule>
  </conditionalFormatting>
  <conditionalFormatting sqref="CE167:CL167">
    <cfRule type="cellIs" dxfId="11048" priority="91" operator="equal">
      <formula>#REF!</formula>
    </cfRule>
    <cfRule type="cellIs" dxfId="11047" priority="92" operator="greaterThan">
      <formula>1</formula>
    </cfRule>
    <cfRule type="cellIs" dxfId="11046" priority="93" operator="equal">
      <formula>100%</formula>
    </cfRule>
    <cfRule type="cellIs" dxfId="11045" priority="94" operator="between">
      <formula>80%</formula>
      <formula>99%</formula>
    </cfRule>
    <cfRule type="cellIs" dxfId="11044" priority="95" operator="between">
      <formula>0%</formula>
      <formula>79%</formula>
    </cfRule>
  </conditionalFormatting>
  <conditionalFormatting sqref="CE168:CL168">
    <cfRule type="cellIs" dxfId="11043" priority="85" operator="equal">
      <formula>#REF!</formula>
    </cfRule>
    <cfRule type="cellIs" dxfId="11042" priority="86" operator="greaterThan">
      <formula>1</formula>
    </cfRule>
    <cfRule type="cellIs" dxfId="11041" priority="87" operator="equal">
      <formula>100%</formula>
    </cfRule>
    <cfRule type="cellIs" dxfId="11040" priority="88" operator="between">
      <formula>80%</formula>
      <formula>99%</formula>
    </cfRule>
    <cfRule type="cellIs" dxfId="11039" priority="89" operator="between">
      <formula>0%</formula>
      <formula>79%</formula>
    </cfRule>
  </conditionalFormatting>
  <conditionalFormatting sqref="CE169:CL169">
    <cfRule type="cellIs" dxfId="11038" priority="79" operator="equal">
      <formula>#REF!</formula>
    </cfRule>
    <cfRule type="cellIs" dxfId="11037" priority="80" operator="greaterThan">
      <formula>1</formula>
    </cfRule>
    <cfRule type="cellIs" dxfId="11036" priority="81" operator="equal">
      <formula>100%</formula>
    </cfRule>
    <cfRule type="cellIs" dxfId="11035" priority="82" operator="between">
      <formula>80%</formula>
      <formula>99%</formula>
    </cfRule>
    <cfRule type="cellIs" dxfId="11034" priority="83" operator="between">
      <formula>0%</formula>
      <formula>79%</formula>
    </cfRule>
  </conditionalFormatting>
  <conditionalFormatting sqref="CE173:CL173">
    <cfRule type="cellIs" dxfId="11033" priority="73" operator="equal">
      <formula>#REF!</formula>
    </cfRule>
    <cfRule type="cellIs" dxfId="11032" priority="74" operator="greaterThan">
      <formula>1</formula>
    </cfRule>
    <cfRule type="cellIs" dxfId="11031" priority="75" operator="equal">
      <formula>100%</formula>
    </cfRule>
    <cfRule type="cellIs" dxfId="11030" priority="76" operator="between">
      <formula>80%</formula>
      <formula>99%</formula>
    </cfRule>
    <cfRule type="cellIs" dxfId="11029" priority="77" operator="between">
      <formula>0%</formula>
      <formula>79%</formula>
    </cfRule>
  </conditionalFormatting>
  <conditionalFormatting sqref="CE171:CL171">
    <cfRule type="cellIs" dxfId="11028" priority="67" operator="equal">
      <formula>#REF!</formula>
    </cfRule>
    <cfRule type="cellIs" dxfId="11027" priority="68" operator="greaterThan">
      <formula>1</formula>
    </cfRule>
    <cfRule type="cellIs" dxfId="11026" priority="69" operator="equal">
      <formula>100%</formula>
    </cfRule>
    <cfRule type="cellIs" dxfId="11025" priority="70" operator="between">
      <formula>80%</formula>
      <formula>99%</formula>
    </cfRule>
    <cfRule type="cellIs" dxfId="11024" priority="71" operator="between">
      <formula>0%</formula>
      <formula>79%</formula>
    </cfRule>
  </conditionalFormatting>
  <conditionalFormatting sqref="CE172:CL172">
    <cfRule type="cellIs" dxfId="11023" priority="61" operator="equal">
      <formula>#REF!</formula>
    </cfRule>
    <cfRule type="cellIs" dxfId="11022" priority="62" operator="greaterThan">
      <formula>1</formula>
    </cfRule>
    <cfRule type="cellIs" dxfId="11021" priority="63" operator="equal">
      <formula>100%</formula>
    </cfRule>
    <cfRule type="cellIs" dxfId="11020" priority="64" operator="between">
      <formula>80%</formula>
      <formula>99%</formula>
    </cfRule>
    <cfRule type="cellIs" dxfId="11019" priority="65" operator="between">
      <formula>0%</formula>
      <formula>79%</formula>
    </cfRule>
  </conditionalFormatting>
  <conditionalFormatting sqref="CF138:CL138">
    <cfRule type="cellIs" dxfId="11018" priority="55" operator="equal">
      <formula>#REF!</formula>
    </cfRule>
    <cfRule type="cellIs" dxfId="11017" priority="56" operator="greaterThan">
      <formula>1</formula>
    </cfRule>
    <cfRule type="cellIs" dxfId="11016" priority="57" operator="equal">
      <formula>100%</formula>
    </cfRule>
    <cfRule type="cellIs" dxfId="11015" priority="58" operator="between">
      <formula>80%</formula>
      <formula>99%</formula>
    </cfRule>
    <cfRule type="cellIs" dxfId="11014" priority="59" operator="between">
      <formula>0%</formula>
      <formula>79%</formula>
    </cfRule>
  </conditionalFormatting>
  <conditionalFormatting sqref="CE162:CL162">
    <cfRule type="cellIs" dxfId="11013" priority="49" operator="equal">
      <formula>#REF!</formula>
    </cfRule>
    <cfRule type="cellIs" dxfId="11012" priority="50" operator="greaterThan">
      <formula>1</formula>
    </cfRule>
    <cfRule type="cellIs" dxfId="11011" priority="51" operator="equal">
      <formula>100%</formula>
    </cfRule>
    <cfRule type="cellIs" dxfId="11010" priority="52" operator="between">
      <formula>80%</formula>
      <formula>99%</formula>
    </cfRule>
    <cfRule type="cellIs" dxfId="11009" priority="53" operator="between">
      <formula>0%</formula>
      <formula>79%</formula>
    </cfRule>
  </conditionalFormatting>
  <conditionalFormatting sqref="CE170:CL170">
    <cfRule type="cellIs" dxfId="11008" priority="43" operator="equal">
      <formula>#REF!</formula>
    </cfRule>
    <cfRule type="cellIs" dxfId="11007" priority="44" operator="greaterThan">
      <formula>1</formula>
    </cfRule>
    <cfRule type="cellIs" dxfId="11006" priority="45" operator="equal">
      <formula>100%</formula>
    </cfRule>
    <cfRule type="cellIs" dxfId="11005" priority="46" operator="between">
      <formula>80%</formula>
      <formula>99%</formula>
    </cfRule>
    <cfRule type="cellIs" dxfId="11004" priority="47" operator="between">
      <formula>0%</formula>
      <formula>79%</formula>
    </cfRule>
  </conditionalFormatting>
  <conditionalFormatting sqref="CE175:CE176 CG175:CG176 CI175:CI176 CK175:CK176">
    <cfRule type="cellIs" dxfId="11003" priority="37" operator="equal">
      <formula>#REF!</formula>
    </cfRule>
    <cfRule type="cellIs" dxfId="11002" priority="38" operator="greaterThan">
      <formula>1</formula>
    </cfRule>
    <cfRule type="cellIs" dxfId="11001" priority="39" operator="equal">
      <formula>100%</formula>
    </cfRule>
    <cfRule type="cellIs" dxfId="11000" priority="40" operator="between">
      <formula>80%</formula>
      <formula>99%</formula>
    </cfRule>
    <cfRule type="cellIs" dxfId="10999" priority="41" operator="between">
      <formula>0%</formula>
      <formula>79%</formula>
    </cfRule>
  </conditionalFormatting>
  <conditionalFormatting sqref="CE174 CG174 CI174 CK174">
    <cfRule type="cellIs" dxfId="10998" priority="31" operator="equal">
      <formula>#REF!</formula>
    </cfRule>
    <cfRule type="cellIs" dxfId="10997" priority="32" operator="greaterThan">
      <formula>1</formula>
    </cfRule>
    <cfRule type="cellIs" dxfId="10996" priority="33" operator="equal">
      <formula>100%</formula>
    </cfRule>
    <cfRule type="cellIs" dxfId="10995" priority="34" operator="between">
      <formula>80%</formula>
      <formula>99%</formula>
    </cfRule>
    <cfRule type="cellIs" dxfId="10994" priority="35" operator="between">
      <formula>0%</formula>
      <formula>79%</formula>
    </cfRule>
  </conditionalFormatting>
  <conditionalFormatting sqref="CF174">
    <cfRule type="cellIs" dxfId="10993" priority="25" operator="equal">
      <formula>#REF!</formula>
    </cfRule>
    <cfRule type="cellIs" dxfId="10992" priority="26" operator="greaterThan">
      <formula>1</formula>
    </cfRule>
    <cfRule type="cellIs" dxfId="10991" priority="27" operator="equal">
      <formula>100%</formula>
    </cfRule>
    <cfRule type="cellIs" dxfId="10990" priority="28" operator="between">
      <formula>80%</formula>
      <formula>99%</formula>
    </cfRule>
    <cfRule type="cellIs" dxfId="10989" priority="29" operator="between">
      <formula>0%</formula>
      <formula>79%</formula>
    </cfRule>
  </conditionalFormatting>
  <conditionalFormatting sqref="CF175:CF176">
    <cfRule type="cellIs" dxfId="10988" priority="19" operator="equal">
      <formula>#REF!</formula>
    </cfRule>
    <cfRule type="cellIs" dxfId="10987" priority="20" operator="greaterThan">
      <formula>1</formula>
    </cfRule>
    <cfRule type="cellIs" dxfId="10986" priority="21" operator="equal">
      <formula>100%</formula>
    </cfRule>
    <cfRule type="cellIs" dxfId="10985" priority="22" operator="between">
      <formula>80%</formula>
      <formula>99%</formula>
    </cfRule>
    <cfRule type="cellIs" dxfId="10984" priority="23" operator="between">
      <formula>0%</formula>
      <formula>79%</formula>
    </cfRule>
  </conditionalFormatting>
  <conditionalFormatting sqref="CH174:CH176">
    <cfRule type="cellIs" dxfId="10983" priority="13" operator="equal">
      <formula>#REF!</formula>
    </cfRule>
    <cfRule type="cellIs" dxfId="10982" priority="14" operator="greaterThan">
      <formula>1</formula>
    </cfRule>
    <cfRule type="cellIs" dxfId="10981" priority="15" operator="equal">
      <formula>100%</formula>
    </cfRule>
    <cfRule type="cellIs" dxfId="10980" priority="16" operator="between">
      <formula>80%</formula>
      <formula>99%</formula>
    </cfRule>
    <cfRule type="cellIs" dxfId="10979" priority="17" operator="between">
      <formula>0%</formula>
      <formula>79%</formula>
    </cfRule>
  </conditionalFormatting>
  <conditionalFormatting sqref="CJ174:CJ176">
    <cfRule type="cellIs" dxfId="10978" priority="7" operator="equal">
      <formula>#REF!</formula>
    </cfRule>
    <cfRule type="cellIs" dxfId="10977" priority="8" operator="greaterThan">
      <formula>1</formula>
    </cfRule>
    <cfRule type="cellIs" dxfId="10976" priority="9" operator="equal">
      <formula>100%</formula>
    </cfRule>
    <cfRule type="cellIs" dxfId="10975" priority="10" operator="between">
      <formula>80%</formula>
      <formula>99%</formula>
    </cfRule>
    <cfRule type="cellIs" dxfId="10974" priority="11" operator="between">
      <formula>0%</formula>
      <formula>79%</formula>
    </cfRule>
  </conditionalFormatting>
  <conditionalFormatting sqref="CL174:CL176">
    <cfRule type="cellIs" dxfId="10973" priority="1" operator="equal">
      <formula>#REF!</formula>
    </cfRule>
    <cfRule type="cellIs" dxfId="10972" priority="2" operator="greaterThan">
      <formula>1</formula>
    </cfRule>
    <cfRule type="cellIs" dxfId="10971" priority="3" operator="equal">
      <formula>100%</formula>
    </cfRule>
    <cfRule type="cellIs" dxfId="10970" priority="4" operator="between">
      <formula>80%</formula>
      <formula>99%</formula>
    </cfRule>
    <cfRule type="cellIs" dxfId="10969" priority="5" operator="between">
      <formula>0%</formula>
      <formula>79%</formula>
    </cfRule>
  </conditionalFormatting>
  <dataValidations count="1">
    <dataValidation type="list" allowBlank="1" showInputMessage="1" showErrorMessage="1" sqref="AK11:AK12" xr:uid="{A7F2FBCC-C470-4B04-B48E-DB387DC0B6BA}">
      <formula1>$AI$3:$AI$76</formula1>
    </dataValidation>
  </dataValidations>
  <pageMargins left="0.70866141732283472" right="0.70866141732283472" top="0.74803149606299213" bottom="0.74803149606299213" header="0.31496062992125984" footer="0.31496062992125984"/>
  <pageSetup paperSize="41" scale="31"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06" operator="containsText" id="{F67FCEFB-1651-46B0-8231-06091BCC6633}">
            <xm:f>NOT(ISERROR(SEARCH(#REF!,CE9)))</xm:f>
            <xm:f>#REF!</xm:f>
            <x14:dxf>
              <font>
                <color theme="4"/>
              </font>
              <fill>
                <patternFill>
                  <bgColor theme="5" tint="0.59996337778862885"/>
                </patternFill>
              </fill>
            </x14:dxf>
          </x14:cfRule>
          <xm:sqref>CE27:CE28 CG27:CG28 CI27:CI28 CK27:CK28 CE32:CE34 CG32:CG34 CI32:CI34 CK32:CK34 CE35:CL35 CE36 CG36 CI36 CK36 CE37:CL38 CE39 CG39 CI39 CK39 CE40:CL40 CE14:CL16 CE52:CL55 CE72:CL72 CE116:CL116 CE75:CL75 CE119:CL121 CE9:CL10 CE19:CL19 CE29:CL29 CE31:CL31 CE132:CL137 CE11:CE13 CG11:CG13 CI11:CI13 CK11:CK13 CE30 CG30 CI30 CK30 CE21:CL26</xm:sqref>
        </x14:conditionalFormatting>
        <x14:conditionalFormatting xmlns:xm="http://schemas.microsoft.com/office/excel/2006/main">
          <x14:cfRule type="containsText" priority="288" operator="containsText" id="{6EA3BC76-7B47-4BEE-96CB-02E2E4F496FB}">
            <xm:f>NOT(ISERROR(SEARCH(#REF!,CE20)))</xm:f>
            <xm:f>#REF!</xm:f>
            <x14:dxf>
              <font>
                <color theme="4"/>
              </font>
              <fill>
                <patternFill>
                  <bgColor theme="5" tint="0.59996337778862885"/>
                </patternFill>
              </fill>
            </x14:dxf>
          </x14:cfRule>
          <xm:sqref>CE50:CL51 CE122:CL129 CE42:CL47 CE20:CL20 CE147:CL149 CE154:CE155 CG154:CG155 CI154:CI155 CK154:CK155</xm:sqref>
        </x14:conditionalFormatting>
        <x14:conditionalFormatting xmlns:xm="http://schemas.microsoft.com/office/excel/2006/main">
          <x14:cfRule type="containsText" priority="276" operator="containsText" id="{A41498C6-55D0-4A8D-AEC9-6F9FD7FE57AF}">
            <xm:f>NOT(ISERROR(SEARCH(#REF!,CE138)))</xm:f>
            <xm:f>#REF!</xm:f>
            <x14:dxf>
              <font>
                <color theme="4"/>
              </font>
              <fill>
                <patternFill>
                  <bgColor theme="5" tint="0.59996337778862885"/>
                </patternFill>
              </fill>
            </x14:dxf>
          </x14:cfRule>
          <xm:sqref>CE138</xm:sqref>
        </x14:conditionalFormatting>
        <x14:conditionalFormatting xmlns:xm="http://schemas.microsoft.com/office/excel/2006/main">
          <x14:cfRule type="containsText" priority="264" operator="containsText" id="{E006C16F-C755-4477-B673-78B6B6763E49}">
            <xm:f>NOT(ISERROR(SEARCH(#REF!,CE130)))</xm:f>
            <xm:f>#REF!</xm:f>
            <x14:dxf>
              <font>
                <color theme="4"/>
              </font>
              <fill>
                <patternFill>
                  <bgColor theme="5" tint="0.59996337778862885"/>
                </patternFill>
              </fill>
            </x14:dxf>
          </x14:cfRule>
          <xm:sqref>CE130:CL130</xm:sqref>
        </x14:conditionalFormatting>
        <x14:conditionalFormatting xmlns:xm="http://schemas.microsoft.com/office/excel/2006/main">
          <x14:cfRule type="containsText" priority="246" operator="containsText" id="{46040948-1C03-4E3C-B0A6-032BEAAF7D8A}">
            <xm:f>NOT(ISERROR(SEARCH(#REF!,CE49)))</xm:f>
            <xm:f>#REF!</xm:f>
            <x14:dxf>
              <font>
                <color theme="4"/>
              </font>
              <fill>
                <patternFill>
                  <bgColor theme="5" tint="0.59996337778862885"/>
                </patternFill>
              </fill>
            </x14:dxf>
          </x14:cfRule>
          <xm:sqref>CE49 CG49 CI49 CK49</xm:sqref>
        </x14:conditionalFormatting>
        <x14:conditionalFormatting xmlns:xm="http://schemas.microsoft.com/office/excel/2006/main">
          <x14:cfRule type="containsText" priority="240" operator="containsText" id="{E70F7BF7-6F9E-4D05-8053-3A9A899605E0}">
            <xm:f>NOT(ISERROR(SEARCH(#REF!,CE140)))</xm:f>
            <xm:f>#REF!</xm:f>
            <x14:dxf>
              <font>
                <color theme="4"/>
              </font>
              <fill>
                <patternFill>
                  <bgColor theme="5" tint="0.59996337778862885"/>
                </patternFill>
              </fill>
            </x14:dxf>
          </x14:cfRule>
          <xm:sqref>CE140:CL146</xm:sqref>
        </x14:conditionalFormatting>
        <x14:conditionalFormatting xmlns:xm="http://schemas.microsoft.com/office/excel/2006/main">
          <x14:cfRule type="containsText" priority="222" operator="containsText" id="{02D322A3-76C5-4D6F-92D3-3F5489AFEBC0}">
            <xm:f>NOT(ISERROR(SEARCH(#REF!,CE150)))</xm:f>
            <xm:f>#REF!</xm:f>
            <x14:dxf>
              <font>
                <color theme="4"/>
              </font>
              <fill>
                <patternFill>
                  <bgColor theme="5" tint="0.59996337778862885"/>
                </patternFill>
              </fill>
            </x14:dxf>
          </x14:cfRule>
          <xm:sqref>CE150:CL151 CE153:CL153 CE152 CG152 CI152 CK152 CE156:CL160</xm:sqref>
        </x14:conditionalFormatting>
        <x14:conditionalFormatting xmlns:xm="http://schemas.microsoft.com/office/excel/2006/main">
          <x14:cfRule type="containsText" priority="216" operator="containsText" id="{32537C78-C461-4C08-B712-4D8975FA6D8D}">
            <xm:f>NOT(ISERROR(SEARCH(#REF!,CF49)))</xm:f>
            <xm:f>#REF!</xm:f>
            <x14:dxf>
              <font>
                <color theme="4"/>
              </font>
              <fill>
                <patternFill>
                  <bgColor theme="5" tint="0.59996337778862885"/>
                </patternFill>
              </fill>
            </x14:dxf>
          </x14:cfRule>
          <xm:sqref>CF49</xm:sqref>
        </x14:conditionalFormatting>
        <x14:conditionalFormatting xmlns:xm="http://schemas.microsoft.com/office/excel/2006/main">
          <x14:cfRule type="containsText" priority="210" operator="containsText" id="{DE262E13-B5B1-444B-9602-3437EF6B1594}">
            <xm:f>NOT(ISERROR(SEARCH(#REF!,CH49)))</xm:f>
            <xm:f>#REF!</xm:f>
            <x14:dxf>
              <font>
                <color theme="4"/>
              </font>
              <fill>
                <patternFill>
                  <bgColor theme="5" tint="0.59996337778862885"/>
                </patternFill>
              </fill>
            </x14:dxf>
          </x14:cfRule>
          <xm:sqref>CH49</xm:sqref>
        </x14:conditionalFormatting>
        <x14:conditionalFormatting xmlns:xm="http://schemas.microsoft.com/office/excel/2006/main">
          <x14:cfRule type="containsText" priority="204" operator="containsText" id="{C62F0164-3237-4590-AADE-52FABF3F6DB0}">
            <xm:f>NOT(ISERROR(SEARCH(#REF!,CJ49)))</xm:f>
            <xm:f>#REF!</xm:f>
            <x14:dxf>
              <font>
                <color theme="4"/>
              </font>
              <fill>
                <patternFill>
                  <bgColor theme="5" tint="0.59996337778862885"/>
                </patternFill>
              </fill>
            </x14:dxf>
          </x14:cfRule>
          <xm:sqref>CJ49</xm:sqref>
        </x14:conditionalFormatting>
        <x14:conditionalFormatting xmlns:xm="http://schemas.microsoft.com/office/excel/2006/main">
          <x14:cfRule type="containsText" priority="198" operator="containsText" id="{0B7B0C5D-5C30-4DD8-9FD1-32F397CA6C8C}">
            <xm:f>NOT(ISERROR(SEARCH(#REF!,CL49)))</xm:f>
            <xm:f>#REF!</xm:f>
            <x14:dxf>
              <font>
                <color theme="4"/>
              </font>
              <fill>
                <patternFill>
                  <bgColor theme="5" tint="0.59996337778862885"/>
                </patternFill>
              </fill>
            </x14:dxf>
          </x14:cfRule>
          <xm:sqref>CL49</xm:sqref>
        </x14:conditionalFormatting>
        <x14:conditionalFormatting xmlns:xm="http://schemas.microsoft.com/office/excel/2006/main">
          <x14:cfRule type="containsText" priority="192" operator="containsText" id="{D89882B5-2E06-4E60-B4F0-4E2E72705FAC}">
            <xm:f>NOT(ISERROR(SEARCH(#REF!,CE56)))</xm:f>
            <xm:f>#REF!</xm:f>
            <x14:dxf>
              <font>
                <color theme="4"/>
              </font>
              <fill>
                <patternFill>
                  <bgColor theme="5" tint="0.59996337778862885"/>
                </patternFill>
              </fill>
            </x14:dxf>
          </x14:cfRule>
          <xm:sqref>CE56:CE66 CG56:CG66 CI56:CI66 CK56:CK66</xm:sqref>
        </x14:conditionalFormatting>
        <x14:conditionalFormatting xmlns:xm="http://schemas.microsoft.com/office/excel/2006/main">
          <x14:cfRule type="containsText" priority="186" operator="containsText" id="{90BD323C-E337-4285-A66A-F2E2183DE72C}">
            <xm:f>NOT(ISERROR(SEARCH(#REF!,CE68)))</xm:f>
            <xm:f>#REF!</xm:f>
            <x14:dxf>
              <font>
                <color theme="4"/>
              </font>
              <fill>
                <patternFill>
                  <bgColor theme="5" tint="0.59996337778862885"/>
                </patternFill>
              </fill>
            </x14:dxf>
          </x14:cfRule>
          <xm:sqref>CE68:CE71 CG68:CG71 CI68:CI71 CK68:CK71</xm:sqref>
        </x14:conditionalFormatting>
        <x14:conditionalFormatting xmlns:xm="http://schemas.microsoft.com/office/excel/2006/main">
          <x14:cfRule type="containsText" priority="180" operator="containsText" id="{700A21AB-F92C-4D9F-9D01-E7DF45155813}">
            <xm:f>NOT(ISERROR(SEARCH(#REF!,CE67)))</xm:f>
            <xm:f>#REF!</xm:f>
            <x14:dxf>
              <font>
                <color theme="4"/>
              </font>
              <fill>
                <patternFill>
                  <bgColor theme="5" tint="0.59996337778862885"/>
                </patternFill>
              </fill>
            </x14:dxf>
          </x14:cfRule>
          <xm:sqref>CE67 CG67 CI67 CK67</xm:sqref>
        </x14:conditionalFormatting>
        <x14:conditionalFormatting xmlns:xm="http://schemas.microsoft.com/office/excel/2006/main">
          <x14:cfRule type="containsText" priority="174" operator="containsText" id="{4528DFAD-9749-4A65-A594-4C7E226BA19E}">
            <xm:f>NOT(ISERROR(SEARCH(#REF!,CE73)))</xm:f>
            <xm:f>#REF!</xm:f>
            <x14:dxf>
              <font>
                <color theme="4"/>
              </font>
              <fill>
                <patternFill>
                  <bgColor theme="5" tint="0.59996337778862885"/>
                </patternFill>
              </fill>
            </x14:dxf>
          </x14:cfRule>
          <xm:sqref>CE73:CL74</xm:sqref>
        </x14:conditionalFormatting>
        <x14:conditionalFormatting xmlns:xm="http://schemas.microsoft.com/office/excel/2006/main">
          <x14:cfRule type="containsText" priority="168" operator="containsText" id="{BAFA2C47-57D0-4211-BDD6-44A7D2DF0C81}">
            <xm:f>NOT(ISERROR(SEARCH(#REF!,CE76)))</xm:f>
            <xm:f>#REF!</xm:f>
            <x14:dxf>
              <font>
                <color theme="4"/>
              </font>
              <fill>
                <patternFill>
                  <bgColor theme="5" tint="0.59996337778862885"/>
                </patternFill>
              </fill>
            </x14:dxf>
          </x14:cfRule>
          <xm:sqref>CE76:CL115</xm:sqref>
        </x14:conditionalFormatting>
        <x14:conditionalFormatting xmlns:xm="http://schemas.microsoft.com/office/excel/2006/main">
          <x14:cfRule type="containsText" priority="162" operator="containsText" id="{13D4B1AC-597A-49D9-A12E-9C97A2A5363C}">
            <xm:f>NOT(ISERROR(SEARCH(#REF!,CE117)))</xm:f>
            <xm:f>#REF!</xm:f>
            <x14:dxf>
              <font>
                <color theme="4"/>
              </font>
              <fill>
                <patternFill>
                  <bgColor theme="5" tint="0.59996337778862885"/>
                </patternFill>
              </fill>
            </x14:dxf>
          </x14:cfRule>
          <xm:sqref>CE117:CL118</xm:sqref>
        </x14:conditionalFormatting>
        <x14:conditionalFormatting xmlns:xm="http://schemas.microsoft.com/office/excel/2006/main">
          <x14:cfRule type="containsText" priority="156" operator="containsText" id="{98F0CD8D-0377-41FD-B87E-86A15E16D23F}">
            <xm:f>NOT(ISERROR(SEARCH(#REF!,CE161)))</xm:f>
            <xm:f>#REF!</xm:f>
            <x14:dxf>
              <font>
                <color theme="4"/>
              </font>
              <fill>
                <patternFill>
                  <bgColor theme="5" tint="0.59996337778862885"/>
                </patternFill>
              </fill>
            </x14:dxf>
          </x14:cfRule>
          <xm:sqref>CE161:CL161</xm:sqref>
        </x14:conditionalFormatting>
        <x14:conditionalFormatting xmlns:xm="http://schemas.microsoft.com/office/excel/2006/main">
          <x14:cfRule type="containsText" priority="150" operator="containsText" id="{D5AC3FA3-2FAF-40AF-961A-8634D52DB4B7}">
            <xm:f>NOT(ISERROR(SEARCH(#REF!,CE163)))</xm:f>
            <xm:f>#REF!</xm:f>
            <x14:dxf>
              <font>
                <color theme="4"/>
              </font>
              <fill>
                <patternFill>
                  <bgColor theme="5" tint="0.59996337778862885"/>
                </patternFill>
              </fill>
            </x14:dxf>
          </x14:cfRule>
          <xm:sqref>CE163:CL165</xm:sqref>
        </x14:conditionalFormatting>
        <x14:conditionalFormatting xmlns:xm="http://schemas.microsoft.com/office/excel/2006/main">
          <x14:cfRule type="containsText" priority="144" operator="containsText" id="{FDCDD874-DA9E-4A39-ABA4-870E818434FF}">
            <xm:f>NOT(ISERROR(SEARCH(#REF!,CE17)))</xm:f>
            <xm:f>#REF!</xm:f>
            <x14:dxf>
              <font>
                <color theme="4"/>
              </font>
              <fill>
                <patternFill>
                  <bgColor theme="5" tint="0.59996337778862885"/>
                </patternFill>
              </fill>
            </x14:dxf>
          </x14:cfRule>
          <xm:sqref>CE17:CL18</xm:sqref>
        </x14:conditionalFormatting>
        <x14:conditionalFormatting xmlns:xm="http://schemas.microsoft.com/office/excel/2006/main">
          <x14:cfRule type="containsText" priority="132" operator="containsText" id="{64F2467A-17BB-4AAB-B010-D8D003E645A5}">
            <xm:f>NOT(ISERROR(SEARCH(#REF!,CE41)))</xm:f>
            <xm:f>#REF!</xm:f>
            <x14:dxf>
              <font>
                <color theme="4"/>
              </font>
              <fill>
                <patternFill>
                  <bgColor theme="5" tint="0.59996337778862885"/>
                </patternFill>
              </fill>
            </x14:dxf>
          </x14:cfRule>
          <xm:sqref>CE41:CL41</xm:sqref>
        </x14:conditionalFormatting>
        <x14:conditionalFormatting xmlns:xm="http://schemas.microsoft.com/office/excel/2006/main">
          <x14:cfRule type="containsText" priority="126" operator="containsText" id="{F9D99119-1067-4014-96DD-0833587C6C2A}">
            <xm:f>NOT(ISERROR(SEARCH(#REF!,CE48)))</xm:f>
            <xm:f>#REF!</xm:f>
            <x14:dxf>
              <font>
                <color theme="4"/>
              </font>
              <fill>
                <patternFill>
                  <bgColor theme="5" tint="0.59996337778862885"/>
                </patternFill>
              </fill>
            </x14:dxf>
          </x14:cfRule>
          <xm:sqref>CE48:CL48</xm:sqref>
        </x14:conditionalFormatting>
        <x14:conditionalFormatting xmlns:xm="http://schemas.microsoft.com/office/excel/2006/main">
          <x14:cfRule type="containsText" priority="120" operator="containsText" id="{8BFCBAF8-2997-43AA-B4CB-42E341217E76}">
            <xm:f>NOT(ISERROR(SEARCH(#REF!,CE131)))</xm:f>
            <xm:f>#REF!</xm:f>
            <x14:dxf>
              <font>
                <color theme="4"/>
              </font>
              <fill>
                <patternFill>
                  <bgColor theme="5" tint="0.59996337778862885"/>
                </patternFill>
              </fill>
            </x14:dxf>
          </x14:cfRule>
          <xm:sqref>CE131:CL131</xm:sqref>
        </x14:conditionalFormatting>
        <x14:conditionalFormatting xmlns:xm="http://schemas.microsoft.com/office/excel/2006/main">
          <x14:cfRule type="containsText" priority="114" operator="containsText" id="{7149D677-3E44-4ADB-8FB4-EF5DDDA78A50}">
            <xm:f>NOT(ISERROR(SEARCH(#REF!,CE139)))</xm:f>
            <xm:f>#REF!</xm:f>
            <x14:dxf>
              <font>
                <color theme="4"/>
              </font>
              <fill>
                <patternFill>
                  <bgColor theme="5" tint="0.59996337778862885"/>
                </patternFill>
              </fill>
            </x14:dxf>
          </x14:cfRule>
          <xm:sqref>CE139:CL139</xm:sqref>
        </x14:conditionalFormatting>
        <x14:conditionalFormatting xmlns:xm="http://schemas.microsoft.com/office/excel/2006/main">
          <x14:cfRule type="containsText" priority="102" operator="containsText" id="{A724C3E8-11E5-4D49-94B9-5DC49A331F88}">
            <xm:f>NOT(ISERROR(SEARCH(#REF!,CE166)))</xm:f>
            <xm:f>#REF!</xm:f>
            <x14:dxf>
              <font>
                <color theme="4"/>
              </font>
              <fill>
                <patternFill>
                  <bgColor theme="5" tint="0.59996337778862885"/>
                </patternFill>
              </fill>
            </x14:dxf>
          </x14:cfRule>
          <xm:sqref>CE166:CL166</xm:sqref>
        </x14:conditionalFormatting>
        <x14:conditionalFormatting xmlns:xm="http://schemas.microsoft.com/office/excel/2006/main">
          <x14:cfRule type="containsText" priority="96" operator="containsText" id="{7B77C576-E471-4EB9-8C9D-67226FBACDB9}">
            <xm:f>NOT(ISERROR(SEARCH(#REF!,CE167)))</xm:f>
            <xm:f>#REF!</xm:f>
            <x14:dxf>
              <font>
                <color theme="4"/>
              </font>
              <fill>
                <patternFill>
                  <bgColor theme="5" tint="0.59996337778862885"/>
                </patternFill>
              </fill>
            </x14:dxf>
          </x14:cfRule>
          <xm:sqref>CE167:CL167</xm:sqref>
        </x14:conditionalFormatting>
        <x14:conditionalFormatting xmlns:xm="http://schemas.microsoft.com/office/excel/2006/main">
          <x14:cfRule type="containsText" priority="90" operator="containsText" id="{C68E2EE1-7152-474A-9835-4F4885AA5B73}">
            <xm:f>NOT(ISERROR(SEARCH(#REF!,CE168)))</xm:f>
            <xm:f>#REF!</xm:f>
            <x14:dxf>
              <font>
                <color theme="4"/>
              </font>
              <fill>
                <patternFill>
                  <bgColor theme="5" tint="0.59996337778862885"/>
                </patternFill>
              </fill>
            </x14:dxf>
          </x14:cfRule>
          <xm:sqref>CE168:CL168</xm:sqref>
        </x14:conditionalFormatting>
        <x14:conditionalFormatting xmlns:xm="http://schemas.microsoft.com/office/excel/2006/main">
          <x14:cfRule type="containsText" priority="84" operator="containsText" id="{B024841C-C5BE-4E89-B748-0634F701B409}">
            <xm:f>NOT(ISERROR(SEARCH(#REF!,CE169)))</xm:f>
            <xm:f>#REF!</xm:f>
            <x14:dxf>
              <font>
                <color theme="4"/>
              </font>
              <fill>
                <patternFill>
                  <bgColor theme="5" tint="0.59996337778862885"/>
                </patternFill>
              </fill>
            </x14:dxf>
          </x14:cfRule>
          <xm:sqref>CE169:CL169</xm:sqref>
        </x14:conditionalFormatting>
        <x14:conditionalFormatting xmlns:xm="http://schemas.microsoft.com/office/excel/2006/main">
          <x14:cfRule type="containsText" priority="78" operator="containsText" id="{AB3F8E5C-E256-4253-933B-B648C1699252}">
            <xm:f>NOT(ISERROR(SEARCH(#REF!,CE173)))</xm:f>
            <xm:f>#REF!</xm:f>
            <x14:dxf>
              <font>
                <color theme="4"/>
              </font>
              <fill>
                <patternFill>
                  <bgColor theme="5" tint="0.59996337778862885"/>
                </patternFill>
              </fill>
            </x14:dxf>
          </x14:cfRule>
          <xm:sqref>CE173:CL173</xm:sqref>
        </x14:conditionalFormatting>
        <x14:conditionalFormatting xmlns:xm="http://schemas.microsoft.com/office/excel/2006/main">
          <x14:cfRule type="containsText" priority="72" operator="containsText" id="{1B3B8ED6-F5C1-4095-8356-F71D3E9B2167}">
            <xm:f>NOT(ISERROR(SEARCH(#REF!,CE171)))</xm:f>
            <xm:f>#REF!</xm:f>
            <x14:dxf>
              <font>
                <color theme="4"/>
              </font>
              <fill>
                <patternFill>
                  <bgColor theme="5" tint="0.59996337778862885"/>
                </patternFill>
              </fill>
            </x14:dxf>
          </x14:cfRule>
          <xm:sqref>CE171:CL171</xm:sqref>
        </x14:conditionalFormatting>
        <x14:conditionalFormatting xmlns:xm="http://schemas.microsoft.com/office/excel/2006/main">
          <x14:cfRule type="containsText" priority="66" operator="containsText" id="{FDCA0278-EA96-452F-8251-A3CF5C6E108A}">
            <xm:f>NOT(ISERROR(SEARCH(#REF!,CE172)))</xm:f>
            <xm:f>#REF!</xm:f>
            <x14:dxf>
              <font>
                <color theme="4"/>
              </font>
              <fill>
                <patternFill>
                  <bgColor theme="5" tint="0.59996337778862885"/>
                </patternFill>
              </fill>
            </x14:dxf>
          </x14:cfRule>
          <xm:sqref>CE172:CL172</xm:sqref>
        </x14:conditionalFormatting>
        <x14:conditionalFormatting xmlns:xm="http://schemas.microsoft.com/office/excel/2006/main">
          <x14:cfRule type="containsText" priority="60" operator="containsText" id="{E11D5AB6-704C-492D-A245-EC11CE14CFE9}">
            <xm:f>NOT(ISERROR(SEARCH(#REF!,CF138)))</xm:f>
            <xm:f>#REF!</xm:f>
            <x14:dxf>
              <font>
                <color theme="4"/>
              </font>
              <fill>
                <patternFill>
                  <bgColor theme="5" tint="0.59996337778862885"/>
                </patternFill>
              </fill>
            </x14:dxf>
          </x14:cfRule>
          <xm:sqref>CF138:CL138</xm:sqref>
        </x14:conditionalFormatting>
        <x14:conditionalFormatting xmlns:xm="http://schemas.microsoft.com/office/excel/2006/main">
          <x14:cfRule type="containsText" priority="54" operator="containsText" id="{A29D710B-2B33-4B53-A29B-8EA5831A26AD}">
            <xm:f>NOT(ISERROR(SEARCH(#REF!,CE162)))</xm:f>
            <xm:f>#REF!</xm:f>
            <x14:dxf>
              <font>
                <color theme="4"/>
              </font>
              <fill>
                <patternFill>
                  <bgColor theme="5" tint="0.59996337778862885"/>
                </patternFill>
              </fill>
            </x14:dxf>
          </x14:cfRule>
          <xm:sqref>CE162:CL162</xm:sqref>
        </x14:conditionalFormatting>
        <x14:conditionalFormatting xmlns:xm="http://schemas.microsoft.com/office/excel/2006/main">
          <x14:cfRule type="containsText" priority="48" operator="containsText" id="{4836BDCB-BDA5-4BE7-B816-F928003A6201}">
            <xm:f>NOT(ISERROR(SEARCH(#REF!,CE170)))</xm:f>
            <xm:f>#REF!</xm:f>
            <x14:dxf>
              <font>
                <color theme="4"/>
              </font>
              <fill>
                <patternFill>
                  <bgColor theme="5" tint="0.59996337778862885"/>
                </patternFill>
              </fill>
            </x14:dxf>
          </x14:cfRule>
          <xm:sqref>CE170:CL170</xm:sqref>
        </x14:conditionalFormatting>
        <x14:conditionalFormatting xmlns:xm="http://schemas.microsoft.com/office/excel/2006/main">
          <x14:cfRule type="containsText" priority="42" operator="containsText" id="{85221974-89C4-4AFE-8F73-4ACF980E62D2}">
            <xm:f>NOT(ISERROR(SEARCH(#REF!,CE175)))</xm:f>
            <xm:f>#REF!</xm:f>
            <x14:dxf>
              <font>
                <color theme="4"/>
              </font>
              <fill>
                <patternFill>
                  <bgColor theme="5" tint="0.59996337778862885"/>
                </patternFill>
              </fill>
            </x14:dxf>
          </x14:cfRule>
          <xm:sqref>CE175:CE176 CG175:CG176 CI175:CI176 CK175:CK176</xm:sqref>
        </x14:conditionalFormatting>
        <x14:conditionalFormatting xmlns:xm="http://schemas.microsoft.com/office/excel/2006/main">
          <x14:cfRule type="containsText" priority="36" operator="containsText" id="{419CE7AE-C2DF-4A48-A8DE-C82A2BADAB93}">
            <xm:f>NOT(ISERROR(SEARCH(#REF!,CE174)))</xm:f>
            <xm:f>#REF!</xm:f>
            <x14:dxf>
              <font>
                <color theme="4"/>
              </font>
              <fill>
                <patternFill>
                  <bgColor theme="5" tint="0.59996337778862885"/>
                </patternFill>
              </fill>
            </x14:dxf>
          </x14:cfRule>
          <xm:sqref>CE174 CG174 CI174 CK174</xm:sqref>
        </x14:conditionalFormatting>
        <x14:conditionalFormatting xmlns:xm="http://schemas.microsoft.com/office/excel/2006/main">
          <x14:cfRule type="containsText" priority="30" operator="containsText" id="{60176BF5-B217-4C6C-BA51-5F8F279ED88F}">
            <xm:f>NOT(ISERROR(SEARCH(#REF!,CF174)))</xm:f>
            <xm:f>#REF!</xm:f>
            <x14:dxf>
              <font>
                <color theme="4"/>
              </font>
              <fill>
                <patternFill>
                  <bgColor theme="5" tint="0.59996337778862885"/>
                </patternFill>
              </fill>
            </x14:dxf>
          </x14:cfRule>
          <xm:sqref>CF174</xm:sqref>
        </x14:conditionalFormatting>
        <x14:conditionalFormatting xmlns:xm="http://schemas.microsoft.com/office/excel/2006/main">
          <x14:cfRule type="containsText" priority="24" operator="containsText" id="{33B5BA16-A17F-4C6F-8DCD-C5EF81548F32}">
            <xm:f>NOT(ISERROR(SEARCH(#REF!,CF175)))</xm:f>
            <xm:f>#REF!</xm:f>
            <x14:dxf>
              <font>
                <color theme="4"/>
              </font>
              <fill>
                <patternFill>
                  <bgColor theme="5" tint="0.59996337778862885"/>
                </patternFill>
              </fill>
            </x14:dxf>
          </x14:cfRule>
          <xm:sqref>CF175:CF176</xm:sqref>
        </x14:conditionalFormatting>
        <x14:conditionalFormatting xmlns:xm="http://schemas.microsoft.com/office/excel/2006/main">
          <x14:cfRule type="containsText" priority="18" operator="containsText" id="{A8E1C0E6-DF3E-4F59-A86E-9BE28111B8E9}">
            <xm:f>NOT(ISERROR(SEARCH(#REF!,CH174)))</xm:f>
            <xm:f>#REF!</xm:f>
            <x14:dxf>
              <font>
                <color theme="4"/>
              </font>
              <fill>
                <patternFill>
                  <bgColor theme="5" tint="0.59996337778862885"/>
                </patternFill>
              </fill>
            </x14:dxf>
          </x14:cfRule>
          <xm:sqref>CH174:CH176</xm:sqref>
        </x14:conditionalFormatting>
        <x14:conditionalFormatting xmlns:xm="http://schemas.microsoft.com/office/excel/2006/main">
          <x14:cfRule type="containsText" priority="12" operator="containsText" id="{86A2B197-CB67-4C79-BCF6-A9D8FE935EA7}">
            <xm:f>NOT(ISERROR(SEARCH(#REF!,CJ174)))</xm:f>
            <xm:f>#REF!</xm:f>
            <x14:dxf>
              <font>
                <color theme="4"/>
              </font>
              <fill>
                <patternFill>
                  <bgColor theme="5" tint="0.59996337778862885"/>
                </patternFill>
              </fill>
            </x14:dxf>
          </x14:cfRule>
          <xm:sqref>CJ174:CJ176</xm:sqref>
        </x14:conditionalFormatting>
        <x14:conditionalFormatting xmlns:xm="http://schemas.microsoft.com/office/excel/2006/main">
          <x14:cfRule type="containsText" priority="6" operator="containsText" id="{60730825-FD0D-4D72-B469-C060CBA4A03F}">
            <xm:f>NOT(ISERROR(SEARCH(#REF!,CL174)))</xm:f>
            <xm:f>#REF!</xm:f>
            <x14:dxf>
              <font>
                <color theme="4"/>
              </font>
              <fill>
                <patternFill>
                  <bgColor theme="5" tint="0.59996337778862885"/>
                </patternFill>
              </fill>
            </x14:dxf>
          </x14:cfRule>
          <xm:sqref>CL174:CL176</xm:sqref>
        </x14:conditionalFormatting>
      </x14:conditionalFormattings>
    </ext>
    <ext xmlns:x14="http://schemas.microsoft.com/office/spreadsheetml/2009/9/main" uri="{CCE6A557-97BC-4b89-ADB6-D9C93CAAB3DF}">
      <x14:dataValidations xmlns:xm="http://schemas.microsoft.com/office/excel/2006/main" count="23">
        <x14:dataValidation type="list" allowBlank="1" showInputMessage="1" showErrorMessage="1" xr:uid="{00000000-0002-0000-0400-000002000000}">
          <x14:formula1>
            <xm:f>'TAB. REF. PA'!$D$4:$D$9</xm:f>
          </x14:formula1>
          <xm:sqref>T9:T12 T139 T150:T176 T14:T137</xm:sqref>
        </x14:dataValidation>
        <x14:dataValidation type="list" allowBlank="1" showInputMessage="1" showErrorMessage="1" xr:uid="{00000000-0002-0000-0400-000003000000}">
          <x14:formula1>
            <xm:f>'TAB. REF. PA'!$F$4:$F$10</xm:f>
          </x14:formula1>
          <xm:sqref>AE31:AE93 AE9:AE10 AE153 AE156:AE173 AE98:AE151 AE14:AE29</xm:sqref>
        </x14:dataValidation>
        <x14:dataValidation type="list" allowBlank="1" showInputMessage="1" showErrorMessage="1" xr:uid="{00000000-0002-0000-0400-000004000000}">
          <x14:formula1>
            <xm:f>'TAB. REF. PA'!$H$4:$H$21</xm:f>
          </x14:formula1>
          <xm:sqref>AF43:AF93 AF9:AF10 AF31:AF41 AF153 AF156:AF173 AF98:AF151 AF14:AF29</xm:sqref>
        </x14:dataValidation>
        <x14:dataValidation type="list" allowBlank="1" showInputMessage="1" showErrorMessage="1" xr:uid="{00000000-0002-0000-0400-000005000000}">
          <x14:formula1>
            <xm:f>'TAB. REF. PA'!$J$4:$J$6</xm:f>
          </x14:formula1>
          <xm:sqref>AG31:AG93 AG9:AH10 AG153 AG156:AG173 AG98:AG151 AG14:AG29</xm:sqref>
        </x14:dataValidation>
        <x14:dataValidation type="list" allowBlank="1" showInputMessage="1" showErrorMessage="1" xr:uid="{00000000-0002-0000-0400-000008000000}">
          <x14:formula1>
            <xm:f>'TAB. REF. PA'!$U$4:$U$24</xm:f>
          </x14:formula1>
          <xm:sqref>AL9 AL14 AL98:AL129 AL55:AL93 AL143 AL146 AL148:AL149</xm:sqref>
        </x14:dataValidation>
        <x14:dataValidation type="list" allowBlank="1" showInputMessage="1" showErrorMessage="1" xr:uid="{00000000-0002-0000-0400-000009000000}">
          <x14:formula1>
            <xm:f>'TAB. REF. PA'!$D$4:$D$10</xm:f>
          </x14:formula1>
          <xm:sqref>T138</xm:sqref>
        </x14:dataValidation>
        <x14:dataValidation type="list" allowBlank="1" showInputMessage="1" showErrorMessage="1" xr:uid="{00000000-0002-0000-0400-00000B000000}">
          <x14:formula1>
            <xm:f>'C:\Users\martha.serna\ADRES\DIANA FERNANDA FORERO CORREDOR - GRUPO GESTIÓN DE SERVICIO AL CIUDADANO\[Plan Accion Integrado ADRES Vigencia 2018  con cuadro de mando V4.xlsx]TAB. REF. PA'!#REF!</xm:f>
          </x14:formula1>
          <xm:sqref>AK120</xm:sqref>
        </x14:dataValidation>
        <x14:dataValidation type="list" allowBlank="1" showInputMessage="1" showErrorMessage="1" xr:uid="{00000000-0002-0000-0400-00000C000000}">
          <x14:formula1>
            <xm:f>'C:\Users\norela.briceno\Documents\Plan de acción\Plan Accion 2018\[Plan Accion Integrado ADRES Vigencia 2018 V3.xlsx]TAB. REF. PA'!#REF!</xm:f>
          </x14:formula1>
          <xm:sqref>AL130</xm:sqref>
        </x14:dataValidation>
        <x14:dataValidation type="list" allowBlank="1" showInputMessage="1" showErrorMessage="1" xr:uid="{00000000-0002-0000-0400-000010000000}">
          <x14:formula1>
            <xm:f>'TAB. REF. PA'!$B$4:$B$14</xm:f>
          </x14:formula1>
          <xm:sqref>B9:B12 B14:B16 B170:B173 B144:B168 B18:B142</xm:sqref>
        </x14:dataValidation>
        <x14:dataValidation type="list" allowBlank="1" showInputMessage="1" showErrorMessage="1" xr:uid="{00000000-0002-0000-0400-000011000000}">
          <x14:formula1>
            <xm:f>'TAB. REF. PA'!$R$4:$R$12</xm:f>
          </x14:formula1>
          <xm:sqref>C136:C139 C123:C132 C9:C12 C119:C121 C66:C115 C63 C56:C61 C170:C176 C150:C162 C17:C54</xm:sqref>
        </x14:dataValidation>
        <x14:dataValidation type="list" allowBlank="1" showInputMessage="1" showErrorMessage="1" xr:uid="{00000000-0002-0000-0400-000012000000}">
          <x14:formula1>
            <xm:f>'TAB. REF. PA'!$Y$4:$Y$14</xm:f>
          </x14:formula1>
          <xm:sqref>A9:A12 A14:A173</xm:sqref>
        </x14:dataValidation>
        <x14:dataValidation type="list" allowBlank="1" showInputMessage="1" showErrorMessage="1" xr:uid="{00000000-0002-0000-0400-000013000000}">
          <x14:formula1>
            <xm:f>'TAB. REF. PA'!$X$4:$X$9</xm:f>
          </x14:formula1>
          <xm:sqref>U27:U28 U36:V36 V9:V12 V37:V176 V14:V35</xm:sqref>
        </x14:dataValidation>
        <x14:dataValidation type="list" allowBlank="1" showInputMessage="1" showErrorMessage="1" xr:uid="{00000000-0002-0000-0400-000014000000}">
          <x14:formula1>
            <xm:f>'C:\Users\norela.briceno\Documents\Plan de acción\Plan Acción 2019\[DIES-F07-08_Plan_Accion_con_Cuadro_de_Mando_V04 Otros planes TIC.xlsx]TAB. REF. PA'!#REF!</xm:f>
          </x14:formula1>
          <xm:sqref>T140:T149 C140:C142 C144:C145 C147</xm:sqref>
        </x14:dataValidation>
        <x14:dataValidation type="list" allowBlank="1" showInputMessage="1" showErrorMessage="1" xr:uid="{00000000-0002-0000-0400-000016000000}">
          <x14:formula1>
            <xm:f>'TAB. REF. PA'!$U$4:$U$25</xm:f>
          </x14:formula1>
          <xm:sqref>AL10 AL31:AL41 AL48:AL54 AL131 AL139:AL142 AL144:AL145 AL147 AL150:AL151 AL153 AL156:AL173 AL15:AL29</xm:sqref>
        </x14:dataValidation>
        <x14:dataValidation type="list" allowBlank="1" showInputMessage="1" showErrorMessage="1" xr:uid="{00000000-0002-0000-0400-000006000000}">
          <x14:formula1>
            <xm:f>'TAB. REF. PA'!$L$4:$L$11</xm:f>
          </x14:formula1>
          <xm:sqref>AH31:AH93 AH153 AH156:AH173 AH98:AH151 AH14:AH29</xm:sqref>
        </x14:dataValidation>
        <x14:dataValidation type="list" allowBlank="1" showInputMessage="1" showErrorMessage="1" xr:uid="{6E66EFCD-FCD2-4B34-863C-5A36DB972E85}">
          <x14:formula1>
            <xm:f>'TAB. REF. PA'!$R$4:$R$13</xm:f>
          </x14:formula1>
          <xm:sqref>C116:C118</xm:sqref>
        </x14:dataValidation>
        <x14:dataValidation type="list" allowBlank="1" showInputMessage="1" showErrorMessage="1" xr:uid="{00000000-0002-0000-0400-00000E000000}">
          <x14:formula1>
            <xm:f>'C:\Users\norela.briceno\Documents\Plan de acción\Plan Acción 2019\[Plan_Accion_2019_OCI_V02 (1).xlsx]TAB.REF.PA'!#REF!</xm:f>
          </x14:formula1>
          <xm:sqref>AL42:AL47</xm:sqref>
        </x14:dataValidation>
        <x14:dataValidation type="list" allowBlank="1" showInputMessage="1" showErrorMessage="1" xr:uid="{00000000-0002-0000-0400-000007000000}">
          <x14:formula1>
            <xm:f>'TAB. REF. PA'!$N$4:$N$28</xm:f>
          </x14:formula1>
          <xm:sqref>AI31:AI40 AI42:AI47 AI49:AI93 AI98:AI130 AI156:AI157 AI161 AI132:AI138 AI140:AI151 AI9 AI21:AI29</xm:sqref>
        </x14:dataValidation>
        <x14:dataValidation type="list" allowBlank="1" showInputMessage="1" showErrorMessage="1" xr:uid="{00000000-0002-0000-0400-000015000000}">
          <x14:formula1>
            <xm:f>'TAB. REF. PA'!$N$4:$N$33</xm:f>
          </x14:formula1>
          <xm:sqref>AI14:AI20 AI41 AI48 AI131 AI139 AI153 AI158:AI160 AI162:AI173 AI10 AI155</xm:sqref>
        </x14:dataValidation>
        <x14:dataValidation type="list" allowBlank="1" showInputMessage="1" showErrorMessage="1" xr:uid="{DB938CBA-1D7B-4C42-A9A6-83F8DE77BD55}">
          <x14:formula1>
            <xm:f>'C:\Users\norela.briceno\Documents\Plan de acción\Plan Accion 2018\[Plan Accion Integrado ADRES Vigencia 2018 con Cuadro de Mando V6..xlsx]TAB. REF. PA'!#REF!</xm:f>
          </x14:formula1>
          <xm:sqref>AF42</xm:sqref>
        </x14:dataValidation>
        <x14:dataValidation type="list" allowBlank="1" showInputMessage="1" showErrorMessage="1" xr:uid="{00000000-0002-0000-0400-00000F000000}">
          <x14:formula1>
            <xm:f>'C:\Users\norela.briceno\Documents\Plan de acción\Plan Acción 2019\[DIES-F07-08_Plan_Accion_con_Cuadro_de_Mando_V03 Preliminar DGTIC.xlsx]TAB. REF. PA'!#REF!</xm:f>
          </x14:formula1>
          <xm:sqref>AL132:AL138</xm:sqref>
        </x14:dataValidation>
        <x14:dataValidation type="list" allowBlank="1" showInputMessage="1" showErrorMessage="1" xr:uid="{34DE67B1-62CC-429D-841E-B61B724251E2}">
          <x14:formula1>
            <xm:f>'C:\Users\norela.briceno\AppData\Local\Microsoft\Windows\INetCache\Content.Outlook\23KQLUMF\[DIES-F07-08_Plan_Accion_2019_V01 aprobado publicación.xlsx]TAB. REF. PA'!#REF!</xm:f>
          </x14:formula1>
          <xm:sqref>AE174:AI176</xm:sqref>
        </x14:dataValidation>
        <x14:dataValidation type="list" allowBlank="1" showInputMessage="1" showErrorMessage="1" xr:uid="{00000000-0002-0000-0400-000017000000}">
          <x14:formula1>
            <xm:f>'TAB. REF. PA'!$W$3:$W$7</xm:f>
          </x14:formula1>
          <xm:sqref>AP9:AP176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T25"/>
  <sheetViews>
    <sheetView showGridLines="0" zoomScale="90" zoomScaleNormal="90" workbookViewId="0">
      <pane ySplit="7" topLeftCell="A8" activePane="bottomLeft" state="frozen"/>
      <selection pane="bottomLeft" activeCell="A7" sqref="A7"/>
    </sheetView>
  </sheetViews>
  <sheetFormatPr baseColWidth="10" defaultRowHeight="15" x14ac:dyDescent="0.25"/>
  <cols>
    <col min="1" max="1" width="17.85546875" bestFit="1" customWidth="1"/>
    <col min="2" max="2" width="34.140625" customWidth="1"/>
    <col min="3" max="3" width="22" hidden="1" customWidth="1"/>
    <col min="4" max="4" width="16.5703125" hidden="1" customWidth="1"/>
    <col min="5" max="5" width="40.5703125" hidden="1" customWidth="1"/>
    <col min="6" max="6" width="18.5703125" hidden="1" customWidth="1"/>
    <col min="7" max="7" width="40.5703125" hidden="1" customWidth="1"/>
    <col min="8" max="8" width="16.28515625" customWidth="1"/>
    <col min="9" max="9" width="35.7109375" customWidth="1"/>
    <col min="10" max="10" width="12.85546875" style="59" customWidth="1"/>
    <col min="11" max="11" width="15.42578125" customWidth="1"/>
    <col min="12" max="12" width="14.5703125" customWidth="1"/>
    <col min="13" max="13" width="46.7109375" customWidth="1"/>
    <col min="14" max="14" width="20.7109375" customWidth="1"/>
    <col min="15" max="15" width="17.28515625" customWidth="1"/>
    <col min="16" max="16" width="21.42578125" customWidth="1"/>
    <col min="17" max="17" width="23.7109375" customWidth="1"/>
    <col min="18" max="18" width="25.7109375" customWidth="1"/>
    <col min="19" max="19" width="35" customWidth="1"/>
    <col min="20" max="21" width="19.140625" customWidth="1"/>
    <col min="22" max="22" width="31" customWidth="1"/>
    <col min="23" max="23" width="28.28515625" customWidth="1"/>
    <col min="24" max="24" width="12.140625" customWidth="1"/>
    <col min="25" max="25" width="35.7109375" customWidth="1"/>
    <col min="26" max="26" width="27.7109375" customWidth="1"/>
    <col min="27" max="27" width="21.140625" customWidth="1"/>
    <col min="28" max="28" width="13.85546875" style="6" customWidth="1"/>
    <col min="29" max="29" width="35.7109375" style="6" customWidth="1"/>
    <col min="30" max="30" width="27.7109375" style="6" customWidth="1"/>
    <col min="31" max="31" width="13.5703125" style="6" customWidth="1"/>
    <col min="32" max="32" width="27.7109375" style="6" customWidth="1"/>
    <col min="33" max="33" width="11.42578125" style="6" customWidth="1"/>
    <col min="34" max="34" width="15.7109375" style="6" customWidth="1"/>
    <col min="35" max="35" width="11.42578125" style="6" customWidth="1"/>
    <col min="36" max="36" width="15.7109375" style="6" customWidth="1"/>
    <col min="37" max="37" width="50.7109375" style="6" customWidth="1"/>
    <col min="38" max="38" width="13.7109375" style="6" hidden="1" customWidth="1"/>
    <col min="39" max="39" width="35.7109375" style="6" hidden="1" customWidth="1"/>
    <col min="40" max="40" width="27.7109375" style="6" hidden="1" customWidth="1"/>
    <col min="41" max="41" width="17.140625" style="6" hidden="1" customWidth="1"/>
    <col min="42" max="42" width="27.7109375" style="6" hidden="1" customWidth="1"/>
    <col min="43" max="43" width="13.7109375" style="6" hidden="1" customWidth="1"/>
    <col min="44" max="44" width="15.7109375" style="6" hidden="1" customWidth="1"/>
    <col min="45" max="45" width="13.7109375" style="6" hidden="1" customWidth="1"/>
    <col min="46" max="46" width="15.7109375" style="6" hidden="1" customWidth="1"/>
    <col min="47" max="47" width="50.7109375" style="6" hidden="1" customWidth="1"/>
    <col min="48" max="48" width="13.7109375" style="6" hidden="1" customWidth="1"/>
    <col min="49" max="49" width="35.7109375" style="6" hidden="1" customWidth="1"/>
    <col min="50" max="50" width="27.7109375" style="6" hidden="1" customWidth="1"/>
    <col min="51" max="51" width="18" style="6" hidden="1" customWidth="1"/>
    <col min="52" max="52" width="27.7109375" style="6" hidden="1" customWidth="1"/>
    <col min="53" max="53" width="13.7109375" style="6" hidden="1" customWidth="1"/>
    <col min="54" max="54" width="15.7109375" style="6" hidden="1" customWidth="1"/>
    <col min="55" max="55" width="13.7109375" style="6" hidden="1" customWidth="1"/>
    <col min="56" max="56" width="15.7109375" style="6" hidden="1" customWidth="1"/>
    <col min="57" max="57" width="50.7109375" style="6" hidden="1" customWidth="1"/>
    <col min="58" max="58" width="13.7109375" style="6" hidden="1" customWidth="1"/>
    <col min="59" max="59" width="35.7109375" style="6" hidden="1" customWidth="1"/>
    <col min="60" max="60" width="27.7109375" style="6" hidden="1" customWidth="1"/>
    <col min="61" max="61" width="13.7109375" style="6" hidden="1" customWidth="1"/>
    <col min="62" max="62" width="27.7109375" style="6" hidden="1" customWidth="1"/>
    <col min="63" max="63" width="13.7109375" style="6" hidden="1" customWidth="1"/>
    <col min="64" max="64" width="15.7109375" style="6" hidden="1" customWidth="1"/>
    <col min="65" max="65" width="13.7109375" style="6" hidden="1" customWidth="1"/>
    <col min="66" max="66" width="15.7109375" style="6" hidden="1" customWidth="1"/>
    <col min="67" max="67" width="50.7109375" style="6" hidden="1" customWidth="1"/>
    <col min="68" max="68" width="13.7109375" style="6" customWidth="1"/>
    <col min="69" max="69" width="15.7109375" style="6" customWidth="1"/>
    <col min="70" max="70" width="15.42578125" style="6" customWidth="1"/>
    <col min="71" max="71" width="15.7109375" style="6" customWidth="1"/>
    <col min="72" max="72" width="13.7109375" style="6" customWidth="1"/>
    <col min="73" max="73" width="15.7109375" style="6" customWidth="1"/>
    <col min="74" max="74" width="13.7109375" style="6" customWidth="1"/>
    <col min="75" max="75" width="15.7109375" style="6" customWidth="1"/>
    <col min="76" max="16384" width="11.42578125" style="6"/>
  </cols>
  <sheetData>
    <row r="1" spans="1:75" ht="22.5" customHeight="1" x14ac:dyDescent="0.25">
      <c r="A1" s="734"/>
      <c r="B1" s="735"/>
      <c r="C1" s="740" t="s">
        <v>248</v>
      </c>
      <c r="D1" s="741"/>
      <c r="E1" s="741"/>
      <c r="F1" s="741"/>
      <c r="G1" s="741"/>
      <c r="H1" s="742"/>
      <c r="I1" s="743" t="s">
        <v>249</v>
      </c>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4"/>
      <c r="BT1" s="861"/>
      <c r="BU1" s="862"/>
      <c r="BV1" s="862"/>
      <c r="BW1" s="862"/>
    </row>
    <row r="2" spans="1:75" ht="24" customHeight="1" x14ac:dyDescent="0.25">
      <c r="A2" s="736"/>
      <c r="B2" s="737"/>
      <c r="C2" s="761" t="s">
        <v>250</v>
      </c>
      <c r="D2" s="762"/>
      <c r="E2" s="762"/>
      <c r="F2" s="762"/>
      <c r="G2" s="762"/>
      <c r="H2" s="763"/>
      <c r="I2" s="764" t="s">
        <v>256</v>
      </c>
      <c r="J2" s="766" t="s">
        <v>252</v>
      </c>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t="s">
        <v>251</v>
      </c>
      <c r="BS2" s="768">
        <v>2</v>
      </c>
      <c r="BT2" s="863"/>
      <c r="BU2" s="864"/>
      <c r="BV2" s="864"/>
      <c r="BW2" s="864"/>
    </row>
    <row r="3" spans="1:75" ht="25.5" customHeight="1" thickBot="1" x14ac:dyDescent="0.3">
      <c r="A3" s="738"/>
      <c r="B3" s="739"/>
      <c r="C3" s="770" t="s">
        <v>244</v>
      </c>
      <c r="D3" s="771"/>
      <c r="E3" s="771"/>
      <c r="F3" s="771"/>
      <c r="G3" s="771"/>
      <c r="H3" s="772"/>
      <c r="I3" s="765"/>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c r="BF3" s="767"/>
      <c r="BG3" s="767"/>
      <c r="BH3" s="767"/>
      <c r="BI3" s="767"/>
      <c r="BJ3" s="767"/>
      <c r="BK3" s="767"/>
      <c r="BL3" s="767"/>
      <c r="BM3" s="767"/>
      <c r="BN3" s="767"/>
      <c r="BO3" s="767"/>
      <c r="BP3" s="767"/>
      <c r="BQ3" s="767"/>
      <c r="BR3" s="767"/>
      <c r="BS3" s="769"/>
      <c r="BT3" s="865"/>
      <c r="BU3" s="866"/>
      <c r="BV3" s="866"/>
      <c r="BW3" s="866"/>
    </row>
    <row r="4" spans="1:75" ht="15.75" x14ac:dyDescent="0.25">
      <c r="E4" s="58"/>
      <c r="F4" s="58"/>
      <c r="G4" s="58"/>
      <c r="H4" s="58"/>
      <c r="I4" s="58"/>
      <c r="J4" s="58"/>
      <c r="K4" s="58"/>
      <c r="L4" s="58"/>
      <c r="M4" s="58"/>
      <c r="N4" s="58"/>
      <c r="O4" s="58"/>
      <c r="P4" s="58"/>
    </row>
    <row r="5" spans="1:75" s="86" customFormat="1" ht="13.5" thickBot="1" x14ac:dyDescent="0.25">
      <c r="A5" s="166" t="s">
        <v>348</v>
      </c>
      <c r="B5" s="166"/>
      <c r="C5" s="22"/>
      <c r="D5" s="22"/>
      <c r="E5" s="751"/>
      <c r="F5" s="751"/>
      <c r="G5" s="751"/>
      <c r="H5" s="751"/>
      <c r="I5" s="751"/>
      <c r="J5" s="751"/>
      <c r="K5" s="751"/>
      <c r="L5" s="751"/>
      <c r="M5" s="751"/>
      <c r="N5" s="751"/>
      <c r="O5" s="751"/>
      <c r="P5" s="751"/>
      <c r="Q5" s="22"/>
      <c r="R5" s="167"/>
      <c r="S5" s="22"/>
      <c r="T5" s="22"/>
      <c r="U5" s="22"/>
      <c r="V5" s="22"/>
      <c r="W5" s="22"/>
      <c r="X5" s="22"/>
      <c r="Y5" s="22"/>
      <c r="Z5" s="22"/>
      <c r="AA5" s="22"/>
    </row>
    <row r="6" spans="1:75" s="86" customFormat="1" ht="13.5" thickBot="1" x14ac:dyDescent="0.25">
      <c r="A6" s="22"/>
      <c r="B6" s="22"/>
      <c r="C6" s="22"/>
      <c r="D6" s="22"/>
      <c r="E6" s="22"/>
      <c r="F6" s="22"/>
      <c r="G6" s="22"/>
      <c r="H6" s="22"/>
      <c r="I6" s="22"/>
      <c r="J6" s="168"/>
      <c r="K6" s="22"/>
      <c r="L6" s="22"/>
      <c r="M6" s="22"/>
      <c r="N6" s="22"/>
      <c r="O6" s="22"/>
      <c r="P6" s="22"/>
      <c r="Q6" s="167"/>
      <c r="R6" s="22"/>
      <c r="S6" s="22"/>
      <c r="T6" s="22"/>
      <c r="U6" s="22"/>
      <c r="V6" s="22"/>
      <c r="W6" s="22"/>
      <c r="X6" s="22"/>
      <c r="Y6" s="22"/>
      <c r="Z6" s="22"/>
      <c r="AA6" s="22"/>
      <c r="AB6" s="745" t="s">
        <v>192</v>
      </c>
      <c r="AC6" s="746"/>
      <c r="AD6" s="746"/>
      <c r="AE6" s="746"/>
      <c r="AF6" s="746"/>
      <c r="AG6" s="746"/>
      <c r="AH6" s="746"/>
      <c r="AI6" s="746"/>
      <c r="AJ6" s="746"/>
      <c r="AK6" s="747"/>
      <c r="AL6" s="748" t="s">
        <v>194</v>
      </c>
      <c r="AM6" s="749"/>
      <c r="AN6" s="749"/>
      <c r="AO6" s="749"/>
      <c r="AP6" s="749"/>
      <c r="AQ6" s="749"/>
      <c r="AR6" s="749"/>
      <c r="AS6" s="749"/>
      <c r="AT6" s="749"/>
      <c r="AU6" s="750"/>
      <c r="AV6" s="745" t="s">
        <v>193</v>
      </c>
      <c r="AW6" s="746"/>
      <c r="AX6" s="746"/>
      <c r="AY6" s="746"/>
      <c r="AZ6" s="746"/>
      <c r="BA6" s="746"/>
      <c r="BB6" s="746"/>
      <c r="BC6" s="746"/>
      <c r="BD6" s="746"/>
      <c r="BE6" s="747"/>
      <c r="BF6" s="748" t="s">
        <v>195</v>
      </c>
      <c r="BG6" s="749"/>
      <c r="BH6" s="749"/>
      <c r="BI6" s="749"/>
      <c r="BJ6" s="749"/>
      <c r="BK6" s="749"/>
      <c r="BL6" s="749"/>
      <c r="BM6" s="749"/>
      <c r="BN6" s="749"/>
      <c r="BO6" s="750"/>
      <c r="BP6" s="752" t="s">
        <v>1262</v>
      </c>
      <c r="BQ6" s="753"/>
      <c r="BR6" s="753"/>
      <c r="BS6" s="753"/>
      <c r="BT6" s="753"/>
      <c r="BU6" s="753"/>
      <c r="BV6" s="753"/>
      <c r="BW6" s="754"/>
    </row>
    <row r="7" spans="1:75" s="199" customFormat="1" ht="50.25" customHeight="1" x14ac:dyDescent="0.2">
      <c r="A7" s="169" t="s">
        <v>30</v>
      </c>
      <c r="B7" s="170" t="s">
        <v>31</v>
      </c>
      <c r="C7" s="170" t="s">
        <v>257</v>
      </c>
      <c r="D7" s="170" t="s">
        <v>57</v>
      </c>
      <c r="E7" s="170" t="s">
        <v>259</v>
      </c>
      <c r="F7" s="170" t="s">
        <v>258</v>
      </c>
      <c r="G7" s="170" t="s">
        <v>260</v>
      </c>
      <c r="H7" s="170" t="s">
        <v>32</v>
      </c>
      <c r="I7" s="170" t="s">
        <v>49</v>
      </c>
      <c r="J7" s="170" t="s">
        <v>35</v>
      </c>
      <c r="K7" s="170" t="s">
        <v>8</v>
      </c>
      <c r="L7" s="170" t="s">
        <v>33</v>
      </c>
      <c r="M7" s="170" t="s">
        <v>50</v>
      </c>
      <c r="N7" s="170" t="s">
        <v>152</v>
      </c>
      <c r="O7" s="170" t="s">
        <v>5</v>
      </c>
      <c r="P7" s="170" t="s">
        <v>37</v>
      </c>
      <c r="Q7" s="170" t="s">
        <v>36</v>
      </c>
      <c r="R7" s="170" t="s">
        <v>38</v>
      </c>
      <c r="S7" s="170" t="s">
        <v>39</v>
      </c>
      <c r="T7" s="170" t="s">
        <v>6</v>
      </c>
      <c r="U7" s="170" t="s">
        <v>1375</v>
      </c>
      <c r="V7" s="170" t="s">
        <v>0</v>
      </c>
      <c r="W7" s="170" t="s">
        <v>34</v>
      </c>
      <c r="X7" s="170" t="s">
        <v>8</v>
      </c>
      <c r="Y7" s="171" t="s">
        <v>190</v>
      </c>
      <c r="Z7" s="171" t="s">
        <v>152</v>
      </c>
      <c r="AA7" s="172" t="s">
        <v>9</v>
      </c>
      <c r="AB7" s="173" t="s">
        <v>8</v>
      </c>
      <c r="AC7" s="173" t="s">
        <v>50</v>
      </c>
      <c r="AD7" s="173" t="s">
        <v>152</v>
      </c>
      <c r="AE7" s="173" t="s">
        <v>8</v>
      </c>
      <c r="AF7" s="173" t="s">
        <v>152</v>
      </c>
      <c r="AG7" s="173" t="s">
        <v>7</v>
      </c>
      <c r="AH7" s="173" t="s">
        <v>10</v>
      </c>
      <c r="AI7" s="173" t="s">
        <v>7</v>
      </c>
      <c r="AJ7" s="173" t="s">
        <v>10</v>
      </c>
      <c r="AK7" s="173" t="s">
        <v>191</v>
      </c>
      <c r="AL7" s="170" t="s">
        <v>8</v>
      </c>
      <c r="AM7" s="170" t="s">
        <v>50</v>
      </c>
      <c r="AN7" s="170" t="s">
        <v>152</v>
      </c>
      <c r="AO7" s="170" t="s">
        <v>8</v>
      </c>
      <c r="AP7" s="170" t="s">
        <v>152</v>
      </c>
      <c r="AQ7" s="170" t="s">
        <v>7</v>
      </c>
      <c r="AR7" s="170" t="s">
        <v>10</v>
      </c>
      <c r="AS7" s="170" t="s">
        <v>7</v>
      </c>
      <c r="AT7" s="170" t="s">
        <v>10</v>
      </c>
      <c r="AU7" s="170" t="s">
        <v>191</v>
      </c>
      <c r="AV7" s="173" t="s">
        <v>8</v>
      </c>
      <c r="AW7" s="173" t="s">
        <v>50</v>
      </c>
      <c r="AX7" s="173" t="s">
        <v>152</v>
      </c>
      <c r="AY7" s="173" t="s">
        <v>8</v>
      </c>
      <c r="AZ7" s="173" t="s">
        <v>152</v>
      </c>
      <c r="BA7" s="173" t="s">
        <v>7</v>
      </c>
      <c r="BB7" s="173" t="s">
        <v>10</v>
      </c>
      <c r="BC7" s="173" t="s">
        <v>7</v>
      </c>
      <c r="BD7" s="173" t="s">
        <v>10</v>
      </c>
      <c r="BE7" s="173" t="s">
        <v>191</v>
      </c>
      <c r="BF7" s="170" t="s">
        <v>8</v>
      </c>
      <c r="BG7" s="170" t="s">
        <v>50</v>
      </c>
      <c r="BH7" s="170" t="s">
        <v>152</v>
      </c>
      <c r="BI7" s="170" t="s">
        <v>8</v>
      </c>
      <c r="BJ7" s="170" t="s">
        <v>152</v>
      </c>
      <c r="BK7" s="170" t="s">
        <v>7</v>
      </c>
      <c r="BL7" s="170" t="s">
        <v>10</v>
      </c>
      <c r="BM7" s="170" t="s">
        <v>7</v>
      </c>
      <c r="BN7" s="170" t="s">
        <v>10</v>
      </c>
      <c r="BO7" s="170" t="s">
        <v>191</v>
      </c>
      <c r="BP7" s="174" t="s">
        <v>7</v>
      </c>
      <c r="BQ7" s="174" t="s">
        <v>10</v>
      </c>
      <c r="BR7" s="174" t="s">
        <v>7</v>
      </c>
      <c r="BS7" s="174" t="s">
        <v>10</v>
      </c>
      <c r="BT7" s="174" t="s">
        <v>7</v>
      </c>
      <c r="BU7" s="174" t="s">
        <v>10</v>
      </c>
      <c r="BV7" s="174" t="s">
        <v>7</v>
      </c>
      <c r="BW7" s="174" t="s">
        <v>10</v>
      </c>
    </row>
    <row r="8" spans="1:75" s="86" customFormat="1" ht="51" x14ac:dyDescent="0.2">
      <c r="A8" s="78">
        <v>11900</v>
      </c>
      <c r="B8" s="104" t="s">
        <v>125</v>
      </c>
      <c r="C8" s="104" t="s">
        <v>332</v>
      </c>
      <c r="D8" s="78" t="s">
        <v>126</v>
      </c>
      <c r="E8" s="104" t="s">
        <v>60</v>
      </c>
      <c r="F8" s="104" t="s">
        <v>206</v>
      </c>
      <c r="G8" s="104" t="s">
        <v>206</v>
      </c>
      <c r="H8" s="78" t="s">
        <v>703</v>
      </c>
      <c r="I8" s="104" t="s">
        <v>982</v>
      </c>
      <c r="J8" s="60" t="s">
        <v>411</v>
      </c>
      <c r="K8" s="79">
        <v>1</v>
      </c>
      <c r="L8" s="78" t="s">
        <v>702</v>
      </c>
      <c r="M8" s="104" t="s">
        <v>378</v>
      </c>
      <c r="N8" s="152">
        <v>0</v>
      </c>
      <c r="O8" s="85">
        <v>1</v>
      </c>
      <c r="P8" s="104" t="s">
        <v>17</v>
      </c>
      <c r="Q8" s="104" t="s">
        <v>28</v>
      </c>
      <c r="R8" s="104" t="s">
        <v>206</v>
      </c>
      <c r="S8" s="104" t="s">
        <v>206</v>
      </c>
      <c r="T8" s="104" t="s">
        <v>1124</v>
      </c>
      <c r="U8" s="535" t="s">
        <v>206</v>
      </c>
      <c r="V8" s="104" t="s">
        <v>981</v>
      </c>
      <c r="W8" s="104" t="s">
        <v>206</v>
      </c>
      <c r="X8" s="79">
        <v>1</v>
      </c>
      <c r="Y8" s="104" t="str">
        <f>+M8</f>
        <v xml:space="preserve">Cambio de jurisdicción de laboral a administrativa para resolver conflictos judiciales con la ADRES.
</v>
      </c>
      <c r="Z8" s="183">
        <f>+N8</f>
        <v>0</v>
      </c>
      <c r="AA8" s="83" t="s">
        <v>48</v>
      </c>
      <c r="AB8" s="79">
        <v>1</v>
      </c>
      <c r="AC8" s="104" t="str">
        <f>+Y8</f>
        <v xml:space="preserve">Cambio de jurisdicción de laboral a administrativa para resolver conflictos judiciales con la ADRES.
</v>
      </c>
      <c r="AD8" s="80">
        <v>0</v>
      </c>
      <c r="AE8" s="599">
        <v>1</v>
      </c>
      <c r="AF8" s="599"/>
      <c r="AG8" s="85">
        <f>+(AE8/AB8)</f>
        <v>1</v>
      </c>
      <c r="AH8" s="85" t="e">
        <f>+(AF8/AD8)</f>
        <v>#DIV/0!</v>
      </c>
      <c r="AI8" s="85">
        <f>+(AE8/X8)</f>
        <v>1</v>
      </c>
      <c r="AJ8" s="85" t="e">
        <f>+(AF8/Z8)</f>
        <v>#DIV/0!</v>
      </c>
      <c r="AK8" s="600" t="s">
        <v>1509</v>
      </c>
      <c r="AL8" s="79">
        <v>0</v>
      </c>
      <c r="AM8" s="104" t="str">
        <f>+Y8</f>
        <v xml:space="preserve">Cambio de jurisdicción de laboral a administrativa para resolver conflictos judiciales con la ADRES.
</v>
      </c>
      <c r="AN8" s="80">
        <v>0</v>
      </c>
      <c r="AO8" s="156"/>
      <c r="AP8" s="156"/>
      <c r="AQ8" s="85" t="e">
        <f>+(AO8/AL8)</f>
        <v>#DIV/0!</v>
      </c>
      <c r="AR8" s="85" t="e">
        <f>+(AP8/AN8)</f>
        <v>#DIV/0!</v>
      </c>
      <c r="AS8" s="85">
        <f>+(AO8+AE8)/X8</f>
        <v>1</v>
      </c>
      <c r="AT8" s="85" t="e">
        <f>+(AP8+AF8)/Z8</f>
        <v>#DIV/0!</v>
      </c>
      <c r="AU8" s="85"/>
      <c r="AV8" s="79">
        <v>0</v>
      </c>
      <c r="AW8" s="104" t="str">
        <f>+Y8</f>
        <v xml:space="preserve">Cambio de jurisdicción de laboral a administrativa para resolver conflictos judiciales con la ADRES.
</v>
      </c>
      <c r="AX8" s="80">
        <v>0</v>
      </c>
      <c r="AY8" s="156"/>
      <c r="AZ8" s="156"/>
      <c r="BA8" s="85" t="e">
        <f>+(AY8/AV8)</f>
        <v>#DIV/0!</v>
      </c>
      <c r="BB8" s="85" t="e">
        <f>+(AZ8/AX8)</f>
        <v>#DIV/0!</v>
      </c>
      <c r="BC8" s="85">
        <f>+(AO8+AE8+AY8)/X8</f>
        <v>1</v>
      </c>
      <c r="BD8" s="85" t="e">
        <f>+(AP8+AF8+AZ8)/Z8</f>
        <v>#DIV/0!</v>
      </c>
      <c r="BE8" s="85"/>
      <c r="BF8" s="79">
        <v>0</v>
      </c>
      <c r="BG8" s="104" t="str">
        <f>+Y8</f>
        <v xml:space="preserve">Cambio de jurisdicción de laboral a administrativa para resolver conflictos judiciales con la ADRES.
</v>
      </c>
      <c r="BH8" s="80">
        <v>0</v>
      </c>
      <c r="BI8" s="156"/>
      <c r="BJ8" s="156"/>
      <c r="BK8" s="61" t="e">
        <f>+(BI8/BF8)</f>
        <v>#DIV/0!</v>
      </c>
      <c r="BL8" s="61" t="e">
        <f>+(BJ8/BH8)</f>
        <v>#DIV/0!</v>
      </c>
      <c r="BM8" s="61">
        <f>+(AO8+AE8+AY8+BI8)/X8</f>
        <v>1</v>
      </c>
      <c r="BN8" s="61" t="e">
        <f>+(AP8+AF8+AZ8+BJ8)/Z8</f>
        <v>#DIV/0!</v>
      </c>
      <c r="BO8" s="61"/>
      <c r="BP8" s="184">
        <f>IF(AND(AB8=0,AE8=0),"No Prog ni Ejec",IF(AB8=0,CONCATENATE("No Prog, Ejec=  ",AE8),AE8/AB8))</f>
        <v>1</v>
      </c>
      <c r="BQ8" s="184" t="str">
        <f>IF(AND(AD8=0,AF8=0),"No Prog ni Ejec",IF(AD8=0,CONCATENATE("No Prog, Ejec=  ",AF8),AF8/AD8))</f>
        <v>No Prog ni Ejec</v>
      </c>
      <c r="BR8" s="184" t="str">
        <f>IF(AND(AL8=0,AO8=0),"No Prog ni Ejec",IF(AL8=0,CONCATENATE("No Prog, Ejec=  ",AO8),AO8/AL8))</f>
        <v>No Prog ni Ejec</v>
      </c>
      <c r="BS8" s="184" t="str">
        <f>IF(AND(AN8=0,AP8=0),"No Prog ni Ejec",IF(AN8=0,CONCATENATE("No Prog, Ejec=  ",AP8),AP8/AN8))</f>
        <v>No Prog ni Ejec</v>
      </c>
      <c r="BT8" s="184" t="str">
        <f>IF(AND(AV8=0,AY8=0),"No Prog ni Ejec",IF(AV8=0,CONCATENATE("No Prog, Ejec=  ",AY8),AY8/AV8))</f>
        <v>No Prog ni Ejec</v>
      </c>
      <c r="BU8" s="184" t="str">
        <f>IF(AND(AX8=0,AZ8=0),"No Prog ni Ejec",IF(AX8=0,CONCATENATE("No Prog, Ejec=  ",AZ8),AZ8/AX8))</f>
        <v>No Prog ni Ejec</v>
      </c>
      <c r="BV8" s="184" t="str">
        <f>IF(AND(BF8=0,BI8=0),"No Prog ni Ejec",IF(BF8=0,CONCATENATE("No Prog, Ejec=  ",BI8),BI8/BF8))</f>
        <v>No Prog ni Ejec</v>
      </c>
      <c r="BW8" s="184" t="str">
        <f>IF(AND(BH8=0,BJ8=0),"No Prog ni Ejec",IF(BH8=0,CONCATENATE("No Prog, Ejec=  ",BJ8),BJ8/BH8))</f>
        <v>No Prog ni Ejec</v>
      </c>
    </row>
    <row r="9" spans="1:75" s="86" customFormat="1" ht="76.5" x14ac:dyDescent="0.2">
      <c r="A9" s="78">
        <v>11900</v>
      </c>
      <c r="B9" s="104" t="s">
        <v>125</v>
      </c>
      <c r="C9" s="104" t="s">
        <v>332</v>
      </c>
      <c r="D9" s="78" t="s">
        <v>126</v>
      </c>
      <c r="E9" s="104" t="s">
        <v>60</v>
      </c>
      <c r="F9" s="104" t="s">
        <v>206</v>
      </c>
      <c r="G9" s="104" t="s">
        <v>206</v>
      </c>
      <c r="H9" s="78" t="s">
        <v>1417</v>
      </c>
      <c r="I9" s="104" t="s">
        <v>982</v>
      </c>
      <c r="J9" s="60" t="s">
        <v>411</v>
      </c>
      <c r="K9" s="79">
        <v>1</v>
      </c>
      <c r="L9" s="78" t="s">
        <v>1418</v>
      </c>
      <c r="M9" s="104" t="s">
        <v>379</v>
      </c>
      <c r="N9" s="152">
        <v>0</v>
      </c>
      <c r="O9" s="85">
        <v>1</v>
      </c>
      <c r="P9" s="104" t="s">
        <v>17</v>
      </c>
      <c r="Q9" s="104" t="s">
        <v>26</v>
      </c>
      <c r="R9" s="104" t="s">
        <v>674</v>
      </c>
      <c r="S9" s="104" t="s">
        <v>677</v>
      </c>
      <c r="T9" s="104" t="s">
        <v>71</v>
      </c>
      <c r="U9" s="535" t="s">
        <v>206</v>
      </c>
      <c r="V9" s="104" t="s">
        <v>981</v>
      </c>
      <c r="W9" s="104" t="s">
        <v>206</v>
      </c>
      <c r="X9" s="79">
        <v>1</v>
      </c>
      <c r="Y9" s="104" t="str">
        <f>+M9</f>
        <v xml:space="preserve">Ajustes normativos en cuanto a la no aplicación de intereses de mora en los pagos derivados de sentencias judiciales por recobros y reclamaciones .
</v>
      </c>
      <c r="Z9" s="183">
        <f>+N9</f>
        <v>0</v>
      </c>
      <c r="AA9" s="83" t="s">
        <v>48</v>
      </c>
      <c r="AB9" s="79">
        <v>1</v>
      </c>
      <c r="AC9" s="104" t="str">
        <f>+Y9</f>
        <v xml:space="preserve">Ajustes normativos en cuanto a la no aplicación de intereses de mora en los pagos derivados de sentencias judiciales por recobros y reclamaciones .
</v>
      </c>
      <c r="AD9" s="80">
        <v>0</v>
      </c>
      <c r="AE9" s="599">
        <v>1</v>
      </c>
      <c r="AF9" s="599"/>
      <c r="AG9" s="85">
        <f>+(AE9/AB9)</f>
        <v>1</v>
      </c>
      <c r="AH9" s="85" t="e">
        <f>+(AF9/AD9)</f>
        <v>#DIV/0!</v>
      </c>
      <c r="AI9" s="85">
        <f>+(AE9/X9)</f>
        <v>1</v>
      </c>
      <c r="AJ9" s="85" t="e">
        <f>+(AF9/Z9)</f>
        <v>#DIV/0!</v>
      </c>
      <c r="AK9" s="600" t="s">
        <v>1509</v>
      </c>
      <c r="AL9" s="79">
        <v>0</v>
      </c>
      <c r="AM9" s="104" t="str">
        <f>+Y9</f>
        <v xml:space="preserve">Ajustes normativos en cuanto a la no aplicación de intereses de mora en los pagos derivados de sentencias judiciales por recobros y reclamaciones .
</v>
      </c>
      <c r="AN9" s="80">
        <v>0</v>
      </c>
      <c r="AO9" s="156"/>
      <c r="AP9" s="156"/>
      <c r="AQ9" s="85" t="e">
        <f>+(AO9/AL9)</f>
        <v>#DIV/0!</v>
      </c>
      <c r="AR9" s="85" t="e">
        <f>+(AP9/AN9)</f>
        <v>#DIV/0!</v>
      </c>
      <c r="AS9" s="85">
        <f>+(AO9+AE9)/X9</f>
        <v>1</v>
      </c>
      <c r="AT9" s="85" t="e">
        <f>+(AP9+AF9)/Z9</f>
        <v>#DIV/0!</v>
      </c>
      <c r="AU9" s="85"/>
      <c r="AV9" s="79">
        <v>0</v>
      </c>
      <c r="AW9" s="104" t="str">
        <f>+Y9</f>
        <v xml:space="preserve">Ajustes normativos en cuanto a la no aplicación de intereses de mora en los pagos derivados de sentencias judiciales por recobros y reclamaciones .
</v>
      </c>
      <c r="AX9" s="80">
        <v>0</v>
      </c>
      <c r="AY9" s="156"/>
      <c r="AZ9" s="156"/>
      <c r="BA9" s="85" t="e">
        <f>+(AY9/AV9)</f>
        <v>#DIV/0!</v>
      </c>
      <c r="BB9" s="85" t="e">
        <f>+(AZ9/AX9)</f>
        <v>#DIV/0!</v>
      </c>
      <c r="BC9" s="85">
        <f>+(AO9+AE9+AY9)/X9</f>
        <v>1</v>
      </c>
      <c r="BD9" s="85" t="e">
        <f>+(AP9+AF9+AZ9)/Z9</f>
        <v>#DIV/0!</v>
      </c>
      <c r="BE9" s="85"/>
      <c r="BF9" s="79">
        <v>0</v>
      </c>
      <c r="BG9" s="104" t="str">
        <f>+Y9</f>
        <v xml:space="preserve">Ajustes normativos en cuanto a la no aplicación de intereses de mora en los pagos derivados de sentencias judiciales por recobros y reclamaciones .
</v>
      </c>
      <c r="BH9" s="80">
        <v>0</v>
      </c>
      <c r="BI9" s="156"/>
      <c r="BJ9" s="156"/>
      <c r="BK9" s="61" t="e">
        <f>+(BI9/BF9)</f>
        <v>#DIV/0!</v>
      </c>
      <c r="BL9" s="61" t="e">
        <f>+(BJ9/BH9)</f>
        <v>#DIV/0!</v>
      </c>
      <c r="BM9" s="61">
        <f>+(AO9+AE9+AY9+BI9)/X9</f>
        <v>1</v>
      </c>
      <c r="BN9" s="61" t="e">
        <f>+(AP9+AF9+AZ9+BJ9)/Z9</f>
        <v>#DIV/0!</v>
      </c>
      <c r="BO9" s="61"/>
      <c r="BP9" s="184">
        <f>IF(AND(AB9=0,AE9=0),"No Prog ni Ejec",IF(AB9=0,CONCATENATE("No Prog, Ejec=  ",AE9),AE9/AB9))</f>
        <v>1</v>
      </c>
      <c r="BQ9" s="184" t="str">
        <f>IF(AND(AD9=0,AF9=0),"No Prog ni Ejec",IF(AD9=0,CONCATENATE("No Prog, Ejec=  ",AF9),AF9/AD9))</f>
        <v>No Prog ni Ejec</v>
      </c>
      <c r="BR9" s="184" t="str">
        <f>IF(AND(AL9=0,AO9=0),"No Prog ni Ejec",IF(AL9=0,CONCATENATE("No Prog, Ejec=  ",AO9),AO9/AL9))</f>
        <v>No Prog ni Ejec</v>
      </c>
      <c r="BS9" s="184" t="str">
        <f>IF(AND(AN9=0,AP9=0),"No Prog ni Ejec",IF(AN9=0,CONCATENATE("No Prog, Ejec=  ",AP9),AP9/AN9))</f>
        <v>No Prog ni Ejec</v>
      </c>
      <c r="BT9" s="184" t="str">
        <f>IF(AND(AV9=0,AY9=0),"No Prog ni Ejec",IF(AV9=0,CONCATENATE("No Prog, Ejec=  ",AY9),AY9/AV9))</f>
        <v>No Prog ni Ejec</v>
      </c>
      <c r="BU9" s="184" t="str">
        <f>IF(AND(AX9=0,AZ9=0),"No Prog ni Ejec",IF(AX9=0,CONCATENATE("No Prog, Ejec=  ",AZ9),AZ9/AX9))</f>
        <v>No Prog ni Ejec</v>
      </c>
      <c r="BV9" s="184" t="str">
        <f>IF(AND(BF9=0,BI9=0),"No Prog ni Ejec",IF(BF9=0,CONCATENATE("No Prog, Ejec=  ",BI9),BI9/BF9))</f>
        <v>No Prog ni Ejec</v>
      </c>
      <c r="BW9" s="184" t="str">
        <f>IF(AND(BH9=0,BJ9=0),"No Prog ni Ejec",IF(BH9=0,CONCATENATE("No Prog, Ejec=  ",BJ9),BJ9/BH9))</f>
        <v>No Prog ni Ejec</v>
      </c>
    </row>
    <row r="10" spans="1:75" x14ac:dyDescent="0.25">
      <c r="A10" s="6"/>
      <c r="B10" s="6"/>
      <c r="C10" s="6"/>
      <c r="D10" s="6"/>
      <c r="E10" s="6"/>
      <c r="F10" s="6"/>
      <c r="G10" s="6"/>
      <c r="H10" s="6"/>
      <c r="I10" s="6"/>
      <c r="J10" s="10"/>
      <c r="N10" s="5"/>
      <c r="AM10" s="7"/>
    </row>
    <row r="11" spans="1:75" x14ac:dyDescent="0.25">
      <c r="A11" s="22" t="s">
        <v>1386</v>
      </c>
      <c r="B11" s="6"/>
      <c r="C11" s="6"/>
      <c r="D11" s="6"/>
      <c r="E11" s="6"/>
      <c r="F11" s="6"/>
      <c r="G11" s="6"/>
      <c r="I11" s="6"/>
      <c r="J11" s="10"/>
      <c r="L11" s="94"/>
      <c r="N11" s="97"/>
      <c r="BP11" s="889" t="s">
        <v>181</v>
      </c>
      <c r="BQ11" s="890"/>
      <c r="BR11" s="890"/>
      <c r="BS11" s="890"/>
      <c r="BT11" s="890"/>
      <c r="BU11" s="891"/>
    </row>
    <row r="12" spans="1:75" x14ac:dyDescent="0.25">
      <c r="B12" s="6"/>
      <c r="C12" s="6"/>
      <c r="D12" s="6"/>
      <c r="E12" s="6"/>
      <c r="F12" s="6"/>
      <c r="G12" s="6"/>
      <c r="I12" s="6"/>
      <c r="J12" s="10"/>
      <c r="N12" s="5"/>
      <c r="BP12" s="882" t="s">
        <v>182</v>
      </c>
      <c r="BQ12" s="883"/>
      <c r="BR12" s="884" t="s">
        <v>183</v>
      </c>
      <c r="BS12" s="885"/>
      <c r="BT12" s="885"/>
      <c r="BU12" s="886"/>
    </row>
    <row r="13" spans="1:75" x14ac:dyDescent="0.25">
      <c r="A13" s="6"/>
      <c r="B13" s="6"/>
      <c r="C13" s="6"/>
      <c r="D13" s="6"/>
      <c r="E13" s="6"/>
      <c r="F13" s="6"/>
      <c r="G13" s="6"/>
      <c r="H13" s="6"/>
      <c r="I13" s="6"/>
      <c r="J13" s="10"/>
      <c r="BP13" s="887" t="s">
        <v>198</v>
      </c>
      <c r="BQ13" s="888"/>
      <c r="BR13" s="884" t="s">
        <v>200</v>
      </c>
      <c r="BS13" s="885"/>
      <c r="BT13" s="885"/>
      <c r="BU13" s="886"/>
    </row>
    <row r="14" spans="1:75" x14ac:dyDescent="0.25">
      <c r="A14" s="6"/>
      <c r="B14" s="6"/>
      <c r="C14" s="6"/>
      <c r="D14" s="6"/>
      <c r="E14" s="6"/>
      <c r="F14" s="6"/>
      <c r="G14" s="6"/>
      <c r="H14" s="6"/>
      <c r="I14" s="6"/>
      <c r="J14" s="10"/>
      <c r="BP14" s="894" t="s">
        <v>199</v>
      </c>
      <c r="BQ14" s="895"/>
      <c r="BR14" s="884" t="s">
        <v>184</v>
      </c>
      <c r="BS14" s="885"/>
      <c r="BT14" s="885"/>
      <c r="BU14" s="886"/>
    </row>
    <row r="15" spans="1:75" x14ac:dyDescent="0.25">
      <c r="A15" s="6"/>
      <c r="B15" s="6"/>
      <c r="C15" s="6"/>
      <c r="D15" s="6"/>
      <c r="E15" s="6"/>
      <c r="F15" s="6"/>
      <c r="G15" s="6"/>
      <c r="H15" s="6"/>
      <c r="I15" s="6"/>
      <c r="J15" s="10"/>
      <c r="N15" s="5"/>
      <c r="BP15" s="896" t="s">
        <v>196</v>
      </c>
      <c r="BQ15" s="897"/>
      <c r="BR15" s="884" t="s">
        <v>185</v>
      </c>
      <c r="BS15" s="885"/>
      <c r="BT15" s="885"/>
      <c r="BU15" s="886"/>
    </row>
    <row r="16" spans="1:75" x14ac:dyDescent="0.25">
      <c r="A16" s="6"/>
      <c r="B16" s="6"/>
      <c r="C16" s="6"/>
      <c r="D16" s="6"/>
      <c r="E16" s="6"/>
      <c r="F16" s="6"/>
      <c r="G16" s="6"/>
      <c r="H16" s="6"/>
      <c r="I16" s="6"/>
      <c r="J16" s="10"/>
      <c r="BP16" s="898" t="s">
        <v>243</v>
      </c>
      <c r="BQ16" s="899"/>
      <c r="BR16" s="884" t="s">
        <v>186</v>
      </c>
      <c r="BS16" s="885"/>
      <c r="BT16" s="885"/>
      <c r="BU16" s="886"/>
    </row>
    <row r="17" spans="1:228" x14ac:dyDescent="0.25">
      <c r="A17" s="6"/>
      <c r="B17" s="6"/>
      <c r="C17" s="6"/>
      <c r="D17" s="6"/>
      <c r="E17" s="6"/>
      <c r="F17" s="6"/>
      <c r="G17" s="6"/>
      <c r="H17" s="6"/>
      <c r="I17" s="6"/>
      <c r="J17" s="10"/>
      <c r="BP17" s="892" t="s">
        <v>187</v>
      </c>
      <c r="BQ17" s="892"/>
      <c r="BR17" s="893" t="s">
        <v>188</v>
      </c>
      <c r="BS17" s="893"/>
      <c r="BT17" s="893"/>
      <c r="BU17" s="893"/>
    </row>
    <row r="18" spans="1:228" x14ac:dyDescent="0.25">
      <c r="A18" s="6"/>
      <c r="B18" s="6"/>
      <c r="C18" s="6"/>
      <c r="D18" s="6"/>
      <c r="E18" s="6"/>
      <c r="F18" s="6"/>
      <c r="G18" s="6"/>
      <c r="H18" s="6"/>
      <c r="I18" s="6"/>
      <c r="J18" s="10"/>
    </row>
    <row r="19" spans="1:228" x14ac:dyDescent="0.25">
      <c r="A19" s="6"/>
      <c r="B19" s="6"/>
      <c r="C19" s="6"/>
      <c r="D19" s="6"/>
      <c r="E19" s="6"/>
      <c r="F19" s="6"/>
      <c r="G19" s="6"/>
      <c r="H19" s="6"/>
      <c r="I19" s="6"/>
      <c r="J19" s="10"/>
    </row>
    <row r="20" spans="1:228" x14ac:dyDescent="0.25">
      <c r="A20" s="6"/>
      <c r="B20" s="6"/>
      <c r="C20" s="6"/>
      <c r="D20" s="6"/>
      <c r="E20" s="6"/>
      <c r="F20" s="6"/>
      <c r="G20" s="6"/>
      <c r="H20" s="6"/>
      <c r="I20" s="6"/>
      <c r="J20" s="10"/>
    </row>
    <row r="21" spans="1:228" x14ac:dyDescent="0.25">
      <c r="A21" s="6"/>
      <c r="B21" s="6"/>
      <c r="C21" s="6"/>
      <c r="D21" s="6"/>
      <c r="E21" s="6"/>
      <c r="F21" s="6"/>
      <c r="G21" s="6"/>
      <c r="H21" s="6"/>
      <c r="I21" s="6"/>
      <c r="J21" s="10"/>
    </row>
    <row r="22" spans="1:228" x14ac:dyDescent="0.25">
      <c r="A22" s="6"/>
      <c r="B22" s="6"/>
      <c r="C22" s="6"/>
      <c r="D22" s="6"/>
      <c r="E22" s="6"/>
      <c r="F22" s="6"/>
      <c r="G22" s="6"/>
      <c r="H22" s="6"/>
      <c r="I22" s="6"/>
      <c r="J22" s="10"/>
    </row>
    <row r="23" spans="1:228" customFormat="1" x14ac:dyDescent="0.25">
      <c r="A23" s="6"/>
      <c r="B23" s="6"/>
      <c r="C23" s="6"/>
      <c r="D23" s="6"/>
      <c r="E23" s="6"/>
      <c r="F23" s="6"/>
      <c r="G23" s="6"/>
      <c r="H23" s="6"/>
      <c r="I23" s="6"/>
      <c r="J23" s="10"/>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pans="1:228" customFormat="1" x14ac:dyDescent="0.25">
      <c r="A24" s="6"/>
      <c r="B24" s="6"/>
      <c r="C24" s="6"/>
      <c r="D24" s="6"/>
      <c r="E24" s="6"/>
      <c r="F24" s="6"/>
      <c r="G24" s="6"/>
      <c r="H24" s="6"/>
      <c r="I24" s="6"/>
      <c r="J24" s="10"/>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row>
    <row r="25" spans="1:228" customFormat="1" x14ac:dyDescent="0.25">
      <c r="A25" s="6"/>
      <c r="B25" s="6"/>
      <c r="C25" s="6"/>
      <c r="D25" s="6"/>
      <c r="E25" s="6"/>
      <c r="F25" s="6"/>
      <c r="G25" s="6"/>
      <c r="H25" s="6"/>
      <c r="I25" s="6"/>
      <c r="J25" s="10"/>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row>
  </sheetData>
  <autoFilter ref="A7:HT9" xr:uid="{00000000-0009-0000-0000-000005000000}"/>
  <mergeCells count="29">
    <mergeCell ref="BP17:BQ17"/>
    <mergeCell ref="BR17:BU17"/>
    <mergeCell ref="BP14:BQ14"/>
    <mergeCell ref="BR14:BU14"/>
    <mergeCell ref="BP15:BQ15"/>
    <mergeCell ref="BR15:BU15"/>
    <mergeCell ref="BP16:BQ16"/>
    <mergeCell ref="BR16:BU16"/>
    <mergeCell ref="BP12:BQ12"/>
    <mergeCell ref="BR12:BU12"/>
    <mergeCell ref="BP13:BQ13"/>
    <mergeCell ref="BR13:BU13"/>
    <mergeCell ref="BF6:BO6"/>
    <mergeCell ref="BP11:BU11"/>
    <mergeCell ref="BP6:BW6"/>
    <mergeCell ref="BT1:BW3"/>
    <mergeCell ref="C2:H2"/>
    <mergeCell ref="I2:I3"/>
    <mergeCell ref="J2:BQ3"/>
    <mergeCell ref="BR2:BR3"/>
    <mergeCell ref="BS2:BS3"/>
    <mergeCell ref="C3:H3"/>
    <mergeCell ref="E5:P5"/>
    <mergeCell ref="AB6:AK6"/>
    <mergeCell ref="AL6:AU6"/>
    <mergeCell ref="A1:B3"/>
    <mergeCell ref="C1:H1"/>
    <mergeCell ref="I1:BS1"/>
    <mergeCell ref="AV6:BE6"/>
  </mergeCells>
  <conditionalFormatting sqref="BP8:BW9">
    <cfRule type="cellIs" dxfId="10927" priority="37" operator="equal">
      <formula>#REF!</formula>
    </cfRule>
    <cfRule type="cellIs" dxfId="10926" priority="38" operator="greaterThan">
      <formula>1</formula>
    </cfRule>
    <cfRule type="cellIs" dxfId="10925" priority="39" operator="equal">
      <formula>100%</formula>
    </cfRule>
    <cfRule type="cellIs" dxfId="10924" priority="40" operator="between">
      <formula>80%</formula>
      <formula>99%</formula>
    </cfRule>
    <cfRule type="cellIs" dxfId="10923" priority="41" operator="between">
      <formula>0%</formula>
      <formula>79%</formula>
    </cfRule>
  </conditionalFormatting>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42" operator="containsText" id="{FE1ECDBA-5482-462E-8159-C8FF4676145C}">
            <xm:f>NOT(ISERROR(SEARCH(#REF!,BP8)))</xm:f>
            <xm:f>#REF!</xm:f>
            <x14:dxf>
              <font>
                <color theme="4"/>
              </font>
              <fill>
                <patternFill>
                  <bgColor theme="5" tint="0.59996337778862885"/>
                </patternFill>
              </fill>
            </x14:dxf>
          </x14:cfRule>
          <xm:sqref>BP8:BW9</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500-000003000000}">
          <x14:formula1>
            <xm:f>'TAB. REF. PA'!$J$4:$J$6</xm:f>
          </x14:formula1>
          <xm:sqref>R8:R9 S8</xm:sqref>
        </x14:dataValidation>
        <x14:dataValidation type="list" allowBlank="1" showInputMessage="1" showErrorMessage="1" xr:uid="{00000000-0002-0000-0500-000004000000}">
          <x14:formula1>
            <xm:f>'TAB. REF. PA'!$H$4:$H$21</xm:f>
          </x14:formula1>
          <xm:sqref>Q8:Q9</xm:sqref>
        </x14:dataValidation>
        <x14:dataValidation type="list" allowBlank="1" showInputMessage="1" showErrorMessage="1" xr:uid="{00000000-0002-0000-0500-000005000000}">
          <x14:formula1>
            <xm:f>'TAB. REF. PA'!$F$4:$F$10</xm:f>
          </x14:formula1>
          <xm:sqref>P8:P9</xm:sqref>
        </x14:dataValidation>
        <x14:dataValidation type="list" allowBlank="1" showInputMessage="1" showErrorMessage="1" xr:uid="{00000000-0002-0000-0500-000006000000}">
          <x14:formula1>
            <xm:f>'TAB. REF. PA'!$D$4:$D$9</xm:f>
          </x14:formula1>
          <xm:sqref>E8:E9</xm:sqref>
        </x14:dataValidation>
        <x14:dataValidation type="list" allowBlank="1" showInputMessage="1" showErrorMessage="1" xr:uid="{00000000-0002-0000-0500-000007000000}">
          <x14:formula1>
            <xm:f>'TAB. REF. PA'!$X$4:$X$9</xm:f>
          </x14:formula1>
          <xm:sqref>G8:G9</xm:sqref>
        </x14:dataValidation>
        <x14:dataValidation type="list" allowBlank="1" showInputMessage="1" showErrorMessage="1" xr:uid="{00000000-0002-0000-0500-000008000000}">
          <x14:formula1>
            <xm:f>'TAB. REF. PA'!$Y$4:$Y$14</xm:f>
          </x14:formula1>
          <xm:sqref>A8:A9</xm:sqref>
        </x14:dataValidation>
        <x14:dataValidation type="list" allowBlank="1" showInputMessage="1" showErrorMessage="1" xr:uid="{00000000-0002-0000-0500-000009000000}">
          <x14:formula1>
            <xm:f>'TAB. REF. PA'!$W$3:$W$7</xm:f>
          </x14:formula1>
          <xm:sqref>AA8:AA9</xm:sqref>
        </x14:dataValidation>
        <x14:dataValidation type="list" allowBlank="1" showInputMessage="1" showErrorMessage="1" xr:uid="{00000000-0002-0000-0500-00000A000000}">
          <x14:formula1>
            <xm:f>'TAB. REF. PA'!$R$4:$R$12</xm:f>
          </x14:formula1>
          <xm:sqref>C8:C9</xm:sqref>
        </x14:dataValidation>
        <x14:dataValidation type="list" allowBlank="1" showInputMessage="1" showErrorMessage="1" xr:uid="{00000000-0002-0000-0500-00000B000000}">
          <x14:formula1>
            <xm:f>'TAB. REF. PA'!$B$4:$B$14</xm:f>
          </x14:formula1>
          <xm:sqref>B8:B9</xm:sqref>
        </x14:dataValidation>
        <x14:dataValidation type="list" allowBlank="1" showInputMessage="1" showErrorMessage="1" xr:uid="{00000000-0002-0000-0500-000002000000}">
          <x14:formula1>
            <xm:f>'TAB. REF. PA'!$L$4:$L$11</xm:f>
          </x14:formula1>
          <xm:sqref>S9</xm:sqref>
        </x14:dataValidation>
        <x14:dataValidation type="list" allowBlank="1" showInputMessage="1" showErrorMessage="1" xr:uid="{00000000-0002-0000-0500-000001000000}">
          <x14:formula1>
            <xm:f>'TAB. REF. PA'!$N$4:$N$28</xm:f>
          </x14:formula1>
          <xm:sqref>T8:T9</xm:sqref>
        </x14:dataValidation>
        <x14:dataValidation type="list" allowBlank="1" showInputMessage="1" showErrorMessage="1" xr:uid="{0DEB7325-3B38-461D-B9AE-5DF38C32EA13}">
          <x14:formula1>
            <xm:f>'TAB. REF. PA'!$U$4:$U$25</xm:f>
          </x14:formula1>
          <xm:sqref>W8:W9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099A-9400-4AD5-A8CC-3E5620B82DC7}">
  <dimension ref="A1:G27"/>
  <sheetViews>
    <sheetView topLeftCell="A5" workbookViewId="0">
      <selection activeCell="D22" sqref="D22"/>
    </sheetView>
  </sheetViews>
  <sheetFormatPr baseColWidth="10" defaultRowHeight="15" x14ac:dyDescent="0.25"/>
  <cols>
    <col min="1" max="1" width="35.85546875" customWidth="1"/>
    <col min="2" max="2" width="19.5703125" customWidth="1"/>
    <col min="3" max="3" width="2.7109375" customWidth="1"/>
    <col min="4" max="4" width="36.85546875" customWidth="1"/>
    <col min="5" max="5" width="19.28515625" customWidth="1"/>
    <col min="6" max="6" width="19" customWidth="1"/>
    <col min="7" max="7" width="17.28515625" bestFit="1" customWidth="1"/>
  </cols>
  <sheetData>
    <row r="1" spans="1:7" x14ac:dyDescent="0.25">
      <c r="A1" s="900" t="s">
        <v>489</v>
      </c>
      <c r="B1" s="900"/>
      <c r="D1" s="900" t="s">
        <v>498</v>
      </c>
      <c r="E1" s="900"/>
    </row>
    <row r="3" spans="1:7" x14ac:dyDescent="0.25">
      <c r="A3" s="220" t="s">
        <v>490</v>
      </c>
      <c r="B3" s="220" t="s">
        <v>491</v>
      </c>
      <c r="D3" s="220" t="s">
        <v>490</v>
      </c>
      <c r="E3" s="220" t="s">
        <v>491</v>
      </c>
    </row>
    <row r="4" spans="1:7" x14ac:dyDescent="0.25">
      <c r="A4" t="s">
        <v>492</v>
      </c>
      <c r="B4" s="226">
        <f>15179735019.05+3086194000+2846265640</f>
        <v>21112194659.049999</v>
      </c>
      <c r="D4" t="s">
        <v>499</v>
      </c>
      <c r="E4" s="96">
        <f>+'[9]Plan de Accion Proyectos estrat'!P37</f>
        <v>42159994067.800003</v>
      </c>
    </row>
    <row r="5" spans="1:7" x14ac:dyDescent="0.25">
      <c r="A5" t="s">
        <v>493</v>
      </c>
      <c r="B5" s="226">
        <v>284095877.32999998</v>
      </c>
      <c r="D5" t="s">
        <v>500</v>
      </c>
      <c r="E5" s="96">
        <f>+'[9]Plan de Accion Misional'!N21</f>
        <v>909976656</v>
      </c>
    </row>
    <row r="6" spans="1:7" x14ac:dyDescent="0.25">
      <c r="A6" t="s">
        <v>1091</v>
      </c>
      <c r="B6" s="226">
        <f>297518840.75-107418462</f>
        <v>190100378.75</v>
      </c>
      <c r="D6" t="s">
        <v>501</v>
      </c>
      <c r="E6" s="96">
        <f>+'[9]Plan de Accion apoyo transversa'!AC179</f>
        <v>6693994995.0797157</v>
      </c>
    </row>
    <row r="7" spans="1:7" x14ac:dyDescent="0.25">
      <c r="A7" t="s">
        <v>494</v>
      </c>
      <c r="B7" s="226">
        <v>41000000</v>
      </c>
      <c r="D7" t="s">
        <v>1102</v>
      </c>
      <c r="E7" s="96">
        <f>+'[9]Plan de Accion ajustes normativ'!N11</f>
        <v>0</v>
      </c>
    </row>
    <row r="8" spans="1:7" x14ac:dyDescent="0.25">
      <c r="A8" t="s">
        <v>1092</v>
      </c>
      <c r="B8" s="226">
        <v>874173000</v>
      </c>
      <c r="D8" s="94" t="s">
        <v>496</v>
      </c>
      <c r="E8" s="99">
        <f>SUM(E4:E7)</f>
        <v>49763965718.879715</v>
      </c>
    </row>
    <row r="9" spans="1:7" x14ac:dyDescent="0.25">
      <c r="A9" t="s">
        <v>1094</v>
      </c>
      <c r="B9" s="226">
        <v>0</v>
      </c>
    </row>
    <row r="10" spans="1:7" x14ac:dyDescent="0.25">
      <c r="A10" t="s">
        <v>1093</v>
      </c>
      <c r="B10" s="226">
        <v>329198836</v>
      </c>
      <c r="D10" s="94" t="s">
        <v>503</v>
      </c>
      <c r="E10" s="101">
        <f>+E8+B24</f>
        <v>149720984721.26971</v>
      </c>
    </row>
    <row r="11" spans="1:7" x14ac:dyDescent="0.25">
      <c r="A11" t="s">
        <v>1095</v>
      </c>
      <c r="B11" s="226">
        <v>598373865</v>
      </c>
      <c r="D11" s="94" t="s">
        <v>502</v>
      </c>
      <c r="E11" s="101">
        <v>145380000000</v>
      </c>
    </row>
    <row r="12" spans="1:7" x14ac:dyDescent="0.25">
      <c r="A12" t="s">
        <v>1096</v>
      </c>
      <c r="B12" s="226">
        <v>9148844253</v>
      </c>
      <c r="D12" s="94" t="s">
        <v>504</v>
      </c>
      <c r="E12" s="102">
        <f>+E11-E10</f>
        <v>-4340984721.2697144</v>
      </c>
      <c r="F12" s="102">
        <v>-4766030188.4799995</v>
      </c>
      <c r="G12" s="102">
        <f>+E12-F12</f>
        <v>425045467.21028519</v>
      </c>
    </row>
    <row r="13" spans="1:7" x14ac:dyDescent="0.25">
      <c r="A13" t="s">
        <v>1097</v>
      </c>
      <c r="B13" s="226">
        <v>6213998083</v>
      </c>
    </row>
    <row r="14" spans="1:7" x14ac:dyDescent="0.25">
      <c r="A14" t="s">
        <v>1098</v>
      </c>
      <c r="B14" s="136">
        <v>0</v>
      </c>
    </row>
    <row r="15" spans="1:7" x14ac:dyDescent="0.25">
      <c r="A15" t="s">
        <v>1099</v>
      </c>
      <c r="B15" s="136">
        <f>2053023852+2668208441+77167329+139134671+57500000+107418462+248695717+115012186.95</f>
        <v>5466160658.9499998</v>
      </c>
    </row>
    <row r="16" spans="1:7" x14ac:dyDescent="0.25">
      <c r="A16" t="s">
        <v>1100</v>
      </c>
      <c r="B16" s="136">
        <f>338707320+295906600+162000000</f>
        <v>796613920</v>
      </c>
      <c r="D16" s="62"/>
    </row>
    <row r="17" spans="1:5" x14ac:dyDescent="0.25">
      <c r="A17" t="s">
        <v>1101</v>
      </c>
      <c r="B17" s="95">
        <v>0</v>
      </c>
    </row>
    <row r="18" spans="1:5" ht="6" customHeight="1" x14ac:dyDescent="0.25">
      <c r="B18" s="95"/>
    </row>
    <row r="19" spans="1:5" x14ac:dyDescent="0.25">
      <c r="A19" s="94" t="s">
        <v>495</v>
      </c>
      <c r="B19" s="97">
        <f>SUM(B4:B17)</f>
        <v>45054753531.080002</v>
      </c>
    </row>
    <row r="20" spans="1:5" ht="6" customHeight="1" x14ac:dyDescent="0.25"/>
    <row r="21" spans="1:5" ht="18" customHeight="1" x14ac:dyDescent="0.25">
      <c r="A21" t="s">
        <v>1103</v>
      </c>
      <c r="B21" s="115">
        <v>21836252000</v>
      </c>
    </row>
    <row r="22" spans="1:5" ht="18" customHeight="1" x14ac:dyDescent="0.25">
      <c r="A22" t="s">
        <v>497</v>
      </c>
      <c r="B22" s="115">
        <v>33066013471.310001</v>
      </c>
    </row>
    <row r="23" spans="1:5" ht="6" customHeight="1" x14ac:dyDescent="0.25"/>
    <row r="24" spans="1:5" x14ac:dyDescent="0.25">
      <c r="A24" s="94" t="s">
        <v>496</v>
      </c>
      <c r="B24" s="98">
        <f>+B19+B21+B22</f>
        <v>99957019002.389999</v>
      </c>
      <c r="E24" s="100"/>
    </row>
    <row r="26" spans="1:5" x14ac:dyDescent="0.25">
      <c r="A26" s="94" t="s">
        <v>1432</v>
      </c>
      <c r="B26" s="102">
        <f>+B8+B10+B13+B11+B12+E12</f>
        <v>12823603315.730286</v>
      </c>
    </row>
    <row r="27" spans="1:5" x14ac:dyDescent="0.25">
      <c r="B27" s="100"/>
    </row>
  </sheetData>
  <mergeCells count="2">
    <mergeCell ref="A1:B1"/>
    <mergeCell ref="D1:E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showGridLines="0" workbookViewId="0">
      <selection activeCell="I2" sqref="A2:L4"/>
    </sheetView>
  </sheetViews>
  <sheetFormatPr baseColWidth="10" defaultRowHeight="15" x14ac:dyDescent="0.25"/>
  <sheetData>
    <row r="1" spans="1:12" ht="15.75" thickBot="1" x14ac:dyDescent="0.3">
      <c r="A1" s="9"/>
      <c r="B1" s="9"/>
      <c r="C1" s="9"/>
      <c r="D1" s="9"/>
      <c r="E1" s="9"/>
      <c r="F1" s="9"/>
      <c r="G1" s="9"/>
      <c r="H1" s="9"/>
      <c r="I1" s="9"/>
    </row>
    <row r="2" spans="1:12" x14ac:dyDescent="0.25">
      <c r="A2" s="901"/>
      <c r="B2" s="902"/>
      <c r="C2" s="907" t="s">
        <v>248</v>
      </c>
      <c r="D2" s="908"/>
      <c r="E2" s="925" t="s">
        <v>249</v>
      </c>
      <c r="F2" s="926"/>
      <c r="G2" s="926"/>
      <c r="H2" s="927"/>
      <c r="I2" s="913"/>
      <c r="J2" s="914"/>
      <c r="K2" s="914"/>
      <c r="L2" s="915"/>
    </row>
    <row r="3" spans="1:12" x14ac:dyDescent="0.25">
      <c r="A3" s="903"/>
      <c r="B3" s="904"/>
      <c r="C3" s="909" t="s">
        <v>250</v>
      </c>
      <c r="D3" s="910"/>
      <c r="E3" s="922" t="s">
        <v>211</v>
      </c>
      <c r="F3" s="923"/>
      <c r="G3" s="923"/>
      <c r="H3" s="924"/>
      <c r="I3" s="916"/>
      <c r="J3" s="917"/>
      <c r="K3" s="917"/>
      <c r="L3" s="918"/>
    </row>
    <row r="4" spans="1:12" ht="15.75" thickBot="1" x14ac:dyDescent="0.3">
      <c r="A4" s="905"/>
      <c r="B4" s="906"/>
      <c r="C4" s="911" t="s">
        <v>244</v>
      </c>
      <c r="D4" s="912"/>
      <c r="E4" s="928" t="s">
        <v>253</v>
      </c>
      <c r="F4" s="929"/>
      <c r="G4" s="21" t="s">
        <v>251</v>
      </c>
      <c r="H4" s="20">
        <v>1</v>
      </c>
      <c r="I4" s="919"/>
      <c r="J4" s="920"/>
      <c r="K4" s="920"/>
      <c r="L4" s="921"/>
    </row>
    <row r="7" spans="1:12" x14ac:dyDescent="0.25">
      <c r="C7" s="22"/>
      <c r="D7" s="22"/>
      <c r="E7" s="22"/>
      <c r="F7" s="22"/>
      <c r="G7" s="22"/>
      <c r="H7" s="22"/>
      <c r="I7" s="22"/>
    </row>
    <row r="8" spans="1:12" x14ac:dyDescent="0.25">
      <c r="C8" s="26" t="s">
        <v>245</v>
      </c>
      <c r="D8" s="22"/>
      <c r="E8" s="22"/>
      <c r="F8" s="22"/>
      <c r="G8" s="22"/>
      <c r="H8" s="22"/>
      <c r="I8" s="700" t="s">
        <v>247</v>
      </c>
    </row>
    <row r="9" spans="1:12" x14ac:dyDescent="0.25">
      <c r="C9" s="25"/>
      <c r="D9" s="22"/>
      <c r="E9" s="22"/>
      <c r="F9" s="22"/>
      <c r="G9" s="22"/>
      <c r="H9" s="22"/>
      <c r="I9" s="22"/>
    </row>
    <row r="10" spans="1:12" x14ac:dyDescent="0.25">
      <c r="C10" s="25"/>
      <c r="D10" s="22"/>
      <c r="E10" s="22"/>
      <c r="F10" s="22"/>
      <c r="G10" s="22"/>
      <c r="H10" s="22"/>
      <c r="I10" s="22"/>
    </row>
    <row r="11" spans="1:12" x14ac:dyDescent="0.25">
      <c r="C11" s="25"/>
      <c r="D11" s="22"/>
      <c r="E11" s="22"/>
      <c r="F11" s="22"/>
      <c r="G11" s="22"/>
      <c r="H11" s="22"/>
      <c r="I11" s="22"/>
    </row>
    <row r="12" spans="1:12" x14ac:dyDescent="0.25">
      <c r="C12" s="25"/>
      <c r="D12" s="22"/>
      <c r="E12" s="22"/>
      <c r="F12" s="22"/>
      <c r="G12" s="22"/>
      <c r="H12" s="22"/>
      <c r="I12" s="22"/>
      <c r="K12" s="22"/>
      <c r="L12" s="22"/>
    </row>
    <row r="13" spans="1:12" x14ac:dyDescent="0.25">
      <c r="C13" s="23" t="s">
        <v>1567</v>
      </c>
      <c r="D13" s="22"/>
      <c r="E13" s="22"/>
      <c r="F13" s="22"/>
      <c r="G13" s="22"/>
      <c r="H13" s="22"/>
      <c r="I13" s="700" t="s">
        <v>247</v>
      </c>
      <c r="K13" s="22"/>
    </row>
    <row r="14" spans="1:12" x14ac:dyDescent="0.25">
      <c r="C14" s="25"/>
      <c r="D14" s="22"/>
      <c r="E14" s="22"/>
      <c r="F14" s="22"/>
      <c r="G14" s="22"/>
      <c r="H14" s="22"/>
      <c r="I14" s="22"/>
      <c r="K14" s="22"/>
      <c r="L14" s="22"/>
    </row>
    <row r="15" spans="1:12" x14ac:dyDescent="0.25">
      <c r="C15" s="25"/>
      <c r="D15" s="22"/>
      <c r="E15" s="22"/>
      <c r="F15" s="22"/>
      <c r="G15" s="22"/>
      <c r="H15" s="22"/>
      <c r="J15" s="22"/>
      <c r="L15" s="22"/>
    </row>
    <row r="16" spans="1:12" x14ac:dyDescent="0.25">
      <c r="C16" s="25"/>
      <c r="D16" s="22"/>
      <c r="E16" s="22"/>
      <c r="F16" s="22"/>
      <c r="G16" s="22"/>
      <c r="H16" s="22"/>
      <c r="J16" s="22"/>
      <c r="L16" s="700"/>
    </row>
    <row r="17" spans="3:12" x14ac:dyDescent="0.25">
      <c r="C17" s="25"/>
      <c r="D17" s="22"/>
      <c r="E17" s="22"/>
      <c r="F17" s="22"/>
      <c r="G17" s="22"/>
      <c r="H17" s="22"/>
      <c r="J17" s="22"/>
      <c r="L17" s="22"/>
    </row>
    <row r="18" spans="3:12" x14ac:dyDescent="0.25">
      <c r="C18" s="25"/>
      <c r="D18" s="22"/>
      <c r="E18" s="22"/>
      <c r="F18" s="22"/>
      <c r="G18" s="22"/>
      <c r="H18" s="22"/>
    </row>
    <row r="19" spans="3:12" x14ac:dyDescent="0.25">
      <c r="C19" s="23" t="s">
        <v>1568</v>
      </c>
      <c r="D19" s="22"/>
      <c r="E19" s="22"/>
      <c r="F19" s="22"/>
      <c r="G19" s="22"/>
      <c r="H19" s="700" t="s">
        <v>247</v>
      </c>
    </row>
    <row r="20" spans="3:12" x14ac:dyDescent="0.25">
      <c r="C20" s="25"/>
      <c r="D20" s="22"/>
      <c r="E20" s="22"/>
      <c r="F20" s="22"/>
      <c r="G20" s="22"/>
      <c r="H20" s="22"/>
    </row>
    <row r="21" spans="3:12" x14ac:dyDescent="0.25">
      <c r="C21" s="25"/>
      <c r="D21" s="22"/>
      <c r="E21" s="22"/>
      <c r="F21" s="22"/>
      <c r="G21" s="22"/>
      <c r="H21" s="22"/>
    </row>
    <row r="22" spans="3:12" x14ac:dyDescent="0.25">
      <c r="C22" s="25"/>
      <c r="D22" s="22"/>
      <c r="E22" s="22"/>
      <c r="F22" s="22"/>
      <c r="G22" s="22"/>
      <c r="H22" s="22"/>
      <c r="I22" s="22"/>
      <c r="K22" s="22"/>
    </row>
    <row r="23" spans="3:12" x14ac:dyDescent="0.25">
      <c r="C23" s="25"/>
      <c r="D23" s="22"/>
      <c r="E23" s="22"/>
      <c r="F23" s="22"/>
      <c r="G23" s="22"/>
      <c r="H23" s="22"/>
      <c r="I23" s="22"/>
      <c r="K23" s="22"/>
    </row>
    <row r="24" spans="3:12" x14ac:dyDescent="0.25">
      <c r="C24" s="25"/>
      <c r="D24" s="22"/>
      <c r="E24" s="22"/>
      <c r="F24" s="22"/>
      <c r="G24" s="22"/>
      <c r="H24" s="22"/>
      <c r="I24" s="22"/>
      <c r="K24" s="22"/>
    </row>
    <row r="25" spans="3:12" x14ac:dyDescent="0.25">
      <c r="C25" s="25"/>
      <c r="D25" s="22"/>
      <c r="E25" s="22"/>
      <c r="F25" s="22"/>
      <c r="G25" s="22"/>
      <c r="H25" s="22"/>
      <c r="I25" s="22"/>
    </row>
    <row r="26" spans="3:12" x14ac:dyDescent="0.25">
      <c r="C26" s="23" t="s">
        <v>246</v>
      </c>
      <c r="D26" s="22"/>
      <c r="E26" s="22"/>
      <c r="F26" s="22"/>
      <c r="G26" s="22"/>
      <c r="H26" s="700" t="s">
        <v>247</v>
      </c>
    </row>
    <row r="27" spans="3:12" x14ac:dyDescent="0.25">
      <c r="C27" s="22"/>
      <c r="D27" s="22"/>
      <c r="E27" s="22"/>
      <c r="F27" s="22"/>
      <c r="G27" s="22"/>
      <c r="H27" s="22"/>
      <c r="I27" s="22"/>
    </row>
    <row r="28" spans="3:12" x14ac:dyDescent="0.25">
      <c r="C28" s="22"/>
      <c r="D28" s="22"/>
      <c r="E28" s="22"/>
      <c r="F28" s="22"/>
      <c r="G28" s="22"/>
      <c r="H28" s="22"/>
      <c r="I28" s="22"/>
    </row>
    <row r="29" spans="3:12" x14ac:dyDescent="0.25">
      <c r="C29" s="22"/>
      <c r="D29" s="22"/>
      <c r="E29" s="22"/>
      <c r="F29" s="22"/>
      <c r="G29" s="22"/>
      <c r="H29" s="22"/>
      <c r="I29" s="22"/>
    </row>
    <row r="30" spans="3:12" x14ac:dyDescent="0.25">
      <c r="C30" s="22"/>
      <c r="D30" s="22"/>
      <c r="E30" s="22"/>
      <c r="F30" s="22"/>
      <c r="G30" s="22"/>
      <c r="H30" s="22"/>
      <c r="I30" s="22"/>
    </row>
    <row r="31" spans="3:12" x14ac:dyDescent="0.25">
      <c r="C31" s="22"/>
      <c r="D31" s="22"/>
      <c r="E31" s="22"/>
      <c r="F31" s="22"/>
      <c r="G31" s="22"/>
      <c r="H31" s="22"/>
      <c r="I31" s="22"/>
    </row>
    <row r="32" spans="3:12" x14ac:dyDescent="0.25">
      <c r="C32" s="23"/>
      <c r="D32" s="22"/>
      <c r="E32" s="22"/>
      <c r="F32" s="22"/>
      <c r="G32" s="22"/>
      <c r="H32" s="24"/>
    </row>
    <row r="33" spans="3:9" x14ac:dyDescent="0.25">
      <c r="C33" s="22"/>
      <c r="D33" s="22"/>
      <c r="E33" s="22"/>
      <c r="F33" s="22"/>
      <c r="G33" s="22"/>
      <c r="H33" s="22"/>
      <c r="I33" s="22"/>
    </row>
    <row r="34" spans="3:9" x14ac:dyDescent="0.25">
      <c r="C34" s="22"/>
      <c r="D34" s="22"/>
      <c r="E34" s="22"/>
      <c r="F34" s="22"/>
      <c r="G34" s="22"/>
      <c r="H34" s="22"/>
      <c r="I34" s="22"/>
    </row>
    <row r="35" spans="3:9" x14ac:dyDescent="0.25">
      <c r="C35" s="22"/>
      <c r="D35" s="22"/>
      <c r="E35" s="22"/>
      <c r="F35" s="22"/>
      <c r="G35" s="22"/>
      <c r="H35" s="22"/>
      <c r="I35" s="22"/>
    </row>
    <row r="36" spans="3:9" x14ac:dyDescent="0.25">
      <c r="C36" s="22"/>
      <c r="D36" s="22"/>
      <c r="E36" s="22"/>
      <c r="F36" s="22"/>
      <c r="G36" s="22"/>
      <c r="H36" s="22"/>
      <c r="I36" s="22"/>
    </row>
    <row r="37" spans="3:9" x14ac:dyDescent="0.25">
      <c r="C37" s="22"/>
      <c r="D37" s="22"/>
      <c r="E37" s="22"/>
      <c r="F37" s="22"/>
      <c r="G37" s="22"/>
      <c r="H37" s="22"/>
      <c r="I37" s="22"/>
    </row>
  </sheetData>
  <mergeCells count="8">
    <mergeCell ref="A2:B4"/>
    <mergeCell ref="C2:D2"/>
    <mergeCell ref="C3:D3"/>
    <mergeCell ref="C4:D4"/>
    <mergeCell ref="I2:L4"/>
    <mergeCell ref="E3:H3"/>
    <mergeCell ref="E2:H2"/>
    <mergeCell ref="E4:F4"/>
  </mergeCells>
  <hyperlinks>
    <hyperlink ref="C8" location="'Cumplimiento perspectivas conso'!A1" display="SEGUIMIENTO AL CUMPLIMIENTO POR PERSPECTIVA DEL CMI" xr:uid="{00000000-0004-0000-0700-000000000000}"/>
    <hyperlink ref="C13" location="'Cumplimiento de objetivos'!A1" display="SEGUIMIENTO AL CUMPLIMIENTO POR OBJETIVOS/LINEAMIENTOS ESTRATÉGICOS" xr:uid="{00000000-0004-0000-0700-000001000000}"/>
    <hyperlink ref="C19" location="'Cumplimiento act. relevantes'!A1" display="SEGUIMIENTO AL CUMPLIMIENTO POR ACTIVIDADES RELEVANTES" xr:uid="{00000000-0004-0000-0700-000002000000}"/>
    <hyperlink ref="C26" location="'Cumplimiento Dependencias'!A1" display="SEGUIMIENTO AL CUMPLIMIENTO POR DEPENDENCIAS" xr:uid="{00000000-0004-0000-0700-000003000000}"/>
    <hyperlink ref="I8" location="'Cumplimiento perspectivas Mejor'!A1" display="Detalles" xr:uid="{00000000-0004-0000-0700-000004000000}"/>
    <hyperlink ref="H19" location="'Cumplimiento Planes'!A1" display="Detalles" xr:uid="{00000000-0004-0000-0700-000005000000}"/>
    <hyperlink ref="I13" location="'Cumplimiento de objetivos Mejor'!A1" display="Detalles" xr:uid="{FE626C95-98CF-4BF4-93EB-0EB55B191950}"/>
    <hyperlink ref="H26" location="'Cumplimiento Dependencias Mejor'!A1" display="Detalles" xr:uid="{164ABD19-58C6-4F7A-BA09-471B3765406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8D43-325C-4535-9080-4963E105EEE9}">
  <dimension ref="B1:CR357"/>
  <sheetViews>
    <sheetView showGridLines="0" topLeftCell="A335" zoomScale="60" zoomScaleNormal="60" workbookViewId="0">
      <selection activeCell="G289" sqref="G289:G341"/>
    </sheetView>
  </sheetViews>
  <sheetFormatPr baseColWidth="10" defaultColWidth="11" defaultRowHeight="14.25" x14ac:dyDescent="0.2"/>
  <cols>
    <col min="1" max="1" width="1.5703125" style="231" customWidth="1"/>
    <col min="2" max="2" width="22.28515625" style="231" customWidth="1"/>
    <col min="3" max="3" width="42.5703125" style="231" customWidth="1"/>
    <col min="4" max="4" width="38.7109375" style="231" customWidth="1"/>
    <col min="5" max="7" width="32.140625" style="231" customWidth="1"/>
    <col min="8" max="8" width="33.85546875" style="231" customWidth="1"/>
    <col min="9" max="9" width="5.7109375" style="235" customWidth="1"/>
    <col min="10" max="10" width="15.85546875" style="235" customWidth="1"/>
    <col min="11" max="11" width="23.5703125" style="231" customWidth="1"/>
    <col min="12" max="12" width="15.7109375" style="231" customWidth="1"/>
    <col min="13" max="13" width="15.140625" style="231" customWidth="1"/>
    <col min="14" max="15" width="15.7109375" style="231" customWidth="1"/>
    <col min="16" max="16" width="2.5703125" style="233" hidden="1" customWidth="1"/>
    <col min="17" max="17" width="15.5703125" style="231" hidden="1" customWidth="1"/>
    <col min="18" max="19" width="17.140625" style="231" hidden="1" customWidth="1"/>
    <col min="20" max="22" width="21" style="231" hidden="1" customWidth="1"/>
    <col min="23" max="23" width="2.5703125" style="234" hidden="1" customWidth="1"/>
    <col min="24" max="24" width="17.140625" style="231" hidden="1" customWidth="1"/>
    <col min="25" max="25" width="14.85546875" style="231" hidden="1" customWidth="1"/>
    <col min="26" max="26" width="20.42578125" style="231" hidden="1" customWidth="1"/>
    <col min="27" max="28" width="15.85546875" style="231" hidden="1" customWidth="1"/>
    <col min="29" max="29" width="17.5703125" style="231" hidden="1" customWidth="1"/>
    <col min="30" max="30" width="2.5703125" style="233" hidden="1" customWidth="1"/>
    <col min="31" max="31" width="12.5703125" style="231" hidden="1" customWidth="1"/>
    <col min="32" max="33" width="16.28515625" style="231" hidden="1" customWidth="1"/>
    <col min="34" max="35" width="18.140625" style="231" hidden="1" customWidth="1"/>
    <col min="36" max="36" width="19.85546875" style="231" hidden="1" customWidth="1"/>
    <col min="37" max="37" width="5.7109375" style="232" customWidth="1"/>
    <col min="38" max="39" width="0" style="231" hidden="1" customWidth="1"/>
    <col min="40" max="40" width="2.7109375" style="231" hidden="1" customWidth="1"/>
    <col min="41" max="42" width="0" style="231" hidden="1" customWidth="1"/>
    <col min="43" max="43" width="2.7109375" style="231" hidden="1" customWidth="1"/>
    <col min="44" max="45" width="0" style="231" hidden="1" customWidth="1"/>
    <col min="46" max="46" width="2.7109375" style="231" hidden="1" customWidth="1"/>
    <col min="47" max="48" width="0" style="231" hidden="1" customWidth="1"/>
    <col min="49" max="49" width="2.7109375" style="231" hidden="1" customWidth="1"/>
    <col min="50" max="50" width="0" style="231" hidden="1" customWidth="1"/>
    <col min="51" max="51" width="5.7109375" style="231" hidden="1" customWidth="1"/>
    <col min="52" max="53" width="0" style="231" hidden="1" customWidth="1"/>
    <col min="54" max="54" width="2.7109375" style="231" hidden="1" customWidth="1"/>
    <col min="55" max="56" width="0" style="231" hidden="1" customWidth="1"/>
    <col min="57" max="57" width="2.7109375" style="231" hidden="1" customWidth="1"/>
    <col min="58" max="59" width="0" style="231" hidden="1" customWidth="1"/>
    <col min="60" max="60" width="2.7109375" style="231" hidden="1" customWidth="1"/>
    <col min="61" max="62" width="0" style="231" hidden="1" customWidth="1"/>
    <col min="63" max="63" width="2.7109375" style="231" hidden="1" customWidth="1"/>
    <col min="64" max="64" width="0" style="231" hidden="1" customWidth="1"/>
    <col min="65" max="65" width="5.7109375" style="231" hidden="1" customWidth="1"/>
    <col min="66" max="67" width="0" style="231" hidden="1" customWidth="1"/>
    <col min="68" max="68" width="2.7109375" style="231" hidden="1" customWidth="1"/>
    <col min="69" max="70" width="0" style="231" hidden="1" customWidth="1"/>
    <col min="71" max="71" width="2.7109375" style="231" hidden="1" customWidth="1"/>
    <col min="72" max="73" width="0" style="231" hidden="1" customWidth="1"/>
    <col min="74" max="74" width="2.7109375" style="231" hidden="1" customWidth="1"/>
    <col min="75" max="76" width="0" style="231" hidden="1" customWidth="1"/>
    <col min="77" max="77" width="2.7109375" style="231" hidden="1" customWidth="1"/>
    <col min="78" max="78" width="0" style="231" hidden="1" customWidth="1"/>
    <col min="79" max="79" width="5.7109375" style="231" hidden="1" customWidth="1"/>
    <col min="80" max="81" width="0" style="231" hidden="1" customWidth="1"/>
    <col min="82" max="82" width="2.7109375" style="231" hidden="1" customWidth="1"/>
    <col min="83" max="84" width="0" style="231" hidden="1" customWidth="1"/>
    <col min="85" max="85" width="2.7109375" style="231" hidden="1" customWidth="1"/>
    <col min="86" max="87" width="0" style="231" hidden="1" customWidth="1"/>
    <col min="88" max="88" width="2.7109375" style="231" hidden="1" customWidth="1"/>
    <col min="89" max="90" width="0" style="231" hidden="1" customWidth="1"/>
    <col min="91" max="91" width="2.7109375" style="231" hidden="1" customWidth="1"/>
    <col min="92" max="92" width="0" style="231" hidden="1" customWidth="1"/>
    <col min="93" max="268" width="11" style="231"/>
    <col min="269" max="269" width="1.5703125" style="231" customWidth="1"/>
    <col min="270" max="270" width="8.5703125" style="231" customWidth="1"/>
    <col min="271" max="271" width="28.7109375" style="231" customWidth="1"/>
    <col min="272" max="272" width="26.5703125" style="231" customWidth="1"/>
    <col min="273" max="273" width="7.7109375" style="231" customWidth="1"/>
    <col min="274" max="274" width="19.42578125" style="231" customWidth="1"/>
    <col min="275" max="275" width="44.28515625" style="231" customWidth="1"/>
    <col min="276" max="276" width="17" style="231" customWidth="1"/>
    <col min="277" max="277" width="15.5703125" style="231" customWidth="1"/>
    <col min="278" max="278" width="14.140625" style="231" customWidth="1"/>
    <col min="279" max="279" width="1.7109375" style="231" customWidth="1"/>
    <col min="280" max="280" width="13.7109375" style="231" customWidth="1"/>
    <col min="281" max="281" width="13.85546875" style="231" bestFit="1" customWidth="1"/>
    <col min="282" max="282" width="2.5703125" style="231" customWidth="1"/>
    <col min="283" max="283" width="12.42578125" style="231" customWidth="1"/>
    <col min="284" max="284" width="13.5703125" style="231" customWidth="1"/>
    <col min="285" max="285" width="2.5703125" style="231" customWidth="1"/>
    <col min="286" max="286" width="12.42578125" style="231" customWidth="1"/>
    <col min="287" max="287" width="13.5703125" style="231" customWidth="1"/>
    <col min="288" max="288" width="2.5703125" style="231" customWidth="1"/>
    <col min="289" max="289" width="11.5703125" style="231" customWidth="1"/>
    <col min="290" max="290" width="13" style="231" customWidth="1"/>
    <col min="291" max="291" width="1.42578125" style="231" customWidth="1"/>
    <col min="292" max="292" width="10.5703125" style="231" customWidth="1"/>
    <col min="293" max="524" width="11" style="231"/>
    <col min="525" max="525" width="1.5703125" style="231" customWidth="1"/>
    <col min="526" max="526" width="8.5703125" style="231" customWidth="1"/>
    <col min="527" max="527" width="28.7109375" style="231" customWidth="1"/>
    <col min="528" max="528" width="26.5703125" style="231" customWidth="1"/>
    <col min="529" max="529" width="7.7109375" style="231" customWidth="1"/>
    <col min="530" max="530" width="19.42578125" style="231" customWidth="1"/>
    <col min="531" max="531" width="44.28515625" style="231" customWidth="1"/>
    <col min="532" max="532" width="17" style="231" customWidth="1"/>
    <col min="533" max="533" width="15.5703125" style="231" customWidth="1"/>
    <col min="534" max="534" width="14.140625" style="231" customWidth="1"/>
    <col min="535" max="535" width="1.7109375" style="231" customWidth="1"/>
    <col min="536" max="536" width="13.7109375" style="231" customWidth="1"/>
    <col min="537" max="537" width="13.85546875" style="231" bestFit="1" customWidth="1"/>
    <col min="538" max="538" width="2.5703125" style="231" customWidth="1"/>
    <col min="539" max="539" width="12.42578125" style="231" customWidth="1"/>
    <col min="540" max="540" width="13.5703125" style="231" customWidth="1"/>
    <col min="541" max="541" width="2.5703125" style="231" customWidth="1"/>
    <col min="542" max="542" width="12.42578125" style="231" customWidth="1"/>
    <col min="543" max="543" width="13.5703125" style="231" customWidth="1"/>
    <col min="544" max="544" width="2.5703125" style="231" customWidth="1"/>
    <col min="545" max="545" width="11.5703125" style="231" customWidth="1"/>
    <col min="546" max="546" width="13" style="231" customWidth="1"/>
    <col min="547" max="547" width="1.42578125" style="231" customWidth="1"/>
    <col min="548" max="548" width="10.5703125" style="231" customWidth="1"/>
    <col min="549" max="780" width="11" style="231"/>
    <col min="781" max="781" width="1.5703125" style="231" customWidth="1"/>
    <col min="782" max="782" width="8.5703125" style="231" customWidth="1"/>
    <col min="783" max="783" width="28.7109375" style="231" customWidth="1"/>
    <col min="784" max="784" width="26.5703125" style="231" customWidth="1"/>
    <col min="785" max="785" width="7.7109375" style="231" customWidth="1"/>
    <col min="786" max="786" width="19.42578125" style="231" customWidth="1"/>
    <col min="787" max="787" width="44.28515625" style="231" customWidth="1"/>
    <col min="788" max="788" width="17" style="231" customWidth="1"/>
    <col min="789" max="789" width="15.5703125" style="231" customWidth="1"/>
    <col min="790" max="790" width="14.140625" style="231" customWidth="1"/>
    <col min="791" max="791" width="1.7109375" style="231" customWidth="1"/>
    <col min="792" max="792" width="13.7109375" style="231" customWidth="1"/>
    <col min="793" max="793" width="13.85546875" style="231" bestFit="1" customWidth="1"/>
    <col min="794" max="794" width="2.5703125" style="231" customWidth="1"/>
    <col min="795" max="795" width="12.42578125" style="231" customWidth="1"/>
    <col min="796" max="796" width="13.5703125" style="231" customWidth="1"/>
    <col min="797" max="797" width="2.5703125" style="231" customWidth="1"/>
    <col min="798" max="798" width="12.42578125" style="231" customWidth="1"/>
    <col min="799" max="799" width="13.5703125" style="231" customWidth="1"/>
    <col min="800" max="800" width="2.5703125" style="231" customWidth="1"/>
    <col min="801" max="801" width="11.5703125" style="231" customWidth="1"/>
    <col min="802" max="802" width="13" style="231" customWidth="1"/>
    <col min="803" max="803" width="1.42578125" style="231" customWidth="1"/>
    <col min="804" max="804" width="10.5703125" style="231" customWidth="1"/>
    <col min="805" max="1036" width="11" style="231"/>
    <col min="1037" max="1037" width="1.5703125" style="231" customWidth="1"/>
    <col min="1038" max="1038" width="8.5703125" style="231" customWidth="1"/>
    <col min="1039" max="1039" width="28.7109375" style="231" customWidth="1"/>
    <col min="1040" max="1040" width="26.5703125" style="231" customWidth="1"/>
    <col min="1041" max="1041" width="7.7109375" style="231" customWidth="1"/>
    <col min="1042" max="1042" width="19.42578125" style="231" customWidth="1"/>
    <col min="1043" max="1043" width="44.28515625" style="231" customWidth="1"/>
    <col min="1044" max="1044" width="17" style="231" customWidth="1"/>
    <col min="1045" max="1045" width="15.5703125" style="231" customWidth="1"/>
    <col min="1046" max="1046" width="14.140625" style="231" customWidth="1"/>
    <col min="1047" max="1047" width="1.7109375" style="231" customWidth="1"/>
    <col min="1048" max="1048" width="13.7109375" style="231" customWidth="1"/>
    <col min="1049" max="1049" width="13.85546875" style="231" bestFit="1" customWidth="1"/>
    <col min="1050" max="1050" width="2.5703125" style="231" customWidth="1"/>
    <col min="1051" max="1051" width="12.42578125" style="231" customWidth="1"/>
    <col min="1052" max="1052" width="13.5703125" style="231" customWidth="1"/>
    <col min="1053" max="1053" width="2.5703125" style="231" customWidth="1"/>
    <col min="1054" max="1054" width="12.42578125" style="231" customWidth="1"/>
    <col min="1055" max="1055" width="13.5703125" style="231" customWidth="1"/>
    <col min="1056" max="1056" width="2.5703125" style="231" customWidth="1"/>
    <col min="1057" max="1057" width="11.5703125" style="231" customWidth="1"/>
    <col min="1058" max="1058" width="13" style="231" customWidth="1"/>
    <col min="1059" max="1059" width="1.42578125" style="231" customWidth="1"/>
    <col min="1060" max="1060" width="10.5703125" style="231" customWidth="1"/>
    <col min="1061" max="1292" width="11" style="231"/>
    <col min="1293" max="1293" width="1.5703125" style="231" customWidth="1"/>
    <col min="1294" max="1294" width="8.5703125" style="231" customWidth="1"/>
    <col min="1295" max="1295" width="28.7109375" style="231" customWidth="1"/>
    <col min="1296" max="1296" width="26.5703125" style="231" customWidth="1"/>
    <col min="1297" max="1297" width="7.7109375" style="231" customWidth="1"/>
    <col min="1298" max="1298" width="19.42578125" style="231" customWidth="1"/>
    <col min="1299" max="1299" width="44.28515625" style="231" customWidth="1"/>
    <col min="1300" max="1300" width="17" style="231" customWidth="1"/>
    <col min="1301" max="1301" width="15.5703125" style="231" customWidth="1"/>
    <col min="1302" max="1302" width="14.140625" style="231" customWidth="1"/>
    <col min="1303" max="1303" width="1.7109375" style="231" customWidth="1"/>
    <col min="1304" max="1304" width="13.7109375" style="231" customWidth="1"/>
    <col min="1305" max="1305" width="13.85546875" style="231" bestFit="1" customWidth="1"/>
    <col min="1306" max="1306" width="2.5703125" style="231" customWidth="1"/>
    <col min="1307" max="1307" width="12.42578125" style="231" customWidth="1"/>
    <col min="1308" max="1308" width="13.5703125" style="231" customWidth="1"/>
    <col min="1309" max="1309" width="2.5703125" style="231" customWidth="1"/>
    <col min="1310" max="1310" width="12.42578125" style="231" customWidth="1"/>
    <col min="1311" max="1311" width="13.5703125" style="231" customWidth="1"/>
    <col min="1312" max="1312" width="2.5703125" style="231" customWidth="1"/>
    <col min="1313" max="1313" width="11.5703125" style="231" customWidth="1"/>
    <col min="1314" max="1314" width="13" style="231" customWidth="1"/>
    <col min="1315" max="1315" width="1.42578125" style="231" customWidth="1"/>
    <col min="1316" max="1316" width="10.5703125" style="231" customWidth="1"/>
    <col min="1317" max="1548" width="11" style="231"/>
    <col min="1549" max="1549" width="1.5703125" style="231" customWidth="1"/>
    <col min="1550" max="1550" width="8.5703125" style="231" customWidth="1"/>
    <col min="1551" max="1551" width="28.7109375" style="231" customWidth="1"/>
    <col min="1552" max="1552" width="26.5703125" style="231" customWidth="1"/>
    <col min="1553" max="1553" width="7.7109375" style="231" customWidth="1"/>
    <col min="1554" max="1554" width="19.42578125" style="231" customWidth="1"/>
    <col min="1555" max="1555" width="44.28515625" style="231" customWidth="1"/>
    <col min="1556" max="1556" width="17" style="231" customWidth="1"/>
    <col min="1557" max="1557" width="15.5703125" style="231" customWidth="1"/>
    <col min="1558" max="1558" width="14.140625" style="231" customWidth="1"/>
    <col min="1559" max="1559" width="1.7109375" style="231" customWidth="1"/>
    <col min="1560" max="1560" width="13.7109375" style="231" customWidth="1"/>
    <col min="1561" max="1561" width="13.85546875" style="231" bestFit="1" customWidth="1"/>
    <col min="1562" max="1562" width="2.5703125" style="231" customWidth="1"/>
    <col min="1563" max="1563" width="12.42578125" style="231" customWidth="1"/>
    <col min="1564" max="1564" width="13.5703125" style="231" customWidth="1"/>
    <col min="1565" max="1565" width="2.5703125" style="231" customWidth="1"/>
    <col min="1566" max="1566" width="12.42578125" style="231" customWidth="1"/>
    <col min="1567" max="1567" width="13.5703125" style="231" customWidth="1"/>
    <col min="1568" max="1568" width="2.5703125" style="231" customWidth="1"/>
    <col min="1569" max="1569" width="11.5703125" style="231" customWidth="1"/>
    <col min="1570" max="1570" width="13" style="231" customWidth="1"/>
    <col min="1571" max="1571" width="1.42578125" style="231" customWidth="1"/>
    <col min="1572" max="1572" width="10.5703125" style="231" customWidth="1"/>
    <col min="1573" max="1804" width="11" style="231"/>
    <col min="1805" max="1805" width="1.5703125" style="231" customWidth="1"/>
    <col min="1806" max="1806" width="8.5703125" style="231" customWidth="1"/>
    <col min="1807" max="1807" width="28.7109375" style="231" customWidth="1"/>
    <col min="1808" max="1808" width="26.5703125" style="231" customWidth="1"/>
    <col min="1809" max="1809" width="7.7109375" style="231" customWidth="1"/>
    <col min="1810" max="1810" width="19.42578125" style="231" customWidth="1"/>
    <col min="1811" max="1811" width="44.28515625" style="231" customWidth="1"/>
    <col min="1812" max="1812" width="17" style="231" customWidth="1"/>
    <col min="1813" max="1813" width="15.5703125" style="231" customWidth="1"/>
    <col min="1814" max="1814" width="14.140625" style="231" customWidth="1"/>
    <col min="1815" max="1815" width="1.7109375" style="231" customWidth="1"/>
    <col min="1816" max="1816" width="13.7109375" style="231" customWidth="1"/>
    <col min="1817" max="1817" width="13.85546875" style="231" bestFit="1" customWidth="1"/>
    <col min="1818" max="1818" width="2.5703125" style="231" customWidth="1"/>
    <col min="1819" max="1819" width="12.42578125" style="231" customWidth="1"/>
    <col min="1820" max="1820" width="13.5703125" style="231" customWidth="1"/>
    <col min="1821" max="1821" width="2.5703125" style="231" customWidth="1"/>
    <col min="1822" max="1822" width="12.42578125" style="231" customWidth="1"/>
    <col min="1823" max="1823" width="13.5703125" style="231" customWidth="1"/>
    <col min="1824" max="1824" width="2.5703125" style="231" customWidth="1"/>
    <col min="1825" max="1825" width="11.5703125" style="231" customWidth="1"/>
    <col min="1826" max="1826" width="13" style="231" customWidth="1"/>
    <col min="1827" max="1827" width="1.42578125" style="231" customWidth="1"/>
    <col min="1828" max="1828" width="10.5703125" style="231" customWidth="1"/>
    <col min="1829" max="2060" width="11" style="231"/>
    <col min="2061" max="2061" width="1.5703125" style="231" customWidth="1"/>
    <col min="2062" max="2062" width="8.5703125" style="231" customWidth="1"/>
    <col min="2063" max="2063" width="28.7109375" style="231" customWidth="1"/>
    <col min="2064" max="2064" width="26.5703125" style="231" customWidth="1"/>
    <col min="2065" max="2065" width="7.7109375" style="231" customWidth="1"/>
    <col min="2066" max="2066" width="19.42578125" style="231" customWidth="1"/>
    <col min="2067" max="2067" width="44.28515625" style="231" customWidth="1"/>
    <col min="2068" max="2068" width="17" style="231" customWidth="1"/>
    <col min="2069" max="2069" width="15.5703125" style="231" customWidth="1"/>
    <col min="2070" max="2070" width="14.140625" style="231" customWidth="1"/>
    <col min="2071" max="2071" width="1.7109375" style="231" customWidth="1"/>
    <col min="2072" max="2072" width="13.7109375" style="231" customWidth="1"/>
    <col min="2073" max="2073" width="13.85546875" style="231" bestFit="1" customWidth="1"/>
    <col min="2074" max="2074" width="2.5703125" style="231" customWidth="1"/>
    <col min="2075" max="2075" width="12.42578125" style="231" customWidth="1"/>
    <col min="2076" max="2076" width="13.5703125" style="231" customWidth="1"/>
    <col min="2077" max="2077" width="2.5703125" style="231" customWidth="1"/>
    <col min="2078" max="2078" width="12.42578125" style="231" customWidth="1"/>
    <col min="2079" max="2079" width="13.5703125" style="231" customWidth="1"/>
    <col min="2080" max="2080" width="2.5703125" style="231" customWidth="1"/>
    <col min="2081" max="2081" width="11.5703125" style="231" customWidth="1"/>
    <col min="2082" max="2082" width="13" style="231" customWidth="1"/>
    <col min="2083" max="2083" width="1.42578125" style="231" customWidth="1"/>
    <col min="2084" max="2084" width="10.5703125" style="231" customWidth="1"/>
    <col min="2085" max="2316" width="11" style="231"/>
    <col min="2317" max="2317" width="1.5703125" style="231" customWidth="1"/>
    <col min="2318" max="2318" width="8.5703125" style="231" customWidth="1"/>
    <col min="2319" max="2319" width="28.7109375" style="231" customWidth="1"/>
    <col min="2320" max="2320" width="26.5703125" style="231" customWidth="1"/>
    <col min="2321" max="2321" width="7.7109375" style="231" customWidth="1"/>
    <col min="2322" max="2322" width="19.42578125" style="231" customWidth="1"/>
    <col min="2323" max="2323" width="44.28515625" style="231" customWidth="1"/>
    <col min="2324" max="2324" width="17" style="231" customWidth="1"/>
    <col min="2325" max="2325" width="15.5703125" style="231" customWidth="1"/>
    <col min="2326" max="2326" width="14.140625" style="231" customWidth="1"/>
    <col min="2327" max="2327" width="1.7109375" style="231" customWidth="1"/>
    <col min="2328" max="2328" width="13.7109375" style="231" customWidth="1"/>
    <col min="2329" max="2329" width="13.85546875" style="231" bestFit="1" customWidth="1"/>
    <col min="2330" max="2330" width="2.5703125" style="231" customWidth="1"/>
    <col min="2331" max="2331" width="12.42578125" style="231" customWidth="1"/>
    <col min="2332" max="2332" width="13.5703125" style="231" customWidth="1"/>
    <col min="2333" max="2333" width="2.5703125" style="231" customWidth="1"/>
    <col min="2334" max="2334" width="12.42578125" style="231" customWidth="1"/>
    <col min="2335" max="2335" width="13.5703125" style="231" customWidth="1"/>
    <col min="2336" max="2336" width="2.5703125" style="231" customWidth="1"/>
    <col min="2337" max="2337" width="11.5703125" style="231" customWidth="1"/>
    <col min="2338" max="2338" width="13" style="231" customWidth="1"/>
    <col min="2339" max="2339" width="1.42578125" style="231" customWidth="1"/>
    <col min="2340" max="2340" width="10.5703125" style="231" customWidth="1"/>
    <col min="2341" max="2572" width="11" style="231"/>
    <col min="2573" max="2573" width="1.5703125" style="231" customWidth="1"/>
    <col min="2574" max="2574" width="8.5703125" style="231" customWidth="1"/>
    <col min="2575" max="2575" width="28.7109375" style="231" customWidth="1"/>
    <col min="2576" max="2576" width="26.5703125" style="231" customWidth="1"/>
    <col min="2577" max="2577" width="7.7109375" style="231" customWidth="1"/>
    <col min="2578" max="2578" width="19.42578125" style="231" customWidth="1"/>
    <col min="2579" max="2579" width="44.28515625" style="231" customWidth="1"/>
    <col min="2580" max="2580" width="17" style="231" customWidth="1"/>
    <col min="2581" max="2581" width="15.5703125" style="231" customWidth="1"/>
    <col min="2582" max="2582" width="14.140625" style="231" customWidth="1"/>
    <col min="2583" max="2583" width="1.7109375" style="231" customWidth="1"/>
    <col min="2584" max="2584" width="13.7109375" style="231" customWidth="1"/>
    <col min="2585" max="2585" width="13.85546875" style="231" bestFit="1" customWidth="1"/>
    <col min="2586" max="2586" width="2.5703125" style="231" customWidth="1"/>
    <col min="2587" max="2587" width="12.42578125" style="231" customWidth="1"/>
    <col min="2588" max="2588" width="13.5703125" style="231" customWidth="1"/>
    <col min="2589" max="2589" width="2.5703125" style="231" customWidth="1"/>
    <col min="2590" max="2590" width="12.42578125" style="231" customWidth="1"/>
    <col min="2591" max="2591" width="13.5703125" style="231" customWidth="1"/>
    <col min="2592" max="2592" width="2.5703125" style="231" customWidth="1"/>
    <col min="2593" max="2593" width="11.5703125" style="231" customWidth="1"/>
    <col min="2594" max="2594" width="13" style="231" customWidth="1"/>
    <col min="2595" max="2595" width="1.42578125" style="231" customWidth="1"/>
    <col min="2596" max="2596" width="10.5703125" style="231" customWidth="1"/>
    <col min="2597" max="2828" width="11" style="231"/>
    <col min="2829" max="2829" width="1.5703125" style="231" customWidth="1"/>
    <col min="2830" max="2830" width="8.5703125" style="231" customWidth="1"/>
    <col min="2831" max="2831" width="28.7109375" style="231" customWidth="1"/>
    <col min="2832" max="2832" width="26.5703125" style="231" customWidth="1"/>
    <col min="2833" max="2833" width="7.7109375" style="231" customWidth="1"/>
    <col min="2834" max="2834" width="19.42578125" style="231" customWidth="1"/>
    <col min="2835" max="2835" width="44.28515625" style="231" customWidth="1"/>
    <col min="2836" max="2836" width="17" style="231" customWidth="1"/>
    <col min="2837" max="2837" width="15.5703125" style="231" customWidth="1"/>
    <col min="2838" max="2838" width="14.140625" style="231" customWidth="1"/>
    <col min="2839" max="2839" width="1.7109375" style="231" customWidth="1"/>
    <col min="2840" max="2840" width="13.7109375" style="231" customWidth="1"/>
    <col min="2841" max="2841" width="13.85546875" style="231" bestFit="1" customWidth="1"/>
    <col min="2842" max="2842" width="2.5703125" style="231" customWidth="1"/>
    <col min="2843" max="2843" width="12.42578125" style="231" customWidth="1"/>
    <col min="2844" max="2844" width="13.5703125" style="231" customWidth="1"/>
    <col min="2845" max="2845" width="2.5703125" style="231" customWidth="1"/>
    <col min="2846" max="2846" width="12.42578125" style="231" customWidth="1"/>
    <col min="2847" max="2847" width="13.5703125" style="231" customWidth="1"/>
    <col min="2848" max="2848" width="2.5703125" style="231" customWidth="1"/>
    <col min="2849" max="2849" width="11.5703125" style="231" customWidth="1"/>
    <col min="2850" max="2850" width="13" style="231" customWidth="1"/>
    <col min="2851" max="2851" width="1.42578125" style="231" customWidth="1"/>
    <col min="2852" max="2852" width="10.5703125" style="231" customWidth="1"/>
    <col min="2853" max="3084" width="11" style="231"/>
    <col min="3085" max="3085" width="1.5703125" style="231" customWidth="1"/>
    <col min="3086" max="3086" width="8.5703125" style="231" customWidth="1"/>
    <col min="3087" max="3087" width="28.7109375" style="231" customWidth="1"/>
    <col min="3088" max="3088" width="26.5703125" style="231" customWidth="1"/>
    <col min="3089" max="3089" width="7.7109375" style="231" customWidth="1"/>
    <col min="3090" max="3090" width="19.42578125" style="231" customWidth="1"/>
    <col min="3091" max="3091" width="44.28515625" style="231" customWidth="1"/>
    <col min="3092" max="3092" width="17" style="231" customWidth="1"/>
    <col min="3093" max="3093" width="15.5703125" style="231" customWidth="1"/>
    <col min="3094" max="3094" width="14.140625" style="231" customWidth="1"/>
    <col min="3095" max="3095" width="1.7109375" style="231" customWidth="1"/>
    <col min="3096" max="3096" width="13.7109375" style="231" customWidth="1"/>
    <col min="3097" max="3097" width="13.85546875" style="231" bestFit="1" customWidth="1"/>
    <col min="3098" max="3098" width="2.5703125" style="231" customWidth="1"/>
    <col min="3099" max="3099" width="12.42578125" style="231" customWidth="1"/>
    <col min="3100" max="3100" width="13.5703125" style="231" customWidth="1"/>
    <col min="3101" max="3101" width="2.5703125" style="231" customWidth="1"/>
    <col min="3102" max="3102" width="12.42578125" style="231" customWidth="1"/>
    <col min="3103" max="3103" width="13.5703125" style="231" customWidth="1"/>
    <col min="3104" max="3104" width="2.5703125" style="231" customWidth="1"/>
    <col min="3105" max="3105" width="11.5703125" style="231" customWidth="1"/>
    <col min="3106" max="3106" width="13" style="231" customWidth="1"/>
    <col min="3107" max="3107" width="1.42578125" style="231" customWidth="1"/>
    <col min="3108" max="3108" width="10.5703125" style="231" customWidth="1"/>
    <col min="3109" max="3340" width="11" style="231"/>
    <col min="3341" max="3341" width="1.5703125" style="231" customWidth="1"/>
    <col min="3342" max="3342" width="8.5703125" style="231" customWidth="1"/>
    <col min="3343" max="3343" width="28.7109375" style="231" customWidth="1"/>
    <col min="3344" max="3344" width="26.5703125" style="231" customWidth="1"/>
    <col min="3345" max="3345" width="7.7109375" style="231" customWidth="1"/>
    <col min="3346" max="3346" width="19.42578125" style="231" customWidth="1"/>
    <col min="3347" max="3347" width="44.28515625" style="231" customWidth="1"/>
    <col min="3348" max="3348" width="17" style="231" customWidth="1"/>
    <col min="3349" max="3349" width="15.5703125" style="231" customWidth="1"/>
    <col min="3350" max="3350" width="14.140625" style="231" customWidth="1"/>
    <col min="3351" max="3351" width="1.7109375" style="231" customWidth="1"/>
    <col min="3352" max="3352" width="13.7109375" style="231" customWidth="1"/>
    <col min="3353" max="3353" width="13.85546875" style="231" bestFit="1" customWidth="1"/>
    <col min="3354" max="3354" width="2.5703125" style="231" customWidth="1"/>
    <col min="3355" max="3355" width="12.42578125" style="231" customWidth="1"/>
    <col min="3356" max="3356" width="13.5703125" style="231" customWidth="1"/>
    <col min="3357" max="3357" width="2.5703125" style="231" customWidth="1"/>
    <col min="3358" max="3358" width="12.42578125" style="231" customWidth="1"/>
    <col min="3359" max="3359" width="13.5703125" style="231" customWidth="1"/>
    <col min="3360" max="3360" width="2.5703125" style="231" customWidth="1"/>
    <col min="3361" max="3361" width="11.5703125" style="231" customWidth="1"/>
    <col min="3362" max="3362" width="13" style="231" customWidth="1"/>
    <col min="3363" max="3363" width="1.42578125" style="231" customWidth="1"/>
    <col min="3364" max="3364" width="10.5703125" style="231" customWidth="1"/>
    <col min="3365" max="3596" width="11" style="231"/>
    <col min="3597" max="3597" width="1.5703125" style="231" customWidth="1"/>
    <col min="3598" max="3598" width="8.5703125" style="231" customWidth="1"/>
    <col min="3599" max="3599" width="28.7109375" style="231" customWidth="1"/>
    <col min="3600" max="3600" width="26.5703125" style="231" customWidth="1"/>
    <col min="3601" max="3601" width="7.7109375" style="231" customWidth="1"/>
    <col min="3602" max="3602" width="19.42578125" style="231" customWidth="1"/>
    <col min="3603" max="3603" width="44.28515625" style="231" customWidth="1"/>
    <col min="3604" max="3604" width="17" style="231" customWidth="1"/>
    <col min="3605" max="3605" width="15.5703125" style="231" customWidth="1"/>
    <col min="3606" max="3606" width="14.140625" style="231" customWidth="1"/>
    <col min="3607" max="3607" width="1.7109375" style="231" customWidth="1"/>
    <col min="3608" max="3608" width="13.7109375" style="231" customWidth="1"/>
    <col min="3609" max="3609" width="13.85546875" style="231" bestFit="1" customWidth="1"/>
    <col min="3610" max="3610" width="2.5703125" style="231" customWidth="1"/>
    <col min="3611" max="3611" width="12.42578125" style="231" customWidth="1"/>
    <col min="3612" max="3612" width="13.5703125" style="231" customWidth="1"/>
    <col min="3613" max="3613" width="2.5703125" style="231" customWidth="1"/>
    <col min="3614" max="3614" width="12.42578125" style="231" customWidth="1"/>
    <col min="3615" max="3615" width="13.5703125" style="231" customWidth="1"/>
    <col min="3616" max="3616" width="2.5703125" style="231" customWidth="1"/>
    <col min="3617" max="3617" width="11.5703125" style="231" customWidth="1"/>
    <col min="3618" max="3618" width="13" style="231" customWidth="1"/>
    <col min="3619" max="3619" width="1.42578125" style="231" customWidth="1"/>
    <col min="3620" max="3620" width="10.5703125" style="231" customWidth="1"/>
    <col min="3621" max="3852" width="11" style="231"/>
    <col min="3853" max="3853" width="1.5703125" style="231" customWidth="1"/>
    <col min="3854" max="3854" width="8.5703125" style="231" customWidth="1"/>
    <col min="3855" max="3855" width="28.7109375" style="231" customWidth="1"/>
    <col min="3856" max="3856" width="26.5703125" style="231" customWidth="1"/>
    <col min="3857" max="3857" width="7.7109375" style="231" customWidth="1"/>
    <col min="3858" max="3858" width="19.42578125" style="231" customWidth="1"/>
    <col min="3859" max="3859" width="44.28515625" style="231" customWidth="1"/>
    <col min="3860" max="3860" width="17" style="231" customWidth="1"/>
    <col min="3861" max="3861" width="15.5703125" style="231" customWidth="1"/>
    <col min="3862" max="3862" width="14.140625" style="231" customWidth="1"/>
    <col min="3863" max="3863" width="1.7109375" style="231" customWidth="1"/>
    <col min="3864" max="3864" width="13.7109375" style="231" customWidth="1"/>
    <col min="3865" max="3865" width="13.85546875" style="231" bestFit="1" customWidth="1"/>
    <col min="3866" max="3866" width="2.5703125" style="231" customWidth="1"/>
    <col min="3867" max="3867" width="12.42578125" style="231" customWidth="1"/>
    <col min="3868" max="3868" width="13.5703125" style="231" customWidth="1"/>
    <col min="3869" max="3869" width="2.5703125" style="231" customWidth="1"/>
    <col min="3870" max="3870" width="12.42578125" style="231" customWidth="1"/>
    <col min="3871" max="3871" width="13.5703125" style="231" customWidth="1"/>
    <col min="3872" max="3872" width="2.5703125" style="231" customWidth="1"/>
    <col min="3873" max="3873" width="11.5703125" style="231" customWidth="1"/>
    <col min="3874" max="3874" width="13" style="231" customWidth="1"/>
    <col min="3875" max="3875" width="1.42578125" style="231" customWidth="1"/>
    <col min="3876" max="3876" width="10.5703125" style="231" customWidth="1"/>
    <col min="3877" max="4108" width="11" style="231"/>
    <col min="4109" max="4109" width="1.5703125" style="231" customWidth="1"/>
    <col min="4110" max="4110" width="8.5703125" style="231" customWidth="1"/>
    <col min="4111" max="4111" width="28.7109375" style="231" customWidth="1"/>
    <col min="4112" max="4112" width="26.5703125" style="231" customWidth="1"/>
    <col min="4113" max="4113" width="7.7109375" style="231" customWidth="1"/>
    <col min="4114" max="4114" width="19.42578125" style="231" customWidth="1"/>
    <col min="4115" max="4115" width="44.28515625" style="231" customWidth="1"/>
    <col min="4116" max="4116" width="17" style="231" customWidth="1"/>
    <col min="4117" max="4117" width="15.5703125" style="231" customWidth="1"/>
    <col min="4118" max="4118" width="14.140625" style="231" customWidth="1"/>
    <col min="4119" max="4119" width="1.7109375" style="231" customWidth="1"/>
    <col min="4120" max="4120" width="13.7109375" style="231" customWidth="1"/>
    <col min="4121" max="4121" width="13.85546875" style="231" bestFit="1" customWidth="1"/>
    <col min="4122" max="4122" width="2.5703125" style="231" customWidth="1"/>
    <col min="4123" max="4123" width="12.42578125" style="231" customWidth="1"/>
    <col min="4124" max="4124" width="13.5703125" style="231" customWidth="1"/>
    <col min="4125" max="4125" width="2.5703125" style="231" customWidth="1"/>
    <col min="4126" max="4126" width="12.42578125" style="231" customWidth="1"/>
    <col min="4127" max="4127" width="13.5703125" style="231" customWidth="1"/>
    <col min="4128" max="4128" width="2.5703125" style="231" customWidth="1"/>
    <col min="4129" max="4129" width="11.5703125" style="231" customWidth="1"/>
    <col min="4130" max="4130" width="13" style="231" customWidth="1"/>
    <col min="4131" max="4131" width="1.42578125" style="231" customWidth="1"/>
    <col min="4132" max="4132" width="10.5703125" style="231" customWidth="1"/>
    <col min="4133" max="4364" width="11" style="231"/>
    <col min="4365" max="4365" width="1.5703125" style="231" customWidth="1"/>
    <col min="4366" max="4366" width="8.5703125" style="231" customWidth="1"/>
    <col min="4367" max="4367" width="28.7109375" style="231" customWidth="1"/>
    <col min="4368" max="4368" width="26.5703125" style="231" customWidth="1"/>
    <col min="4369" max="4369" width="7.7109375" style="231" customWidth="1"/>
    <col min="4370" max="4370" width="19.42578125" style="231" customWidth="1"/>
    <col min="4371" max="4371" width="44.28515625" style="231" customWidth="1"/>
    <col min="4372" max="4372" width="17" style="231" customWidth="1"/>
    <col min="4373" max="4373" width="15.5703125" style="231" customWidth="1"/>
    <col min="4374" max="4374" width="14.140625" style="231" customWidth="1"/>
    <col min="4375" max="4375" width="1.7109375" style="231" customWidth="1"/>
    <col min="4376" max="4376" width="13.7109375" style="231" customWidth="1"/>
    <col min="4377" max="4377" width="13.85546875" style="231" bestFit="1" customWidth="1"/>
    <col min="4378" max="4378" width="2.5703125" style="231" customWidth="1"/>
    <col min="4379" max="4379" width="12.42578125" style="231" customWidth="1"/>
    <col min="4380" max="4380" width="13.5703125" style="231" customWidth="1"/>
    <col min="4381" max="4381" width="2.5703125" style="231" customWidth="1"/>
    <col min="4382" max="4382" width="12.42578125" style="231" customWidth="1"/>
    <col min="4383" max="4383" width="13.5703125" style="231" customWidth="1"/>
    <col min="4384" max="4384" width="2.5703125" style="231" customWidth="1"/>
    <col min="4385" max="4385" width="11.5703125" style="231" customWidth="1"/>
    <col min="4386" max="4386" width="13" style="231" customWidth="1"/>
    <col min="4387" max="4387" width="1.42578125" style="231" customWidth="1"/>
    <col min="4388" max="4388" width="10.5703125" style="231" customWidth="1"/>
    <col min="4389" max="4620" width="11" style="231"/>
    <col min="4621" max="4621" width="1.5703125" style="231" customWidth="1"/>
    <col min="4622" max="4622" width="8.5703125" style="231" customWidth="1"/>
    <col min="4623" max="4623" width="28.7109375" style="231" customWidth="1"/>
    <col min="4624" max="4624" width="26.5703125" style="231" customWidth="1"/>
    <col min="4625" max="4625" width="7.7109375" style="231" customWidth="1"/>
    <col min="4626" max="4626" width="19.42578125" style="231" customWidth="1"/>
    <col min="4627" max="4627" width="44.28515625" style="231" customWidth="1"/>
    <col min="4628" max="4628" width="17" style="231" customWidth="1"/>
    <col min="4629" max="4629" width="15.5703125" style="231" customWidth="1"/>
    <col min="4630" max="4630" width="14.140625" style="231" customWidth="1"/>
    <col min="4631" max="4631" width="1.7109375" style="231" customWidth="1"/>
    <col min="4632" max="4632" width="13.7109375" style="231" customWidth="1"/>
    <col min="4633" max="4633" width="13.85546875" style="231" bestFit="1" customWidth="1"/>
    <col min="4634" max="4634" width="2.5703125" style="231" customWidth="1"/>
    <col min="4635" max="4635" width="12.42578125" style="231" customWidth="1"/>
    <col min="4636" max="4636" width="13.5703125" style="231" customWidth="1"/>
    <col min="4637" max="4637" width="2.5703125" style="231" customWidth="1"/>
    <col min="4638" max="4638" width="12.42578125" style="231" customWidth="1"/>
    <col min="4639" max="4639" width="13.5703125" style="231" customWidth="1"/>
    <col min="4640" max="4640" width="2.5703125" style="231" customWidth="1"/>
    <col min="4641" max="4641" width="11.5703125" style="231" customWidth="1"/>
    <col min="4642" max="4642" width="13" style="231" customWidth="1"/>
    <col min="4643" max="4643" width="1.42578125" style="231" customWidth="1"/>
    <col min="4644" max="4644" width="10.5703125" style="231" customWidth="1"/>
    <col min="4645" max="4876" width="11" style="231"/>
    <col min="4877" max="4877" width="1.5703125" style="231" customWidth="1"/>
    <col min="4878" max="4878" width="8.5703125" style="231" customWidth="1"/>
    <col min="4879" max="4879" width="28.7109375" style="231" customWidth="1"/>
    <col min="4880" max="4880" width="26.5703125" style="231" customWidth="1"/>
    <col min="4881" max="4881" width="7.7109375" style="231" customWidth="1"/>
    <col min="4882" max="4882" width="19.42578125" style="231" customWidth="1"/>
    <col min="4883" max="4883" width="44.28515625" style="231" customWidth="1"/>
    <col min="4884" max="4884" width="17" style="231" customWidth="1"/>
    <col min="4885" max="4885" width="15.5703125" style="231" customWidth="1"/>
    <col min="4886" max="4886" width="14.140625" style="231" customWidth="1"/>
    <col min="4887" max="4887" width="1.7109375" style="231" customWidth="1"/>
    <col min="4888" max="4888" width="13.7109375" style="231" customWidth="1"/>
    <col min="4889" max="4889" width="13.85546875" style="231" bestFit="1" customWidth="1"/>
    <col min="4890" max="4890" width="2.5703125" style="231" customWidth="1"/>
    <col min="4891" max="4891" width="12.42578125" style="231" customWidth="1"/>
    <col min="4892" max="4892" width="13.5703125" style="231" customWidth="1"/>
    <col min="4893" max="4893" width="2.5703125" style="231" customWidth="1"/>
    <col min="4894" max="4894" width="12.42578125" style="231" customWidth="1"/>
    <col min="4895" max="4895" width="13.5703125" style="231" customWidth="1"/>
    <col min="4896" max="4896" width="2.5703125" style="231" customWidth="1"/>
    <col min="4897" max="4897" width="11.5703125" style="231" customWidth="1"/>
    <col min="4898" max="4898" width="13" style="231" customWidth="1"/>
    <col min="4899" max="4899" width="1.42578125" style="231" customWidth="1"/>
    <col min="4900" max="4900" width="10.5703125" style="231" customWidth="1"/>
    <col min="4901" max="5132" width="11" style="231"/>
    <col min="5133" max="5133" width="1.5703125" style="231" customWidth="1"/>
    <col min="5134" max="5134" width="8.5703125" style="231" customWidth="1"/>
    <col min="5135" max="5135" width="28.7109375" style="231" customWidth="1"/>
    <col min="5136" max="5136" width="26.5703125" style="231" customWidth="1"/>
    <col min="5137" max="5137" width="7.7109375" style="231" customWidth="1"/>
    <col min="5138" max="5138" width="19.42578125" style="231" customWidth="1"/>
    <col min="5139" max="5139" width="44.28515625" style="231" customWidth="1"/>
    <col min="5140" max="5140" width="17" style="231" customWidth="1"/>
    <col min="5141" max="5141" width="15.5703125" style="231" customWidth="1"/>
    <col min="5142" max="5142" width="14.140625" style="231" customWidth="1"/>
    <col min="5143" max="5143" width="1.7109375" style="231" customWidth="1"/>
    <col min="5144" max="5144" width="13.7109375" style="231" customWidth="1"/>
    <col min="5145" max="5145" width="13.85546875" style="231" bestFit="1" customWidth="1"/>
    <col min="5146" max="5146" width="2.5703125" style="231" customWidth="1"/>
    <col min="5147" max="5147" width="12.42578125" style="231" customWidth="1"/>
    <col min="5148" max="5148" width="13.5703125" style="231" customWidth="1"/>
    <col min="5149" max="5149" width="2.5703125" style="231" customWidth="1"/>
    <col min="5150" max="5150" width="12.42578125" style="231" customWidth="1"/>
    <col min="5151" max="5151" width="13.5703125" style="231" customWidth="1"/>
    <col min="5152" max="5152" width="2.5703125" style="231" customWidth="1"/>
    <col min="5153" max="5153" width="11.5703125" style="231" customWidth="1"/>
    <col min="5154" max="5154" width="13" style="231" customWidth="1"/>
    <col min="5155" max="5155" width="1.42578125" style="231" customWidth="1"/>
    <col min="5156" max="5156" width="10.5703125" style="231" customWidth="1"/>
    <col min="5157" max="5388" width="11" style="231"/>
    <col min="5389" max="5389" width="1.5703125" style="231" customWidth="1"/>
    <col min="5390" max="5390" width="8.5703125" style="231" customWidth="1"/>
    <col min="5391" max="5391" width="28.7109375" style="231" customWidth="1"/>
    <col min="5392" max="5392" width="26.5703125" style="231" customWidth="1"/>
    <col min="5393" max="5393" width="7.7109375" style="231" customWidth="1"/>
    <col min="5394" max="5394" width="19.42578125" style="231" customWidth="1"/>
    <col min="5395" max="5395" width="44.28515625" style="231" customWidth="1"/>
    <col min="5396" max="5396" width="17" style="231" customWidth="1"/>
    <col min="5397" max="5397" width="15.5703125" style="231" customWidth="1"/>
    <col min="5398" max="5398" width="14.140625" style="231" customWidth="1"/>
    <col min="5399" max="5399" width="1.7109375" style="231" customWidth="1"/>
    <col min="5400" max="5400" width="13.7109375" style="231" customWidth="1"/>
    <col min="5401" max="5401" width="13.85546875" style="231" bestFit="1" customWidth="1"/>
    <col min="5402" max="5402" width="2.5703125" style="231" customWidth="1"/>
    <col min="5403" max="5403" width="12.42578125" style="231" customWidth="1"/>
    <col min="5404" max="5404" width="13.5703125" style="231" customWidth="1"/>
    <col min="5405" max="5405" width="2.5703125" style="231" customWidth="1"/>
    <col min="5406" max="5406" width="12.42578125" style="231" customWidth="1"/>
    <col min="5407" max="5407" width="13.5703125" style="231" customWidth="1"/>
    <col min="5408" max="5408" width="2.5703125" style="231" customWidth="1"/>
    <col min="5409" max="5409" width="11.5703125" style="231" customWidth="1"/>
    <col min="5410" max="5410" width="13" style="231" customWidth="1"/>
    <col min="5411" max="5411" width="1.42578125" style="231" customWidth="1"/>
    <col min="5412" max="5412" width="10.5703125" style="231" customWidth="1"/>
    <col min="5413" max="5644" width="11" style="231"/>
    <col min="5645" max="5645" width="1.5703125" style="231" customWidth="1"/>
    <col min="5646" max="5646" width="8.5703125" style="231" customWidth="1"/>
    <col min="5647" max="5647" width="28.7109375" style="231" customWidth="1"/>
    <col min="5648" max="5648" width="26.5703125" style="231" customWidth="1"/>
    <col min="5649" max="5649" width="7.7109375" style="231" customWidth="1"/>
    <col min="5650" max="5650" width="19.42578125" style="231" customWidth="1"/>
    <col min="5651" max="5651" width="44.28515625" style="231" customWidth="1"/>
    <col min="5652" max="5652" width="17" style="231" customWidth="1"/>
    <col min="5653" max="5653" width="15.5703125" style="231" customWidth="1"/>
    <col min="5654" max="5654" width="14.140625" style="231" customWidth="1"/>
    <col min="5655" max="5655" width="1.7109375" style="231" customWidth="1"/>
    <col min="5656" max="5656" width="13.7109375" style="231" customWidth="1"/>
    <col min="5657" max="5657" width="13.85546875" style="231" bestFit="1" customWidth="1"/>
    <col min="5658" max="5658" width="2.5703125" style="231" customWidth="1"/>
    <col min="5659" max="5659" width="12.42578125" style="231" customWidth="1"/>
    <col min="5660" max="5660" width="13.5703125" style="231" customWidth="1"/>
    <col min="5661" max="5661" width="2.5703125" style="231" customWidth="1"/>
    <col min="5662" max="5662" width="12.42578125" style="231" customWidth="1"/>
    <col min="5663" max="5663" width="13.5703125" style="231" customWidth="1"/>
    <col min="5664" max="5664" width="2.5703125" style="231" customWidth="1"/>
    <col min="5665" max="5665" width="11.5703125" style="231" customWidth="1"/>
    <col min="5666" max="5666" width="13" style="231" customWidth="1"/>
    <col min="5667" max="5667" width="1.42578125" style="231" customWidth="1"/>
    <col min="5668" max="5668" width="10.5703125" style="231" customWidth="1"/>
    <col min="5669" max="5900" width="11" style="231"/>
    <col min="5901" max="5901" width="1.5703125" style="231" customWidth="1"/>
    <col min="5902" max="5902" width="8.5703125" style="231" customWidth="1"/>
    <col min="5903" max="5903" width="28.7109375" style="231" customWidth="1"/>
    <col min="5904" max="5904" width="26.5703125" style="231" customWidth="1"/>
    <col min="5905" max="5905" width="7.7109375" style="231" customWidth="1"/>
    <col min="5906" max="5906" width="19.42578125" style="231" customWidth="1"/>
    <col min="5907" max="5907" width="44.28515625" style="231" customWidth="1"/>
    <col min="5908" max="5908" width="17" style="231" customWidth="1"/>
    <col min="5909" max="5909" width="15.5703125" style="231" customWidth="1"/>
    <col min="5910" max="5910" width="14.140625" style="231" customWidth="1"/>
    <col min="5911" max="5911" width="1.7109375" style="231" customWidth="1"/>
    <col min="5912" max="5912" width="13.7109375" style="231" customWidth="1"/>
    <col min="5913" max="5913" width="13.85546875" style="231" bestFit="1" customWidth="1"/>
    <col min="5914" max="5914" width="2.5703125" style="231" customWidth="1"/>
    <col min="5915" max="5915" width="12.42578125" style="231" customWidth="1"/>
    <col min="5916" max="5916" width="13.5703125" style="231" customWidth="1"/>
    <col min="5917" max="5917" width="2.5703125" style="231" customWidth="1"/>
    <col min="5918" max="5918" width="12.42578125" style="231" customWidth="1"/>
    <col min="5919" max="5919" width="13.5703125" style="231" customWidth="1"/>
    <col min="5920" max="5920" width="2.5703125" style="231" customWidth="1"/>
    <col min="5921" max="5921" width="11.5703125" style="231" customWidth="1"/>
    <col min="5922" max="5922" width="13" style="231" customWidth="1"/>
    <col min="5923" max="5923" width="1.42578125" style="231" customWidth="1"/>
    <col min="5924" max="5924" width="10.5703125" style="231" customWidth="1"/>
    <col min="5925" max="6156" width="11" style="231"/>
    <col min="6157" max="6157" width="1.5703125" style="231" customWidth="1"/>
    <col min="6158" max="6158" width="8.5703125" style="231" customWidth="1"/>
    <col min="6159" max="6159" width="28.7109375" style="231" customWidth="1"/>
    <col min="6160" max="6160" width="26.5703125" style="231" customWidth="1"/>
    <col min="6161" max="6161" width="7.7109375" style="231" customWidth="1"/>
    <col min="6162" max="6162" width="19.42578125" style="231" customWidth="1"/>
    <col min="6163" max="6163" width="44.28515625" style="231" customWidth="1"/>
    <col min="6164" max="6164" width="17" style="231" customWidth="1"/>
    <col min="6165" max="6165" width="15.5703125" style="231" customWidth="1"/>
    <col min="6166" max="6166" width="14.140625" style="231" customWidth="1"/>
    <col min="6167" max="6167" width="1.7109375" style="231" customWidth="1"/>
    <col min="6168" max="6168" width="13.7109375" style="231" customWidth="1"/>
    <col min="6169" max="6169" width="13.85546875" style="231" bestFit="1" customWidth="1"/>
    <col min="6170" max="6170" width="2.5703125" style="231" customWidth="1"/>
    <col min="6171" max="6171" width="12.42578125" style="231" customWidth="1"/>
    <col min="6172" max="6172" width="13.5703125" style="231" customWidth="1"/>
    <col min="6173" max="6173" width="2.5703125" style="231" customWidth="1"/>
    <col min="6174" max="6174" width="12.42578125" style="231" customWidth="1"/>
    <col min="6175" max="6175" width="13.5703125" style="231" customWidth="1"/>
    <col min="6176" max="6176" width="2.5703125" style="231" customWidth="1"/>
    <col min="6177" max="6177" width="11.5703125" style="231" customWidth="1"/>
    <col min="6178" max="6178" width="13" style="231" customWidth="1"/>
    <col min="6179" max="6179" width="1.42578125" style="231" customWidth="1"/>
    <col min="6180" max="6180" width="10.5703125" style="231" customWidth="1"/>
    <col min="6181" max="6412" width="11" style="231"/>
    <col min="6413" max="6413" width="1.5703125" style="231" customWidth="1"/>
    <col min="6414" max="6414" width="8.5703125" style="231" customWidth="1"/>
    <col min="6415" max="6415" width="28.7109375" style="231" customWidth="1"/>
    <col min="6416" max="6416" width="26.5703125" style="231" customWidth="1"/>
    <col min="6417" max="6417" width="7.7109375" style="231" customWidth="1"/>
    <col min="6418" max="6418" width="19.42578125" style="231" customWidth="1"/>
    <col min="6419" max="6419" width="44.28515625" style="231" customWidth="1"/>
    <col min="6420" max="6420" width="17" style="231" customWidth="1"/>
    <col min="6421" max="6421" width="15.5703125" style="231" customWidth="1"/>
    <col min="6422" max="6422" width="14.140625" style="231" customWidth="1"/>
    <col min="6423" max="6423" width="1.7109375" style="231" customWidth="1"/>
    <col min="6424" max="6424" width="13.7109375" style="231" customWidth="1"/>
    <col min="6425" max="6425" width="13.85546875" style="231" bestFit="1" customWidth="1"/>
    <col min="6426" max="6426" width="2.5703125" style="231" customWidth="1"/>
    <col min="6427" max="6427" width="12.42578125" style="231" customWidth="1"/>
    <col min="6428" max="6428" width="13.5703125" style="231" customWidth="1"/>
    <col min="6429" max="6429" width="2.5703125" style="231" customWidth="1"/>
    <col min="6430" max="6430" width="12.42578125" style="231" customWidth="1"/>
    <col min="6431" max="6431" width="13.5703125" style="231" customWidth="1"/>
    <col min="6432" max="6432" width="2.5703125" style="231" customWidth="1"/>
    <col min="6433" max="6433" width="11.5703125" style="231" customWidth="1"/>
    <col min="6434" max="6434" width="13" style="231" customWidth="1"/>
    <col min="6435" max="6435" width="1.42578125" style="231" customWidth="1"/>
    <col min="6436" max="6436" width="10.5703125" style="231" customWidth="1"/>
    <col min="6437" max="6668" width="11" style="231"/>
    <col min="6669" max="6669" width="1.5703125" style="231" customWidth="1"/>
    <col min="6670" max="6670" width="8.5703125" style="231" customWidth="1"/>
    <col min="6671" max="6671" width="28.7109375" style="231" customWidth="1"/>
    <col min="6672" max="6672" width="26.5703125" style="231" customWidth="1"/>
    <col min="6673" max="6673" width="7.7109375" style="231" customWidth="1"/>
    <col min="6674" max="6674" width="19.42578125" style="231" customWidth="1"/>
    <col min="6675" max="6675" width="44.28515625" style="231" customWidth="1"/>
    <col min="6676" max="6676" width="17" style="231" customWidth="1"/>
    <col min="6677" max="6677" width="15.5703125" style="231" customWidth="1"/>
    <col min="6678" max="6678" width="14.140625" style="231" customWidth="1"/>
    <col min="6679" max="6679" width="1.7109375" style="231" customWidth="1"/>
    <col min="6680" max="6680" width="13.7109375" style="231" customWidth="1"/>
    <col min="6681" max="6681" width="13.85546875" style="231" bestFit="1" customWidth="1"/>
    <col min="6682" max="6682" width="2.5703125" style="231" customWidth="1"/>
    <col min="6683" max="6683" width="12.42578125" style="231" customWidth="1"/>
    <col min="6684" max="6684" width="13.5703125" style="231" customWidth="1"/>
    <col min="6685" max="6685" width="2.5703125" style="231" customWidth="1"/>
    <col min="6686" max="6686" width="12.42578125" style="231" customWidth="1"/>
    <col min="6687" max="6687" width="13.5703125" style="231" customWidth="1"/>
    <col min="6688" max="6688" width="2.5703125" style="231" customWidth="1"/>
    <col min="6689" max="6689" width="11.5703125" style="231" customWidth="1"/>
    <col min="6690" max="6690" width="13" style="231" customWidth="1"/>
    <col min="6691" max="6691" width="1.42578125" style="231" customWidth="1"/>
    <col min="6692" max="6692" width="10.5703125" style="231" customWidth="1"/>
    <col min="6693" max="6924" width="11" style="231"/>
    <col min="6925" max="6925" width="1.5703125" style="231" customWidth="1"/>
    <col min="6926" max="6926" width="8.5703125" style="231" customWidth="1"/>
    <col min="6927" max="6927" width="28.7109375" style="231" customWidth="1"/>
    <col min="6928" max="6928" width="26.5703125" style="231" customWidth="1"/>
    <col min="6929" max="6929" width="7.7109375" style="231" customWidth="1"/>
    <col min="6930" max="6930" width="19.42578125" style="231" customWidth="1"/>
    <col min="6931" max="6931" width="44.28515625" style="231" customWidth="1"/>
    <col min="6932" max="6932" width="17" style="231" customWidth="1"/>
    <col min="6933" max="6933" width="15.5703125" style="231" customWidth="1"/>
    <col min="6934" max="6934" width="14.140625" style="231" customWidth="1"/>
    <col min="6935" max="6935" width="1.7109375" style="231" customWidth="1"/>
    <col min="6936" max="6936" width="13.7109375" style="231" customWidth="1"/>
    <col min="6937" max="6937" width="13.85546875" style="231" bestFit="1" customWidth="1"/>
    <col min="6938" max="6938" width="2.5703125" style="231" customWidth="1"/>
    <col min="6939" max="6939" width="12.42578125" style="231" customWidth="1"/>
    <col min="6940" max="6940" width="13.5703125" style="231" customWidth="1"/>
    <col min="6941" max="6941" width="2.5703125" style="231" customWidth="1"/>
    <col min="6942" max="6942" width="12.42578125" style="231" customWidth="1"/>
    <col min="6943" max="6943" width="13.5703125" style="231" customWidth="1"/>
    <col min="6944" max="6944" width="2.5703125" style="231" customWidth="1"/>
    <col min="6945" max="6945" width="11.5703125" style="231" customWidth="1"/>
    <col min="6946" max="6946" width="13" style="231" customWidth="1"/>
    <col min="6947" max="6947" width="1.42578125" style="231" customWidth="1"/>
    <col min="6948" max="6948" width="10.5703125" style="231" customWidth="1"/>
    <col min="6949" max="7180" width="11" style="231"/>
    <col min="7181" max="7181" width="1.5703125" style="231" customWidth="1"/>
    <col min="7182" max="7182" width="8.5703125" style="231" customWidth="1"/>
    <col min="7183" max="7183" width="28.7109375" style="231" customWidth="1"/>
    <col min="7184" max="7184" width="26.5703125" style="231" customWidth="1"/>
    <col min="7185" max="7185" width="7.7109375" style="231" customWidth="1"/>
    <col min="7186" max="7186" width="19.42578125" style="231" customWidth="1"/>
    <col min="7187" max="7187" width="44.28515625" style="231" customWidth="1"/>
    <col min="7188" max="7188" width="17" style="231" customWidth="1"/>
    <col min="7189" max="7189" width="15.5703125" style="231" customWidth="1"/>
    <col min="7190" max="7190" width="14.140625" style="231" customWidth="1"/>
    <col min="7191" max="7191" width="1.7109375" style="231" customWidth="1"/>
    <col min="7192" max="7192" width="13.7109375" style="231" customWidth="1"/>
    <col min="7193" max="7193" width="13.85546875" style="231" bestFit="1" customWidth="1"/>
    <col min="7194" max="7194" width="2.5703125" style="231" customWidth="1"/>
    <col min="7195" max="7195" width="12.42578125" style="231" customWidth="1"/>
    <col min="7196" max="7196" width="13.5703125" style="231" customWidth="1"/>
    <col min="7197" max="7197" width="2.5703125" style="231" customWidth="1"/>
    <col min="7198" max="7198" width="12.42578125" style="231" customWidth="1"/>
    <col min="7199" max="7199" width="13.5703125" style="231" customWidth="1"/>
    <col min="7200" max="7200" width="2.5703125" style="231" customWidth="1"/>
    <col min="7201" max="7201" width="11.5703125" style="231" customWidth="1"/>
    <col min="7202" max="7202" width="13" style="231" customWidth="1"/>
    <col min="7203" max="7203" width="1.42578125" style="231" customWidth="1"/>
    <col min="7204" max="7204" width="10.5703125" style="231" customWidth="1"/>
    <col min="7205" max="7436" width="11" style="231"/>
    <col min="7437" max="7437" width="1.5703125" style="231" customWidth="1"/>
    <col min="7438" max="7438" width="8.5703125" style="231" customWidth="1"/>
    <col min="7439" max="7439" width="28.7109375" style="231" customWidth="1"/>
    <col min="7440" max="7440" width="26.5703125" style="231" customWidth="1"/>
    <col min="7441" max="7441" width="7.7109375" style="231" customWidth="1"/>
    <col min="7442" max="7442" width="19.42578125" style="231" customWidth="1"/>
    <col min="7443" max="7443" width="44.28515625" style="231" customWidth="1"/>
    <col min="7444" max="7444" width="17" style="231" customWidth="1"/>
    <col min="7445" max="7445" width="15.5703125" style="231" customWidth="1"/>
    <col min="7446" max="7446" width="14.140625" style="231" customWidth="1"/>
    <col min="7447" max="7447" width="1.7109375" style="231" customWidth="1"/>
    <col min="7448" max="7448" width="13.7109375" style="231" customWidth="1"/>
    <col min="7449" max="7449" width="13.85546875" style="231" bestFit="1" customWidth="1"/>
    <col min="7450" max="7450" width="2.5703125" style="231" customWidth="1"/>
    <col min="7451" max="7451" width="12.42578125" style="231" customWidth="1"/>
    <col min="7452" max="7452" width="13.5703125" style="231" customWidth="1"/>
    <col min="7453" max="7453" width="2.5703125" style="231" customWidth="1"/>
    <col min="7454" max="7454" width="12.42578125" style="231" customWidth="1"/>
    <col min="7455" max="7455" width="13.5703125" style="231" customWidth="1"/>
    <col min="7456" max="7456" width="2.5703125" style="231" customWidth="1"/>
    <col min="7457" max="7457" width="11.5703125" style="231" customWidth="1"/>
    <col min="7458" max="7458" width="13" style="231" customWidth="1"/>
    <col min="7459" max="7459" width="1.42578125" style="231" customWidth="1"/>
    <col min="7460" max="7460" width="10.5703125" style="231" customWidth="1"/>
    <col min="7461" max="7692" width="11" style="231"/>
    <col min="7693" max="7693" width="1.5703125" style="231" customWidth="1"/>
    <col min="7694" max="7694" width="8.5703125" style="231" customWidth="1"/>
    <col min="7695" max="7695" width="28.7109375" style="231" customWidth="1"/>
    <col min="7696" max="7696" width="26.5703125" style="231" customWidth="1"/>
    <col min="7697" max="7697" width="7.7109375" style="231" customWidth="1"/>
    <col min="7698" max="7698" width="19.42578125" style="231" customWidth="1"/>
    <col min="7699" max="7699" width="44.28515625" style="231" customWidth="1"/>
    <col min="7700" max="7700" width="17" style="231" customWidth="1"/>
    <col min="7701" max="7701" width="15.5703125" style="231" customWidth="1"/>
    <col min="7702" max="7702" width="14.140625" style="231" customWidth="1"/>
    <col min="7703" max="7703" width="1.7109375" style="231" customWidth="1"/>
    <col min="7704" max="7704" width="13.7109375" style="231" customWidth="1"/>
    <col min="7705" max="7705" width="13.85546875" style="231" bestFit="1" customWidth="1"/>
    <col min="7706" max="7706" width="2.5703125" style="231" customWidth="1"/>
    <col min="7707" max="7707" width="12.42578125" style="231" customWidth="1"/>
    <col min="7708" max="7708" width="13.5703125" style="231" customWidth="1"/>
    <col min="7709" max="7709" width="2.5703125" style="231" customWidth="1"/>
    <col min="7710" max="7710" width="12.42578125" style="231" customWidth="1"/>
    <col min="7711" max="7711" width="13.5703125" style="231" customWidth="1"/>
    <col min="7712" max="7712" width="2.5703125" style="231" customWidth="1"/>
    <col min="7713" max="7713" width="11.5703125" style="231" customWidth="1"/>
    <col min="7714" max="7714" width="13" style="231" customWidth="1"/>
    <col min="7715" max="7715" width="1.42578125" style="231" customWidth="1"/>
    <col min="7716" max="7716" width="10.5703125" style="231" customWidth="1"/>
    <col min="7717" max="7948" width="11" style="231"/>
    <col min="7949" max="7949" width="1.5703125" style="231" customWidth="1"/>
    <col min="7950" max="7950" width="8.5703125" style="231" customWidth="1"/>
    <col min="7951" max="7951" width="28.7109375" style="231" customWidth="1"/>
    <col min="7952" max="7952" width="26.5703125" style="231" customWidth="1"/>
    <col min="7953" max="7953" width="7.7109375" style="231" customWidth="1"/>
    <col min="7954" max="7954" width="19.42578125" style="231" customWidth="1"/>
    <col min="7955" max="7955" width="44.28515625" style="231" customWidth="1"/>
    <col min="7956" max="7956" width="17" style="231" customWidth="1"/>
    <col min="7957" max="7957" width="15.5703125" style="231" customWidth="1"/>
    <col min="7958" max="7958" width="14.140625" style="231" customWidth="1"/>
    <col min="7959" max="7959" width="1.7109375" style="231" customWidth="1"/>
    <col min="7960" max="7960" width="13.7109375" style="231" customWidth="1"/>
    <col min="7961" max="7961" width="13.85546875" style="231" bestFit="1" customWidth="1"/>
    <col min="7962" max="7962" width="2.5703125" style="231" customWidth="1"/>
    <col min="7963" max="7963" width="12.42578125" style="231" customWidth="1"/>
    <col min="7964" max="7964" width="13.5703125" style="231" customWidth="1"/>
    <col min="7965" max="7965" width="2.5703125" style="231" customWidth="1"/>
    <col min="7966" max="7966" width="12.42578125" style="231" customWidth="1"/>
    <col min="7967" max="7967" width="13.5703125" style="231" customWidth="1"/>
    <col min="7968" max="7968" width="2.5703125" style="231" customWidth="1"/>
    <col min="7969" max="7969" width="11.5703125" style="231" customWidth="1"/>
    <col min="7970" max="7970" width="13" style="231" customWidth="1"/>
    <col min="7971" max="7971" width="1.42578125" style="231" customWidth="1"/>
    <col min="7972" max="7972" width="10.5703125" style="231" customWidth="1"/>
    <col min="7973" max="8204" width="11" style="231"/>
    <col min="8205" max="8205" width="1.5703125" style="231" customWidth="1"/>
    <col min="8206" max="8206" width="8.5703125" style="231" customWidth="1"/>
    <col min="8207" max="8207" width="28.7109375" style="231" customWidth="1"/>
    <col min="8208" max="8208" width="26.5703125" style="231" customWidth="1"/>
    <col min="8209" max="8209" width="7.7109375" style="231" customWidth="1"/>
    <col min="8210" max="8210" width="19.42578125" style="231" customWidth="1"/>
    <col min="8211" max="8211" width="44.28515625" style="231" customWidth="1"/>
    <col min="8212" max="8212" width="17" style="231" customWidth="1"/>
    <col min="8213" max="8213" width="15.5703125" style="231" customWidth="1"/>
    <col min="8214" max="8214" width="14.140625" style="231" customWidth="1"/>
    <col min="8215" max="8215" width="1.7109375" style="231" customWidth="1"/>
    <col min="8216" max="8216" width="13.7109375" style="231" customWidth="1"/>
    <col min="8217" max="8217" width="13.85546875" style="231" bestFit="1" customWidth="1"/>
    <col min="8218" max="8218" width="2.5703125" style="231" customWidth="1"/>
    <col min="8219" max="8219" width="12.42578125" style="231" customWidth="1"/>
    <col min="8220" max="8220" width="13.5703125" style="231" customWidth="1"/>
    <col min="8221" max="8221" width="2.5703125" style="231" customWidth="1"/>
    <col min="8222" max="8222" width="12.42578125" style="231" customWidth="1"/>
    <col min="8223" max="8223" width="13.5703125" style="231" customWidth="1"/>
    <col min="8224" max="8224" width="2.5703125" style="231" customWidth="1"/>
    <col min="8225" max="8225" width="11.5703125" style="231" customWidth="1"/>
    <col min="8226" max="8226" width="13" style="231" customWidth="1"/>
    <col min="8227" max="8227" width="1.42578125" style="231" customWidth="1"/>
    <col min="8228" max="8228" width="10.5703125" style="231" customWidth="1"/>
    <col min="8229" max="8460" width="11" style="231"/>
    <col min="8461" max="8461" width="1.5703125" style="231" customWidth="1"/>
    <col min="8462" max="8462" width="8.5703125" style="231" customWidth="1"/>
    <col min="8463" max="8463" width="28.7109375" style="231" customWidth="1"/>
    <col min="8464" max="8464" width="26.5703125" style="231" customWidth="1"/>
    <col min="8465" max="8465" width="7.7109375" style="231" customWidth="1"/>
    <col min="8466" max="8466" width="19.42578125" style="231" customWidth="1"/>
    <col min="8467" max="8467" width="44.28515625" style="231" customWidth="1"/>
    <col min="8468" max="8468" width="17" style="231" customWidth="1"/>
    <col min="8469" max="8469" width="15.5703125" style="231" customWidth="1"/>
    <col min="8470" max="8470" width="14.140625" style="231" customWidth="1"/>
    <col min="8471" max="8471" width="1.7109375" style="231" customWidth="1"/>
    <col min="8472" max="8472" width="13.7109375" style="231" customWidth="1"/>
    <col min="8473" max="8473" width="13.85546875" style="231" bestFit="1" customWidth="1"/>
    <col min="8474" max="8474" width="2.5703125" style="231" customWidth="1"/>
    <col min="8475" max="8475" width="12.42578125" style="231" customWidth="1"/>
    <col min="8476" max="8476" width="13.5703125" style="231" customWidth="1"/>
    <col min="8477" max="8477" width="2.5703125" style="231" customWidth="1"/>
    <col min="8478" max="8478" width="12.42578125" style="231" customWidth="1"/>
    <col min="8479" max="8479" width="13.5703125" style="231" customWidth="1"/>
    <col min="8480" max="8480" width="2.5703125" style="231" customWidth="1"/>
    <col min="8481" max="8481" width="11.5703125" style="231" customWidth="1"/>
    <col min="8482" max="8482" width="13" style="231" customWidth="1"/>
    <col min="8483" max="8483" width="1.42578125" style="231" customWidth="1"/>
    <col min="8484" max="8484" width="10.5703125" style="231" customWidth="1"/>
    <col min="8485" max="8716" width="11" style="231"/>
    <col min="8717" max="8717" width="1.5703125" style="231" customWidth="1"/>
    <col min="8718" max="8718" width="8.5703125" style="231" customWidth="1"/>
    <col min="8719" max="8719" width="28.7109375" style="231" customWidth="1"/>
    <col min="8720" max="8720" width="26.5703125" style="231" customWidth="1"/>
    <col min="8721" max="8721" width="7.7109375" style="231" customWidth="1"/>
    <col min="8722" max="8722" width="19.42578125" style="231" customWidth="1"/>
    <col min="8723" max="8723" width="44.28515625" style="231" customWidth="1"/>
    <col min="8724" max="8724" width="17" style="231" customWidth="1"/>
    <col min="8725" max="8725" width="15.5703125" style="231" customWidth="1"/>
    <col min="8726" max="8726" width="14.140625" style="231" customWidth="1"/>
    <col min="8727" max="8727" width="1.7109375" style="231" customWidth="1"/>
    <col min="8728" max="8728" width="13.7109375" style="231" customWidth="1"/>
    <col min="8729" max="8729" width="13.85546875" style="231" bestFit="1" customWidth="1"/>
    <col min="8730" max="8730" width="2.5703125" style="231" customWidth="1"/>
    <col min="8731" max="8731" width="12.42578125" style="231" customWidth="1"/>
    <col min="8732" max="8732" width="13.5703125" style="231" customWidth="1"/>
    <col min="8733" max="8733" width="2.5703125" style="231" customWidth="1"/>
    <col min="8734" max="8734" width="12.42578125" style="231" customWidth="1"/>
    <col min="8735" max="8735" width="13.5703125" style="231" customWidth="1"/>
    <col min="8736" max="8736" width="2.5703125" style="231" customWidth="1"/>
    <col min="8737" max="8737" width="11.5703125" style="231" customWidth="1"/>
    <col min="8738" max="8738" width="13" style="231" customWidth="1"/>
    <col min="8739" max="8739" width="1.42578125" style="231" customWidth="1"/>
    <col min="8740" max="8740" width="10.5703125" style="231" customWidth="1"/>
    <col min="8741" max="8972" width="11" style="231"/>
    <col min="8973" max="8973" width="1.5703125" style="231" customWidth="1"/>
    <col min="8974" max="8974" width="8.5703125" style="231" customWidth="1"/>
    <col min="8975" max="8975" width="28.7109375" style="231" customWidth="1"/>
    <col min="8976" max="8976" width="26.5703125" style="231" customWidth="1"/>
    <col min="8977" max="8977" width="7.7109375" style="231" customWidth="1"/>
    <col min="8978" max="8978" width="19.42578125" style="231" customWidth="1"/>
    <col min="8979" max="8979" width="44.28515625" style="231" customWidth="1"/>
    <col min="8980" max="8980" width="17" style="231" customWidth="1"/>
    <col min="8981" max="8981" width="15.5703125" style="231" customWidth="1"/>
    <col min="8982" max="8982" width="14.140625" style="231" customWidth="1"/>
    <col min="8983" max="8983" width="1.7109375" style="231" customWidth="1"/>
    <col min="8984" max="8984" width="13.7109375" style="231" customWidth="1"/>
    <col min="8985" max="8985" width="13.85546875" style="231" bestFit="1" customWidth="1"/>
    <col min="8986" max="8986" width="2.5703125" style="231" customWidth="1"/>
    <col min="8987" max="8987" width="12.42578125" style="231" customWidth="1"/>
    <col min="8988" max="8988" width="13.5703125" style="231" customWidth="1"/>
    <col min="8989" max="8989" width="2.5703125" style="231" customWidth="1"/>
    <col min="8990" max="8990" width="12.42578125" style="231" customWidth="1"/>
    <col min="8991" max="8991" width="13.5703125" style="231" customWidth="1"/>
    <col min="8992" max="8992" width="2.5703125" style="231" customWidth="1"/>
    <col min="8993" max="8993" width="11.5703125" style="231" customWidth="1"/>
    <col min="8994" max="8994" width="13" style="231" customWidth="1"/>
    <col min="8995" max="8995" width="1.42578125" style="231" customWidth="1"/>
    <col min="8996" max="8996" width="10.5703125" style="231" customWidth="1"/>
    <col min="8997" max="9228" width="11" style="231"/>
    <col min="9229" max="9229" width="1.5703125" style="231" customWidth="1"/>
    <col min="9230" max="9230" width="8.5703125" style="231" customWidth="1"/>
    <col min="9231" max="9231" width="28.7109375" style="231" customWidth="1"/>
    <col min="9232" max="9232" width="26.5703125" style="231" customWidth="1"/>
    <col min="9233" max="9233" width="7.7109375" style="231" customWidth="1"/>
    <col min="9234" max="9234" width="19.42578125" style="231" customWidth="1"/>
    <col min="9235" max="9235" width="44.28515625" style="231" customWidth="1"/>
    <col min="9236" max="9236" width="17" style="231" customWidth="1"/>
    <col min="9237" max="9237" width="15.5703125" style="231" customWidth="1"/>
    <col min="9238" max="9238" width="14.140625" style="231" customWidth="1"/>
    <col min="9239" max="9239" width="1.7109375" style="231" customWidth="1"/>
    <col min="9240" max="9240" width="13.7109375" style="231" customWidth="1"/>
    <col min="9241" max="9241" width="13.85546875" style="231" bestFit="1" customWidth="1"/>
    <col min="9242" max="9242" width="2.5703125" style="231" customWidth="1"/>
    <col min="9243" max="9243" width="12.42578125" style="231" customWidth="1"/>
    <col min="9244" max="9244" width="13.5703125" style="231" customWidth="1"/>
    <col min="9245" max="9245" width="2.5703125" style="231" customWidth="1"/>
    <col min="9246" max="9246" width="12.42578125" style="231" customWidth="1"/>
    <col min="9247" max="9247" width="13.5703125" style="231" customWidth="1"/>
    <col min="9248" max="9248" width="2.5703125" style="231" customWidth="1"/>
    <col min="9249" max="9249" width="11.5703125" style="231" customWidth="1"/>
    <col min="9250" max="9250" width="13" style="231" customWidth="1"/>
    <col min="9251" max="9251" width="1.42578125" style="231" customWidth="1"/>
    <col min="9252" max="9252" width="10.5703125" style="231" customWidth="1"/>
    <col min="9253" max="9484" width="11" style="231"/>
    <col min="9485" max="9485" width="1.5703125" style="231" customWidth="1"/>
    <col min="9486" max="9486" width="8.5703125" style="231" customWidth="1"/>
    <col min="9487" max="9487" width="28.7109375" style="231" customWidth="1"/>
    <col min="9488" max="9488" width="26.5703125" style="231" customWidth="1"/>
    <col min="9489" max="9489" width="7.7109375" style="231" customWidth="1"/>
    <col min="9490" max="9490" width="19.42578125" style="231" customWidth="1"/>
    <col min="9491" max="9491" width="44.28515625" style="231" customWidth="1"/>
    <col min="9492" max="9492" width="17" style="231" customWidth="1"/>
    <col min="9493" max="9493" width="15.5703125" style="231" customWidth="1"/>
    <col min="9494" max="9494" width="14.140625" style="231" customWidth="1"/>
    <col min="9495" max="9495" width="1.7109375" style="231" customWidth="1"/>
    <col min="9496" max="9496" width="13.7109375" style="231" customWidth="1"/>
    <col min="9497" max="9497" width="13.85546875" style="231" bestFit="1" customWidth="1"/>
    <col min="9498" max="9498" width="2.5703125" style="231" customWidth="1"/>
    <col min="9499" max="9499" width="12.42578125" style="231" customWidth="1"/>
    <col min="9500" max="9500" width="13.5703125" style="231" customWidth="1"/>
    <col min="9501" max="9501" width="2.5703125" style="231" customWidth="1"/>
    <col min="9502" max="9502" width="12.42578125" style="231" customWidth="1"/>
    <col min="9503" max="9503" width="13.5703125" style="231" customWidth="1"/>
    <col min="9504" max="9504" width="2.5703125" style="231" customWidth="1"/>
    <col min="9505" max="9505" width="11.5703125" style="231" customWidth="1"/>
    <col min="9506" max="9506" width="13" style="231" customWidth="1"/>
    <col min="9507" max="9507" width="1.42578125" style="231" customWidth="1"/>
    <col min="9508" max="9508" width="10.5703125" style="231" customWidth="1"/>
    <col min="9509" max="9740" width="11" style="231"/>
    <col min="9741" max="9741" width="1.5703125" style="231" customWidth="1"/>
    <col min="9742" max="9742" width="8.5703125" style="231" customWidth="1"/>
    <col min="9743" max="9743" width="28.7109375" style="231" customWidth="1"/>
    <col min="9744" max="9744" width="26.5703125" style="231" customWidth="1"/>
    <col min="9745" max="9745" width="7.7109375" style="231" customWidth="1"/>
    <col min="9746" max="9746" width="19.42578125" style="231" customWidth="1"/>
    <col min="9747" max="9747" width="44.28515625" style="231" customWidth="1"/>
    <col min="9748" max="9748" width="17" style="231" customWidth="1"/>
    <col min="9749" max="9749" width="15.5703125" style="231" customWidth="1"/>
    <col min="9750" max="9750" width="14.140625" style="231" customWidth="1"/>
    <col min="9751" max="9751" width="1.7109375" style="231" customWidth="1"/>
    <col min="9752" max="9752" width="13.7109375" style="231" customWidth="1"/>
    <col min="9753" max="9753" width="13.85546875" style="231" bestFit="1" customWidth="1"/>
    <col min="9754" max="9754" width="2.5703125" style="231" customWidth="1"/>
    <col min="9755" max="9755" width="12.42578125" style="231" customWidth="1"/>
    <col min="9756" max="9756" width="13.5703125" style="231" customWidth="1"/>
    <col min="9757" max="9757" width="2.5703125" style="231" customWidth="1"/>
    <col min="9758" max="9758" width="12.42578125" style="231" customWidth="1"/>
    <col min="9759" max="9759" width="13.5703125" style="231" customWidth="1"/>
    <col min="9760" max="9760" width="2.5703125" style="231" customWidth="1"/>
    <col min="9761" max="9761" width="11.5703125" style="231" customWidth="1"/>
    <col min="9762" max="9762" width="13" style="231" customWidth="1"/>
    <col min="9763" max="9763" width="1.42578125" style="231" customWidth="1"/>
    <col min="9764" max="9764" width="10.5703125" style="231" customWidth="1"/>
    <col min="9765" max="9996" width="11" style="231"/>
    <col min="9997" max="9997" width="1.5703125" style="231" customWidth="1"/>
    <col min="9998" max="9998" width="8.5703125" style="231" customWidth="1"/>
    <col min="9999" max="9999" width="28.7109375" style="231" customWidth="1"/>
    <col min="10000" max="10000" width="26.5703125" style="231" customWidth="1"/>
    <col min="10001" max="10001" width="7.7109375" style="231" customWidth="1"/>
    <col min="10002" max="10002" width="19.42578125" style="231" customWidth="1"/>
    <col min="10003" max="10003" width="44.28515625" style="231" customWidth="1"/>
    <col min="10004" max="10004" width="17" style="231" customWidth="1"/>
    <col min="10005" max="10005" width="15.5703125" style="231" customWidth="1"/>
    <col min="10006" max="10006" width="14.140625" style="231" customWidth="1"/>
    <col min="10007" max="10007" width="1.7109375" style="231" customWidth="1"/>
    <col min="10008" max="10008" width="13.7109375" style="231" customWidth="1"/>
    <col min="10009" max="10009" width="13.85546875" style="231" bestFit="1" customWidth="1"/>
    <col min="10010" max="10010" width="2.5703125" style="231" customWidth="1"/>
    <col min="10011" max="10011" width="12.42578125" style="231" customWidth="1"/>
    <col min="10012" max="10012" width="13.5703125" style="231" customWidth="1"/>
    <col min="10013" max="10013" width="2.5703125" style="231" customWidth="1"/>
    <col min="10014" max="10014" width="12.42578125" style="231" customWidth="1"/>
    <col min="10015" max="10015" width="13.5703125" style="231" customWidth="1"/>
    <col min="10016" max="10016" width="2.5703125" style="231" customWidth="1"/>
    <col min="10017" max="10017" width="11.5703125" style="231" customWidth="1"/>
    <col min="10018" max="10018" width="13" style="231" customWidth="1"/>
    <col min="10019" max="10019" width="1.42578125" style="231" customWidth="1"/>
    <col min="10020" max="10020" width="10.5703125" style="231" customWidth="1"/>
    <col min="10021" max="10252" width="11" style="231"/>
    <col min="10253" max="10253" width="1.5703125" style="231" customWidth="1"/>
    <col min="10254" max="10254" width="8.5703125" style="231" customWidth="1"/>
    <col min="10255" max="10255" width="28.7109375" style="231" customWidth="1"/>
    <col min="10256" max="10256" width="26.5703125" style="231" customWidth="1"/>
    <col min="10257" max="10257" width="7.7109375" style="231" customWidth="1"/>
    <col min="10258" max="10258" width="19.42578125" style="231" customWidth="1"/>
    <col min="10259" max="10259" width="44.28515625" style="231" customWidth="1"/>
    <col min="10260" max="10260" width="17" style="231" customWidth="1"/>
    <col min="10261" max="10261" width="15.5703125" style="231" customWidth="1"/>
    <col min="10262" max="10262" width="14.140625" style="231" customWidth="1"/>
    <col min="10263" max="10263" width="1.7109375" style="231" customWidth="1"/>
    <col min="10264" max="10264" width="13.7109375" style="231" customWidth="1"/>
    <col min="10265" max="10265" width="13.85546875" style="231" bestFit="1" customWidth="1"/>
    <col min="10266" max="10266" width="2.5703125" style="231" customWidth="1"/>
    <col min="10267" max="10267" width="12.42578125" style="231" customWidth="1"/>
    <col min="10268" max="10268" width="13.5703125" style="231" customWidth="1"/>
    <col min="10269" max="10269" width="2.5703125" style="231" customWidth="1"/>
    <col min="10270" max="10270" width="12.42578125" style="231" customWidth="1"/>
    <col min="10271" max="10271" width="13.5703125" style="231" customWidth="1"/>
    <col min="10272" max="10272" width="2.5703125" style="231" customWidth="1"/>
    <col min="10273" max="10273" width="11.5703125" style="231" customWidth="1"/>
    <col min="10274" max="10274" width="13" style="231" customWidth="1"/>
    <col min="10275" max="10275" width="1.42578125" style="231" customWidth="1"/>
    <col min="10276" max="10276" width="10.5703125" style="231" customWidth="1"/>
    <col min="10277" max="10508" width="11" style="231"/>
    <col min="10509" max="10509" width="1.5703125" style="231" customWidth="1"/>
    <col min="10510" max="10510" width="8.5703125" style="231" customWidth="1"/>
    <col min="10511" max="10511" width="28.7109375" style="231" customWidth="1"/>
    <col min="10512" max="10512" width="26.5703125" style="231" customWidth="1"/>
    <col min="10513" max="10513" width="7.7109375" style="231" customWidth="1"/>
    <col min="10514" max="10514" width="19.42578125" style="231" customWidth="1"/>
    <col min="10515" max="10515" width="44.28515625" style="231" customWidth="1"/>
    <col min="10516" max="10516" width="17" style="231" customWidth="1"/>
    <col min="10517" max="10517" width="15.5703125" style="231" customWidth="1"/>
    <col min="10518" max="10518" width="14.140625" style="231" customWidth="1"/>
    <col min="10519" max="10519" width="1.7109375" style="231" customWidth="1"/>
    <col min="10520" max="10520" width="13.7109375" style="231" customWidth="1"/>
    <col min="10521" max="10521" width="13.85546875" style="231" bestFit="1" customWidth="1"/>
    <col min="10522" max="10522" width="2.5703125" style="231" customWidth="1"/>
    <col min="10523" max="10523" width="12.42578125" style="231" customWidth="1"/>
    <col min="10524" max="10524" width="13.5703125" style="231" customWidth="1"/>
    <col min="10525" max="10525" width="2.5703125" style="231" customWidth="1"/>
    <col min="10526" max="10526" width="12.42578125" style="231" customWidth="1"/>
    <col min="10527" max="10527" width="13.5703125" style="231" customWidth="1"/>
    <col min="10528" max="10528" width="2.5703125" style="231" customWidth="1"/>
    <col min="10529" max="10529" width="11.5703125" style="231" customWidth="1"/>
    <col min="10530" max="10530" width="13" style="231" customWidth="1"/>
    <col min="10531" max="10531" width="1.42578125" style="231" customWidth="1"/>
    <col min="10532" max="10532" width="10.5703125" style="231" customWidth="1"/>
    <col min="10533" max="10764" width="11" style="231"/>
    <col min="10765" max="10765" width="1.5703125" style="231" customWidth="1"/>
    <col min="10766" max="10766" width="8.5703125" style="231" customWidth="1"/>
    <col min="10767" max="10767" width="28.7109375" style="231" customWidth="1"/>
    <col min="10768" max="10768" width="26.5703125" style="231" customWidth="1"/>
    <col min="10769" max="10769" width="7.7109375" style="231" customWidth="1"/>
    <col min="10770" max="10770" width="19.42578125" style="231" customWidth="1"/>
    <col min="10771" max="10771" width="44.28515625" style="231" customWidth="1"/>
    <col min="10772" max="10772" width="17" style="231" customWidth="1"/>
    <col min="10773" max="10773" width="15.5703125" style="231" customWidth="1"/>
    <col min="10774" max="10774" width="14.140625" style="231" customWidth="1"/>
    <col min="10775" max="10775" width="1.7109375" style="231" customWidth="1"/>
    <col min="10776" max="10776" width="13.7109375" style="231" customWidth="1"/>
    <col min="10777" max="10777" width="13.85546875" style="231" bestFit="1" customWidth="1"/>
    <col min="10778" max="10778" width="2.5703125" style="231" customWidth="1"/>
    <col min="10779" max="10779" width="12.42578125" style="231" customWidth="1"/>
    <col min="10780" max="10780" width="13.5703125" style="231" customWidth="1"/>
    <col min="10781" max="10781" width="2.5703125" style="231" customWidth="1"/>
    <col min="10782" max="10782" width="12.42578125" style="231" customWidth="1"/>
    <col min="10783" max="10783" width="13.5703125" style="231" customWidth="1"/>
    <col min="10784" max="10784" width="2.5703125" style="231" customWidth="1"/>
    <col min="10785" max="10785" width="11.5703125" style="231" customWidth="1"/>
    <col min="10786" max="10786" width="13" style="231" customWidth="1"/>
    <col min="10787" max="10787" width="1.42578125" style="231" customWidth="1"/>
    <col min="10788" max="10788" width="10.5703125" style="231" customWidth="1"/>
    <col min="10789" max="11020" width="11" style="231"/>
    <col min="11021" max="11021" width="1.5703125" style="231" customWidth="1"/>
    <col min="11022" max="11022" width="8.5703125" style="231" customWidth="1"/>
    <col min="11023" max="11023" width="28.7109375" style="231" customWidth="1"/>
    <col min="11024" max="11024" width="26.5703125" style="231" customWidth="1"/>
    <col min="11025" max="11025" width="7.7109375" style="231" customWidth="1"/>
    <col min="11026" max="11026" width="19.42578125" style="231" customWidth="1"/>
    <col min="11027" max="11027" width="44.28515625" style="231" customWidth="1"/>
    <col min="11028" max="11028" width="17" style="231" customWidth="1"/>
    <col min="11029" max="11029" width="15.5703125" style="231" customWidth="1"/>
    <col min="11030" max="11030" width="14.140625" style="231" customWidth="1"/>
    <col min="11031" max="11031" width="1.7109375" style="231" customWidth="1"/>
    <col min="11032" max="11032" width="13.7109375" style="231" customWidth="1"/>
    <col min="11033" max="11033" width="13.85546875" style="231" bestFit="1" customWidth="1"/>
    <col min="11034" max="11034" width="2.5703125" style="231" customWidth="1"/>
    <col min="11035" max="11035" width="12.42578125" style="231" customWidth="1"/>
    <col min="11036" max="11036" width="13.5703125" style="231" customWidth="1"/>
    <col min="11037" max="11037" width="2.5703125" style="231" customWidth="1"/>
    <col min="11038" max="11038" width="12.42578125" style="231" customWidth="1"/>
    <col min="11039" max="11039" width="13.5703125" style="231" customWidth="1"/>
    <col min="11040" max="11040" width="2.5703125" style="231" customWidth="1"/>
    <col min="11041" max="11041" width="11.5703125" style="231" customWidth="1"/>
    <col min="11042" max="11042" width="13" style="231" customWidth="1"/>
    <col min="11043" max="11043" width="1.42578125" style="231" customWidth="1"/>
    <col min="11044" max="11044" width="10.5703125" style="231" customWidth="1"/>
    <col min="11045" max="11276" width="11" style="231"/>
    <col min="11277" max="11277" width="1.5703125" style="231" customWidth="1"/>
    <col min="11278" max="11278" width="8.5703125" style="231" customWidth="1"/>
    <col min="11279" max="11279" width="28.7109375" style="231" customWidth="1"/>
    <col min="11280" max="11280" width="26.5703125" style="231" customWidth="1"/>
    <col min="11281" max="11281" width="7.7109375" style="231" customWidth="1"/>
    <col min="11282" max="11282" width="19.42578125" style="231" customWidth="1"/>
    <col min="11283" max="11283" width="44.28515625" style="231" customWidth="1"/>
    <col min="11284" max="11284" width="17" style="231" customWidth="1"/>
    <col min="11285" max="11285" width="15.5703125" style="231" customWidth="1"/>
    <col min="11286" max="11286" width="14.140625" style="231" customWidth="1"/>
    <col min="11287" max="11287" width="1.7109375" style="231" customWidth="1"/>
    <col min="11288" max="11288" width="13.7109375" style="231" customWidth="1"/>
    <col min="11289" max="11289" width="13.85546875" style="231" bestFit="1" customWidth="1"/>
    <col min="11290" max="11290" width="2.5703125" style="231" customWidth="1"/>
    <col min="11291" max="11291" width="12.42578125" style="231" customWidth="1"/>
    <col min="11292" max="11292" width="13.5703125" style="231" customWidth="1"/>
    <col min="11293" max="11293" width="2.5703125" style="231" customWidth="1"/>
    <col min="11294" max="11294" width="12.42578125" style="231" customWidth="1"/>
    <col min="11295" max="11295" width="13.5703125" style="231" customWidth="1"/>
    <col min="11296" max="11296" width="2.5703125" style="231" customWidth="1"/>
    <col min="11297" max="11297" width="11.5703125" style="231" customWidth="1"/>
    <col min="11298" max="11298" width="13" style="231" customWidth="1"/>
    <col min="11299" max="11299" width="1.42578125" style="231" customWidth="1"/>
    <col min="11300" max="11300" width="10.5703125" style="231" customWidth="1"/>
    <col min="11301" max="11532" width="11" style="231"/>
    <col min="11533" max="11533" width="1.5703125" style="231" customWidth="1"/>
    <col min="11534" max="11534" width="8.5703125" style="231" customWidth="1"/>
    <col min="11535" max="11535" width="28.7109375" style="231" customWidth="1"/>
    <col min="11536" max="11536" width="26.5703125" style="231" customWidth="1"/>
    <col min="11537" max="11537" width="7.7109375" style="231" customWidth="1"/>
    <col min="11538" max="11538" width="19.42578125" style="231" customWidth="1"/>
    <col min="11539" max="11539" width="44.28515625" style="231" customWidth="1"/>
    <col min="11540" max="11540" width="17" style="231" customWidth="1"/>
    <col min="11541" max="11541" width="15.5703125" style="231" customWidth="1"/>
    <col min="11542" max="11542" width="14.140625" style="231" customWidth="1"/>
    <col min="11543" max="11543" width="1.7109375" style="231" customWidth="1"/>
    <col min="11544" max="11544" width="13.7109375" style="231" customWidth="1"/>
    <col min="11545" max="11545" width="13.85546875" style="231" bestFit="1" customWidth="1"/>
    <col min="11546" max="11546" width="2.5703125" style="231" customWidth="1"/>
    <col min="11547" max="11547" width="12.42578125" style="231" customWidth="1"/>
    <col min="11548" max="11548" width="13.5703125" style="231" customWidth="1"/>
    <col min="11549" max="11549" width="2.5703125" style="231" customWidth="1"/>
    <col min="11550" max="11550" width="12.42578125" style="231" customWidth="1"/>
    <col min="11551" max="11551" width="13.5703125" style="231" customWidth="1"/>
    <col min="11552" max="11552" width="2.5703125" style="231" customWidth="1"/>
    <col min="11553" max="11553" width="11.5703125" style="231" customWidth="1"/>
    <col min="11554" max="11554" width="13" style="231" customWidth="1"/>
    <col min="11555" max="11555" width="1.42578125" style="231" customWidth="1"/>
    <col min="11556" max="11556" width="10.5703125" style="231" customWidth="1"/>
    <col min="11557" max="11788" width="11" style="231"/>
    <col min="11789" max="11789" width="1.5703125" style="231" customWidth="1"/>
    <col min="11790" max="11790" width="8.5703125" style="231" customWidth="1"/>
    <col min="11791" max="11791" width="28.7109375" style="231" customWidth="1"/>
    <col min="11792" max="11792" width="26.5703125" style="231" customWidth="1"/>
    <col min="11793" max="11793" width="7.7109375" style="231" customWidth="1"/>
    <col min="11794" max="11794" width="19.42578125" style="231" customWidth="1"/>
    <col min="11795" max="11795" width="44.28515625" style="231" customWidth="1"/>
    <col min="11796" max="11796" width="17" style="231" customWidth="1"/>
    <col min="11797" max="11797" width="15.5703125" style="231" customWidth="1"/>
    <col min="11798" max="11798" width="14.140625" style="231" customWidth="1"/>
    <col min="11799" max="11799" width="1.7109375" style="231" customWidth="1"/>
    <col min="11800" max="11800" width="13.7109375" style="231" customWidth="1"/>
    <col min="11801" max="11801" width="13.85546875" style="231" bestFit="1" customWidth="1"/>
    <col min="11802" max="11802" width="2.5703125" style="231" customWidth="1"/>
    <col min="11803" max="11803" width="12.42578125" style="231" customWidth="1"/>
    <col min="11804" max="11804" width="13.5703125" style="231" customWidth="1"/>
    <col min="11805" max="11805" width="2.5703125" style="231" customWidth="1"/>
    <col min="11806" max="11806" width="12.42578125" style="231" customWidth="1"/>
    <col min="11807" max="11807" width="13.5703125" style="231" customWidth="1"/>
    <col min="11808" max="11808" width="2.5703125" style="231" customWidth="1"/>
    <col min="11809" max="11809" width="11.5703125" style="231" customWidth="1"/>
    <col min="11810" max="11810" width="13" style="231" customWidth="1"/>
    <col min="11811" max="11811" width="1.42578125" style="231" customWidth="1"/>
    <col min="11812" max="11812" width="10.5703125" style="231" customWidth="1"/>
    <col min="11813" max="12044" width="11" style="231"/>
    <col min="12045" max="12045" width="1.5703125" style="231" customWidth="1"/>
    <col min="12046" max="12046" width="8.5703125" style="231" customWidth="1"/>
    <col min="12047" max="12047" width="28.7109375" style="231" customWidth="1"/>
    <col min="12048" max="12048" width="26.5703125" style="231" customWidth="1"/>
    <col min="12049" max="12049" width="7.7109375" style="231" customWidth="1"/>
    <col min="12050" max="12050" width="19.42578125" style="231" customWidth="1"/>
    <col min="12051" max="12051" width="44.28515625" style="231" customWidth="1"/>
    <col min="12052" max="12052" width="17" style="231" customWidth="1"/>
    <col min="12053" max="12053" width="15.5703125" style="231" customWidth="1"/>
    <col min="12054" max="12054" width="14.140625" style="231" customWidth="1"/>
    <col min="12055" max="12055" width="1.7109375" style="231" customWidth="1"/>
    <col min="12056" max="12056" width="13.7109375" style="231" customWidth="1"/>
    <col min="12057" max="12057" width="13.85546875" style="231" bestFit="1" customWidth="1"/>
    <col min="12058" max="12058" width="2.5703125" style="231" customWidth="1"/>
    <col min="12059" max="12059" width="12.42578125" style="231" customWidth="1"/>
    <col min="12060" max="12060" width="13.5703125" style="231" customWidth="1"/>
    <col min="12061" max="12061" width="2.5703125" style="231" customWidth="1"/>
    <col min="12062" max="12062" width="12.42578125" style="231" customWidth="1"/>
    <col min="12063" max="12063" width="13.5703125" style="231" customWidth="1"/>
    <col min="12064" max="12064" width="2.5703125" style="231" customWidth="1"/>
    <col min="12065" max="12065" width="11.5703125" style="231" customWidth="1"/>
    <col min="12066" max="12066" width="13" style="231" customWidth="1"/>
    <col min="12067" max="12067" width="1.42578125" style="231" customWidth="1"/>
    <col min="12068" max="12068" width="10.5703125" style="231" customWidth="1"/>
    <col min="12069" max="12300" width="11" style="231"/>
    <col min="12301" max="12301" width="1.5703125" style="231" customWidth="1"/>
    <col min="12302" max="12302" width="8.5703125" style="231" customWidth="1"/>
    <col min="12303" max="12303" width="28.7109375" style="231" customWidth="1"/>
    <col min="12304" max="12304" width="26.5703125" style="231" customWidth="1"/>
    <col min="12305" max="12305" width="7.7109375" style="231" customWidth="1"/>
    <col min="12306" max="12306" width="19.42578125" style="231" customWidth="1"/>
    <col min="12307" max="12307" width="44.28515625" style="231" customWidth="1"/>
    <col min="12308" max="12308" width="17" style="231" customWidth="1"/>
    <col min="12309" max="12309" width="15.5703125" style="231" customWidth="1"/>
    <col min="12310" max="12310" width="14.140625" style="231" customWidth="1"/>
    <col min="12311" max="12311" width="1.7109375" style="231" customWidth="1"/>
    <col min="12312" max="12312" width="13.7109375" style="231" customWidth="1"/>
    <col min="12313" max="12313" width="13.85546875" style="231" bestFit="1" customWidth="1"/>
    <col min="12314" max="12314" width="2.5703125" style="231" customWidth="1"/>
    <col min="12315" max="12315" width="12.42578125" style="231" customWidth="1"/>
    <col min="12316" max="12316" width="13.5703125" style="231" customWidth="1"/>
    <col min="12317" max="12317" width="2.5703125" style="231" customWidth="1"/>
    <col min="12318" max="12318" width="12.42578125" style="231" customWidth="1"/>
    <col min="12319" max="12319" width="13.5703125" style="231" customWidth="1"/>
    <col min="12320" max="12320" width="2.5703125" style="231" customWidth="1"/>
    <col min="12321" max="12321" width="11.5703125" style="231" customWidth="1"/>
    <col min="12322" max="12322" width="13" style="231" customWidth="1"/>
    <col min="12323" max="12323" width="1.42578125" style="231" customWidth="1"/>
    <col min="12324" max="12324" width="10.5703125" style="231" customWidth="1"/>
    <col min="12325" max="12556" width="11" style="231"/>
    <col min="12557" max="12557" width="1.5703125" style="231" customWidth="1"/>
    <col min="12558" max="12558" width="8.5703125" style="231" customWidth="1"/>
    <col min="12559" max="12559" width="28.7109375" style="231" customWidth="1"/>
    <col min="12560" max="12560" width="26.5703125" style="231" customWidth="1"/>
    <col min="12561" max="12561" width="7.7109375" style="231" customWidth="1"/>
    <col min="12562" max="12562" width="19.42578125" style="231" customWidth="1"/>
    <col min="12563" max="12563" width="44.28515625" style="231" customWidth="1"/>
    <col min="12564" max="12564" width="17" style="231" customWidth="1"/>
    <col min="12565" max="12565" width="15.5703125" style="231" customWidth="1"/>
    <col min="12566" max="12566" width="14.140625" style="231" customWidth="1"/>
    <col min="12567" max="12567" width="1.7109375" style="231" customWidth="1"/>
    <col min="12568" max="12568" width="13.7109375" style="231" customWidth="1"/>
    <col min="12569" max="12569" width="13.85546875" style="231" bestFit="1" customWidth="1"/>
    <col min="12570" max="12570" width="2.5703125" style="231" customWidth="1"/>
    <col min="12571" max="12571" width="12.42578125" style="231" customWidth="1"/>
    <col min="12572" max="12572" width="13.5703125" style="231" customWidth="1"/>
    <col min="12573" max="12573" width="2.5703125" style="231" customWidth="1"/>
    <col min="12574" max="12574" width="12.42578125" style="231" customWidth="1"/>
    <col min="12575" max="12575" width="13.5703125" style="231" customWidth="1"/>
    <col min="12576" max="12576" width="2.5703125" style="231" customWidth="1"/>
    <col min="12577" max="12577" width="11.5703125" style="231" customWidth="1"/>
    <col min="12578" max="12578" width="13" style="231" customWidth="1"/>
    <col min="12579" max="12579" width="1.42578125" style="231" customWidth="1"/>
    <col min="12580" max="12580" width="10.5703125" style="231" customWidth="1"/>
    <col min="12581" max="12812" width="11" style="231"/>
    <col min="12813" max="12813" width="1.5703125" style="231" customWidth="1"/>
    <col min="12814" max="12814" width="8.5703125" style="231" customWidth="1"/>
    <col min="12815" max="12815" width="28.7109375" style="231" customWidth="1"/>
    <col min="12816" max="12816" width="26.5703125" style="231" customWidth="1"/>
    <col min="12817" max="12817" width="7.7109375" style="231" customWidth="1"/>
    <col min="12818" max="12818" width="19.42578125" style="231" customWidth="1"/>
    <col min="12819" max="12819" width="44.28515625" style="231" customWidth="1"/>
    <col min="12820" max="12820" width="17" style="231" customWidth="1"/>
    <col min="12821" max="12821" width="15.5703125" style="231" customWidth="1"/>
    <col min="12822" max="12822" width="14.140625" style="231" customWidth="1"/>
    <col min="12823" max="12823" width="1.7109375" style="231" customWidth="1"/>
    <col min="12824" max="12824" width="13.7109375" style="231" customWidth="1"/>
    <col min="12825" max="12825" width="13.85546875" style="231" bestFit="1" customWidth="1"/>
    <col min="12826" max="12826" width="2.5703125" style="231" customWidth="1"/>
    <col min="12827" max="12827" width="12.42578125" style="231" customWidth="1"/>
    <col min="12828" max="12828" width="13.5703125" style="231" customWidth="1"/>
    <col min="12829" max="12829" width="2.5703125" style="231" customWidth="1"/>
    <col min="12830" max="12830" width="12.42578125" style="231" customWidth="1"/>
    <col min="12831" max="12831" width="13.5703125" style="231" customWidth="1"/>
    <col min="12832" max="12832" width="2.5703125" style="231" customWidth="1"/>
    <col min="12833" max="12833" width="11.5703125" style="231" customWidth="1"/>
    <col min="12834" max="12834" width="13" style="231" customWidth="1"/>
    <col min="12835" max="12835" width="1.42578125" style="231" customWidth="1"/>
    <col min="12836" max="12836" width="10.5703125" style="231" customWidth="1"/>
    <col min="12837" max="13068" width="11" style="231"/>
    <col min="13069" max="13069" width="1.5703125" style="231" customWidth="1"/>
    <col min="13070" max="13070" width="8.5703125" style="231" customWidth="1"/>
    <col min="13071" max="13071" width="28.7109375" style="231" customWidth="1"/>
    <col min="13072" max="13072" width="26.5703125" style="231" customWidth="1"/>
    <col min="13073" max="13073" width="7.7109375" style="231" customWidth="1"/>
    <col min="13074" max="13074" width="19.42578125" style="231" customWidth="1"/>
    <col min="13075" max="13075" width="44.28515625" style="231" customWidth="1"/>
    <col min="13076" max="13076" width="17" style="231" customWidth="1"/>
    <col min="13077" max="13077" width="15.5703125" style="231" customWidth="1"/>
    <col min="13078" max="13078" width="14.140625" style="231" customWidth="1"/>
    <col min="13079" max="13079" width="1.7109375" style="231" customWidth="1"/>
    <col min="13080" max="13080" width="13.7109375" style="231" customWidth="1"/>
    <col min="13081" max="13081" width="13.85546875" style="231" bestFit="1" customWidth="1"/>
    <col min="13082" max="13082" width="2.5703125" style="231" customWidth="1"/>
    <col min="13083" max="13083" width="12.42578125" style="231" customWidth="1"/>
    <col min="13084" max="13084" width="13.5703125" style="231" customWidth="1"/>
    <col min="13085" max="13085" width="2.5703125" style="231" customWidth="1"/>
    <col min="13086" max="13086" width="12.42578125" style="231" customWidth="1"/>
    <col min="13087" max="13087" width="13.5703125" style="231" customWidth="1"/>
    <col min="13088" max="13088" width="2.5703125" style="231" customWidth="1"/>
    <col min="13089" max="13089" width="11.5703125" style="231" customWidth="1"/>
    <col min="13090" max="13090" width="13" style="231" customWidth="1"/>
    <col min="13091" max="13091" width="1.42578125" style="231" customWidth="1"/>
    <col min="13092" max="13092" width="10.5703125" style="231" customWidth="1"/>
    <col min="13093" max="13324" width="11" style="231"/>
    <col min="13325" max="13325" width="1.5703125" style="231" customWidth="1"/>
    <col min="13326" max="13326" width="8.5703125" style="231" customWidth="1"/>
    <col min="13327" max="13327" width="28.7109375" style="231" customWidth="1"/>
    <col min="13328" max="13328" width="26.5703125" style="231" customWidth="1"/>
    <col min="13329" max="13329" width="7.7109375" style="231" customWidth="1"/>
    <col min="13330" max="13330" width="19.42578125" style="231" customWidth="1"/>
    <col min="13331" max="13331" width="44.28515625" style="231" customWidth="1"/>
    <col min="13332" max="13332" width="17" style="231" customWidth="1"/>
    <col min="13333" max="13333" width="15.5703125" style="231" customWidth="1"/>
    <col min="13334" max="13334" width="14.140625" style="231" customWidth="1"/>
    <col min="13335" max="13335" width="1.7109375" style="231" customWidth="1"/>
    <col min="13336" max="13336" width="13.7109375" style="231" customWidth="1"/>
    <col min="13337" max="13337" width="13.85546875" style="231" bestFit="1" customWidth="1"/>
    <col min="13338" max="13338" width="2.5703125" style="231" customWidth="1"/>
    <col min="13339" max="13339" width="12.42578125" style="231" customWidth="1"/>
    <col min="13340" max="13340" width="13.5703125" style="231" customWidth="1"/>
    <col min="13341" max="13341" width="2.5703125" style="231" customWidth="1"/>
    <col min="13342" max="13342" width="12.42578125" style="231" customWidth="1"/>
    <col min="13343" max="13343" width="13.5703125" style="231" customWidth="1"/>
    <col min="13344" max="13344" width="2.5703125" style="231" customWidth="1"/>
    <col min="13345" max="13345" width="11.5703125" style="231" customWidth="1"/>
    <col min="13346" max="13346" width="13" style="231" customWidth="1"/>
    <col min="13347" max="13347" width="1.42578125" style="231" customWidth="1"/>
    <col min="13348" max="13348" width="10.5703125" style="231" customWidth="1"/>
    <col min="13349" max="13580" width="11" style="231"/>
    <col min="13581" max="13581" width="1.5703125" style="231" customWidth="1"/>
    <col min="13582" max="13582" width="8.5703125" style="231" customWidth="1"/>
    <col min="13583" max="13583" width="28.7109375" style="231" customWidth="1"/>
    <col min="13584" max="13584" width="26.5703125" style="231" customWidth="1"/>
    <col min="13585" max="13585" width="7.7109375" style="231" customWidth="1"/>
    <col min="13586" max="13586" width="19.42578125" style="231" customWidth="1"/>
    <col min="13587" max="13587" width="44.28515625" style="231" customWidth="1"/>
    <col min="13588" max="13588" width="17" style="231" customWidth="1"/>
    <col min="13589" max="13589" width="15.5703125" style="231" customWidth="1"/>
    <col min="13590" max="13590" width="14.140625" style="231" customWidth="1"/>
    <col min="13591" max="13591" width="1.7109375" style="231" customWidth="1"/>
    <col min="13592" max="13592" width="13.7109375" style="231" customWidth="1"/>
    <col min="13593" max="13593" width="13.85546875" style="231" bestFit="1" customWidth="1"/>
    <col min="13594" max="13594" width="2.5703125" style="231" customWidth="1"/>
    <col min="13595" max="13595" width="12.42578125" style="231" customWidth="1"/>
    <col min="13596" max="13596" width="13.5703125" style="231" customWidth="1"/>
    <col min="13597" max="13597" width="2.5703125" style="231" customWidth="1"/>
    <col min="13598" max="13598" width="12.42578125" style="231" customWidth="1"/>
    <col min="13599" max="13599" width="13.5703125" style="231" customWidth="1"/>
    <col min="13600" max="13600" width="2.5703125" style="231" customWidth="1"/>
    <col min="13601" max="13601" width="11.5703125" style="231" customWidth="1"/>
    <col min="13602" max="13602" width="13" style="231" customWidth="1"/>
    <col min="13603" max="13603" width="1.42578125" style="231" customWidth="1"/>
    <col min="13604" max="13604" width="10.5703125" style="231" customWidth="1"/>
    <col min="13605" max="13836" width="11" style="231"/>
    <col min="13837" max="13837" width="1.5703125" style="231" customWidth="1"/>
    <col min="13838" max="13838" width="8.5703125" style="231" customWidth="1"/>
    <col min="13839" max="13839" width="28.7109375" style="231" customWidth="1"/>
    <col min="13840" max="13840" width="26.5703125" style="231" customWidth="1"/>
    <col min="13841" max="13841" width="7.7109375" style="231" customWidth="1"/>
    <col min="13842" max="13842" width="19.42578125" style="231" customWidth="1"/>
    <col min="13843" max="13843" width="44.28515625" style="231" customWidth="1"/>
    <col min="13844" max="13844" width="17" style="231" customWidth="1"/>
    <col min="13845" max="13845" width="15.5703125" style="231" customWidth="1"/>
    <col min="13846" max="13846" width="14.140625" style="231" customWidth="1"/>
    <col min="13847" max="13847" width="1.7109375" style="231" customWidth="1"/>
    <col min="13848" max="13848" width="13.7109375" style="231" customWidth="1"/>
    <col min="13849" max="13849" width="13.85546875" style="231" bestFit="1" customWidth="1"/>
    <col min="13850" max="13850" width="2.5703125" style="231" customWidth="1"/>
    <col min="13851" max="13851" width="12.42578125" style="231" customWidth="1"/>
    <col min="13852" max="13852" width="13.5703125" style="231" customWidth="1"/>
    <col min="13853" max="13853" width="2.5703125" style="231" customWidth="1"/>
    <col min="13854" max="13854" width="12.42578125" style="231" customWidth="1"/>
    <col min="13855" max="13855" width="13.5703125" style="231" customWidth="1"/>
    <col min="13856" max="13856" width="2.5703125" style="231" customWidth="1"/>
    <col min="13857" max="13857" width="11.5703125" style="231" customWidth="1"/>
    <col min="13858" max="13858" width="13" style="231" customWidth="1"/>
    <col min="13859" max="13859" width="1.42578125" style="231" customWidth="1"/>
    <col min="13860" max="13860" width="10.5703125" style="231" customWidth="1"/>
    <col min="13861" max="14092" width="11" style="231"/>
    <col min="14093" max="14093" width="1.5703125" style="231" customWidth="1"/>
    <col min="14094" max="14094" width="8.5703125" style="231" customWidth="1"/>
    <col min="14095" max="14095" width="28.7109375" style="231" customWidth="1"/>
    <col min="14096" max="14096" width="26.5703125" style="231" customWidth="1"/>
    <col min="14097" max="14097" width="7.7109375" style="231" customWidth="1"/>
    <col min="14098" max="14098" width="19.42578125" style="231" customWidth="1"/>
    <col min="14099" max="14099" width="44.28515625" style="231" customWidth="1"/>
    <col min="14100" max="14100" width="17" style="231" customWidth="1"/>
    <col min="14101" max="14101" width="15.5703125" style="231" customWidth="1"/>
    <col min="14102" max="14102" width="14.140625" style="231" customWidth="1"/>
    <col min="14103" max="14103" width="1.7109375" style="231" customWidth="1"/>
    <col min="14104" max="14104" width="13.7109375" style="231" customWidth="1"/>
    <col min="14105" max="14105" width="13.85546875" style="231" bestFit="1" customWidth="1"/>
    <col min="14106" max="14106" width="2.5703125" style="231" customWidth="1"/>
    <col min="14107" max="14107" width="12.42578125" style="231" customWidth="1"/>
    <col min="14108" max="14108" width="13.5703125" style="231" customWidth="1"/>
    <col min="14109" max="14109" width="2.5703125" style="231" customWidth="1"/>
    <col min="14110" max="14110" width="12.42578125" style="231" customWidth="1"/>
    <col min="14111" max="14111" width="13.5703125" style="231" customWidth="1"/>
    <col min="14112" max="14112" width="2.5703125" style="231" customWidth="1"/>
    <col min="14113" max="14113" width="11.5703125" style="231" customWidth="1"/>
    <col min="14114" max="14114" width="13" style="231" customWidth="1"/>
    <col min="14115" max="14115" width="1.42578125" style="231" customWidth="1"/>
    <col min="14116" max="14116" width="10.5703125" style="231" customWidth="1"/>
    <col min="14117" max="14348" width="11" style="231"/>
    <col min="14349" max="14349" width="1.5703125" style="231" customWidth="1"/>
    <col min="14350" max="14350" width="8.5703125" style="231" customWidth="1"/>
    <col min="14351" max="14351" width="28.7109375" style="231" customWidth="1"/>
    <col min="14352" max="14352" width="26.5703125" style="231" customWidth="1"/>
    <col min="14353" max="14353" width="7.7109375" style="231" customWidth="1"/>
    <col min="14354" max="14354" width="19.42578125" style="231" customWidth="1"/>
    <col min="14355" max="14355" width="44.28515625" style="231" customWidth="1"/>
    <col min="14356" max="14356" width="17" style="231" customWidth="1"/>
    <col min="14357" max="14357" width="15.5703125" style="231" customWidth="1"/>
    <col min="14358" max="14358" width="14.140625" style="231" customWidth="1"/>
    <col min="14359" max="14359" width="1.7109375" style="231" customWidth="1"/>
    <col min="14360" max="14360" width="13.7109375" style="231" customWidth="1"/>
    <col min="14361" max="14361" width="13.85546875" style="231" bestFit="1" customWidth="1"/>
    <col min="14362" max="14362" width="2.5703125" style="231" customWidth="1"/>
    <col min="14363" max="14363" width="12.42578125" style="231" customWidth="1"/>
    <col min="14364" max="14364" width="13.5703125" style="231" customWidth="1"/>
    <col min="14365" max="14365" width="2.5703125" style="231" customWidth="1"/>
    <col min="14366" max="14366" width="12.42578125" style="231" customWidth="1"/>
    <col min="14367" max="14367" width="13.5703125" style="231" customWidth="1"/>
    <col min="14368" max="14368" width="2.5703125" style="231" customWidth="1"/>
    <col min="14369" max="14369" width="11.5703125" style="231" customWidth="1"/>
    <col min="14370" max="14370" width="13" style="231" customWidth="1"/>
    <col min="14371" max="14371" width="1.42578125" style="231" customWidth="1"/>
    <col min="14372" max="14372" width="10.5703125" style="231" customWidth="1"/>
    <col min="14373" max="14604" width="11" style="231"/>
    <col min="14605" max="14605" width="1.5703125" style="231" customWidth="1"/>
    <col min="14606" max="14606" width="8.5703125" style="231" customWidth="1"/>
    <col min="14607" max="14607" width="28.7109375" style="231" customWidth="1"/>
    <col min="14608" max="14608" width="26.5703125" style="231" customWidth="1"/>
    <col min="14609" max="14609" width="7.7109375" style="231" customWidth="1"/>
    <col min="14610" max="14610" width="19.42578125" style="231" customWidth="1"/>
    <col min="14611" max="14611" width="44.28515625" style="231" customWidth="1"/>
    <col min="14612" max="14612" width="17" style="231" customWidth="1"/>
    <col min="14613" max="14613" width="15.5703125" style="231" customWidth="1"/>
    <col min="14614" max="14614" width="14.140625" style="231" customWidth="1"/>
    <col min="14615" max="14615" width="1.7109375" style="231" customWidth="1"/>
    <col min="14616" max="14616" width="13.7109375" style="231" customWidth="1"/>
    <col min="14617" max="14617" width="13.85546875" style="231" bestFit="1" customWidth="1"/>
    <col min="14618" max="14618" width="2.5703125" style="231" customWidth="1"/>
    <col min="14619" max="14619" width="12.42578125" style="231" customWidth="1"/>
    <col min="14620" max="14620" width="13.5703125" style="231" customWidth="1"/>
    <col min="14621" max="14621" width="2.5703125" style="231" customWidth="1"/>
    <col min="14622" max="14622" width="12.42578125" style="231" customWidth="1"/>
    <col min="14623" max="14623" width="13.5703125" style="231" customWidth="1"/>
    <col min="14624" max="14624" width="2.5703125" style="231" customWidth="1"/>
    <col min="14625" max="14625" width="11.5703125" style="231" customWidth="1"/>
    <col min="14626" max="14626" width="13" style="231" customWidth="1"/>
    <col min="14627" max="14627" width="1.42578125" style="231" customWidth="1"/>
    <col min="14628" max="14628" width="10.5703125" style="231" customWidth="1"/>
    <col min="14629" max="14860" width="11" style="231"/>
    <col min="14861" max="14861" width="1.5703125" style="231" customWidth="1"/>
    <col min="14862" max="14862" width="8.5703125" style="231" customWidth="1"/>
    <col min="14863" max="14863" width="28.7109375" style="231" customWidth="1"/>
    <col min="14864" max="14864" width="26.5703125" style="231" customWidth="1"/>
    <col min="14865" max="14865" width="7.7109375" style="231" customWidth="1"/>
    <col min="14866" max="14866" width="19.42578125" style="231" customWidth="1"/>
    <col min="14867" max="14867" width="44.28515625" style="231" customWidth="1"/>
    <col min="14868" max="14868" width="17" style="231" customWidth="1"/>
    <col min="14869" max="14869" width="15.5703125" style="231" customWidth="1"/>
    <col min="14870" max="14870" width="14.140625" style="231" customWidth="1"/>
    <col min="14871" max="14871" width="1.7109375" style="231" customWidth="1"/>
    <col min="14872" max="14872" width="13.7109375" style="231" customWidth="1"/>
    <col min="14873" max="14873" width="13.85546875" style="231" bestFit="1" customWidth="1"/>
    <col min="14874" max="14874" width="2.5703125" style="231" customWidth="1"/>
    <col min="14875" max="14875" width="12.42578125" style="231" customWidth="1"/>
    <col min="14876" max="14876" width="13.5703125" style="231" customWidth="1"/>
    <col min="14877" max="14877" width="2.5703125" style="231" customWidth="1"/>
    <col min="14878" max="14878" width="12.42578125" style="231" customWidth="1"/>
    <col min="14879" max="14879" width="13.5703125" style="231" customWidth="1"/>
    <col min="14880" max="14880" width="2.5703125" style="231" customWidth="1"/>
    <col min="14881" max="14881" width="11.5703125" style="231" customWidth="1"/>
    <col min="14882" max="14882" width="13" style="231" customWidth="1"/>
    <col min="14883" max="14883" width="1.42578125" style="231" customWidth="1"/>
    <col min="14884" max="14884" width="10.5703125" style="231" customWidth="1"/>
    <col min="14885" max="15116" width="11" style="231"/>
    <col min="15117" max="15117" width="1.5703125" style="231" customWidth="1"/>
    <col min="15118" max="15118" width="8.5703125" style="231" customWidth="1"/>
    <col min="15119" max="15119" width="28.7109375" style="231" customWidth="1"/>
    <col min="15120" max="15120" width="26.5703125" style="231" customWidth="1"/>
    <col min="15121" max="15121" width="7.7109375" style="231" customWidth="1"/>
    <col min="15122" max="15122" width="19.42578125" style="231" customWidth="1"/>
    <col min="15123" max="15123" width="44.28515625" style="231" customWidth="1"/>
    <col min="15124" max="15124" width="17" style="231" customWidth="1"/>
    <col min="15125" max="15125" width="15.5703125" style="231" customWidth="1"/>
    <col min="15126" max="15126" width="14.140625" style="231" customWidth="1"/>
    <col min="15127" max="15127" width="1.7109375" style="231" customWidth="1"/>
    <col min="15128" max="15128" width="13.7109375" style="231" customWidth="1"/>
    <col min="15129" max="15129" width="13.85546875" style="231" bestFit="1" customWidth="1"/>
    <col min="15130" max="15130" width="2.5703125" style="231" customWidth="1"/>
    <col min="15131" max="15131" width="12.42578125" style="231" customWidth="1"/>
    <col min="15132" max="15132" width="13.5703125" style="231" customWidth="1"/>
    <col min="15133" max="15133" width="2.5703125" style="231" customWidth="1"/>
    <col min="15134" max="15134" width="12.42578125" style="231" customWidth="1"/>
    <col min="15135" max="15135" width="13.5703125" style="231" customWidth="1"/>
    <col min="15136" max="15136" width="2.5703125" style="231" customWidth="1"/>
    <col min="15137" max="15137" width="11.5703125" style="231" customWidth="1"/>
    <col min="15138" max="15138" width="13" style="231" customWidth="1"/>
    <col min="15139" max="15139" width="1.42578125" style="231" customWidth="1"/>
    <col min="15140" max="15140" width="10.5703125" style="231" customWidth="1"/>
    <col min="15141" max="15372" width="11" style="231"/>
    <col min="15373" max="15373" width="1.5703125" style="231" customWidth="1"/>
    <col min="15374" max="15374" width="8.5703125" style="231" customWidth="1"/>
    <col min="15375" max="15375" width="28.7109375" style="231" customWidth="1"/>
    <col min="15376" max="15376" width="26.5703125" style="231" customWidth="1"/>
    <col min="15377" max="15377" width="7.7109375" style="231" customWidth="1"/>
    <col min="15378" max="15378" width="19.42578125" style="231" customWidth="1"/>
    <col min="15379" max="15379" width="44.28515625" style="231" customWidth="1"/>
    <col min="15380" max="15380" width="17" style="231" customWidth="1"/>
    <col min="15381" max="15381" width="15.5703125" style="231" customWidth="1"/>
    <col min="15382" max="15382" width="14.140625" style="231" customWidth="1"/>
    <col min="15383" max="15383" width="1.7109375" style="231" customWidth="1"/>
    <col min="15384" max="15384" width="13.7109375" style="231" customWidth="1"/>
    <col min="15385" max="15385" width="13.85546875" style="231" bestFit="1" customWidth="1"/>
    <col min="15386" max="15386" width="2.5703125" style="231" customWidth="1"/>
    <col min="15387" max="15387" width="12.42578125" style="231" customWidth="1"/>
    <col min="15388" max="15388" width="13.5703125" style="231" customWidth="1"/>
    <col min="15389" max="15389" width="2.5703125" style="231" customWidth="1"/>
    <col min="15390" max="15390" width="12.42578125" style="231" customWidth="1"/>
    <col min="15391" max="15391" width="13.5703125" style="231" customWidth="1"/>
    <col min="15392" max="15392" width="2.5703125" style="231" customWidth="1"/>
    <col min="15393" max="15393" width="11.5703125" style="231" customWidth="1"/>
    <col min="15394" max="15394" width="13" style="231" customWidth="1"/>
    <col min="15395" max="15395" width="1.42578125" style="231" customWidth="1"/>
    <col min="15396" max="15396" width="10.5703125" style="231" customWidth="1"/>
    <col min="15397" max="15628" width="11" style="231"/>
    <col min="15629" max="15629" width="1.5703125" style="231" customWidth="1"/>
    <col min="15630" max="15630" width="8.5703125" style="231" customWidth="1"/>
    <col min="15631" max="15631" width="28.7109375" style="231" customWidth="1"/>
    <col min="15632" max="15632" width="26.5703125" style="231" customWidth="1"/>
    <col min="15633" max="15633" width="7.7109375" style="231" customWidth="1"/>
    <col min="15634" max="15634" width="19.42578125" style="231" customWidth="1"/>
    <col min="15635" max="15635" width="44.28515625" style="231" customWidth="1"/>
    <col min="15636" max="15636" width="17" style="231" customWidth="1"/>
    <col min="15637" max="15637" width="15.5703125" style="231" customWidth="1"/>
    <col min="15638" max="15638" width="14.140625" style="231" customWidth="1"/>
    <col min="15639" max="15639" width="1.7109375" style="231" customWidth="1"/>
    <col min="15640" max="15640" width="13.7109375" style="231" customWidth="1"/>
    <col min="15641" max="15641" width="13.85546875" style="231" bestFit="1" customWidth="1"/>
    <col min="15642" max="15642" width="2.5703125" style="231" customWidth="1"/>
    <col min="15643" max="15643" width="12.42578125" style="231" customWidth="1"/>
    <col min="15644" max="15644" width="13.5703125" style="231" customWidth="1"/>
    <col min="15645" max="15645" width="2.5703125" style="231" customWidth="1"/>
    <col min="15646" max="15646" width="12.42578125" style="231" customWidth="1"/>
    <col min="15647" max="15647" width="13.5703125" style="231" customWidth="1"/>
    <col min="15648" max="15648" width="2.5703125" style="231" customWidth="1"/>
    <col min="15649" max="15649" width="11.5703125" style="231" customWidth="1"/>
    <col min="15650" max="15650" width="13" style="231" customWidth="1"/>
    <col min="15651" max="15651" width="1.42578125" style="231" customWidth="1"/>
    <col min="15652" max="15652" width="10.5703125" style="231" customWidth="1"/>
    <col min="15653" max="15884" width="11" style="231"/>
    <col min="15885" max="15885" width="1.5703125" style="231" customWidth="1"/>
    <col min="15886" max="15886" width="8.5703125" style="231" customWidth="1"/>
    <col min="15887" max="15887" width="28.7109375" style="231" customWidth="1"/>
    <col min="15888" max="15888" width="26.5703125" style="231" customWidth="1"/>
    <col min="15889" max="15889" width="7.7109375" style="231" customWidth="1"/>
    <col min="15890" max="15890" width="19.42578125" style="231" customWidth="1"/>
    <col min="15891" max="15891" width="44.28515625" style="231" customWidth="1"/>
    <col min="15892" max="15892" width="17" style="231" customWidth="1"/>
    <col min="15893" max="15893" width="15.5703125" style="231" customWidth="1"/>
    <col min="15894" max="15894" width="14.140625" style="231" customWidth="1"/>
    <col min="15895" max="15895" width="1.7109375" style="231" customWidth="1"/>
    <col min="15896" max="15896" width="13.7109375" style="231" customWidth="1"/>
    <col min="15897" max="15897" width="13.85546875" style="231" bestFit="1" customWidth="1"/>
    <col min="15898" max="15898" width="2.5703125" style="231" customWidth="1"/>
    <col min="15899" max="15899" width="12.42578125" style="231" customWidth="1"/>
    <col min="15900" max="15900" width="13.5703125" style="231" customWidth="1"/>
    <col min="15901" max="15901" width="2.5703125" style="231" customWidth="1"/>
    <col min="15902" max="15902" width="12.42578125" style="231" customWidth="1"/>
    <col min="15903" max="15903" width="13.5703125" style="231" customWidth="1"/>
    <col min="15904" max="15904" width="2.5703125" style="231" customWidth="1"/>
    <col min="15905" max="15905" width="11.5703125" style="231" customWidth="1"/>
    <col min="15906" max="15906" width="13" style="231" customWidth="1"/>
    <col min="15907" max="15907" width="1.42578125" style="231" customWidth="1"/>
    <col min="15908" max="15908" width="10.5703125" style="231" customWidth="1"/>
    <col min="15909" max="16140" width="11" style="231"/>
    <col min="16141" max="16141" width="1.5703125" style="231" customWidth="1"/>
    <col min="16142" max="16142" width="8.5703125" style="231" customWidth="1"/>
    <col min="16143" max="16143" width="28.7109375" style="231" customWidth="1"/>
    <col min="16144" max="16144" width="26.5703125" style="231" customWidth="1"/>
    <col min="16145" max="16145" width="7.7109375" style="231" customWidth="1"/>
    <col min="16146" max="16146" width="19.42578125" style="231" customWidth="1"/>
    <col min="16147" max="16147" width="44.28515625" style="231" customWidth="1"/>
    <col min="16148" max="16148" width="17" style="231" customWidth="1"/>
    <col min="16149" max="16149" width="15.5703125" style="231" customWidth="1"/>
    <col min="16150" max="16150" width="14.140625" style="231" customWidth="1"/>
    <col min="16151" max="16151" width="1.7109375" style="231" customWidth="1"/>
    <col min="16152" max="16152" width="13.7109375" style="231" customWidth="1"/>
    <col min="16153" max="16153" width="13.85546875" style="231" bestFit="1" customWidth="1"/>
    <col min="16154" max="16154" width="2.5703125" style="231" customWidth="1"/>
    <col min="16155" max="16155" width="12.42578125" style="231" customWidth="1"/>
    <col min="16156" max="16156" width="13.5703125" style="231" customWidth="1"/>
    <col min="16157" max="16157" width="2.5703125" style="231" customWidth="1"/>
    <col min="16158" max="16158" width="12.42578125" style="231" customWidth="1"/>
    <col min="16159" max="16159" width="13.5703125" style="231" customWidth="1"/>
    <col min="16160" max="16160" width="2.5703125" style="231" customWidth="1"/>
    <col min="16161" max="16161" width="11.5703125" style="231" customWidth="1"/>
    <col min="16162" max="16162" width="13" style="231" customWidth="1"/>
    <col min="16163" max="16163" width="1.42578125" style="231" customWidth="1"/>
    <col min="16164" max="16164" width="10.5703125" style="231" customWidth="1"/>
    <col min="16165" max="16384" width="11" style="231"/>
  </cols>
  <sheetData>
    <row r="1" spans="2:92" s="8" customFormat="1" ht="19.5" customHeight="1" x14ac:dyDescent="0.2">
      <c r="B1" s="734"/>
      <c r="C1" s="735"/>
      <c r="D1" s="1047" t="s">
        <v>248</v>
      </c>
      <c r="E1" s="1048"/>
      <c r="F1" s="227"/>
      <c r="G1" s="227"/>
      <c r="H1" s="1048" t="s">
        <v>249</v>
      </c>
      <c r="I1" s="1048"/>
      <c r="J1" s="1048"/>
      <c r="K1" s="1048"/>
      <c r="L1" s="1048"/>
      <c r="M1" s="1048"/>
      <c r="N1" s="1048"/>
      <c r="O1" s="1048"/>
      <c r="P1" s="1048"/>
      <c r="Q1" s="1048"/>
      <c r="R1" s="1048"/>
      <c r="S1" s="1048"/>
      <c r="T1" s="1048"/>
      <c r="U1" s="1048"/>
      <c r="V1" s="1048"/>
      <c r="W1" s="1048"/>
      <c r="X1" s="1049"/>
      <c r="Y1" s="1046"/>
      <c r="Z1" s="1047"/>
      <c r="AA1" s="1048"/>
      <c r="AB1" s="1048"/>
      <c r="AC1" s="1048"/>
      <c r="AD1" s="1048"/>
      <c r="AE1" s="1048"/>
      <c r="AF1" s="1048"/>
      <c r="AG1" s="1048"/>
      <c r="AH1" s="1048"/>
      <c r="AI1" s="1049"/>
      <c r="AJ1" s="1050"/>
      <c r="AK1" s="350"/>
    </row>
    <row r="2" spans="2:92" s="8" customFormat="1" ht="23.25" customHeight="1" x14ac:dyDescent="0.2">
      <c r="B2" s="736"/>
      <c r="C2" s="737"/>
      <c r="D2" s="1052" t="s">
        <v>250</v>
      </c>
      <c r="E2" s="1053"/>
      <c r="F2" s="228"/>
      <c r="G2" s="228"/>
      <c r="H2" s="1053" t="s">
        <v>211</v>
      </c>
      <c r="I2" s="1053"/>
      <c r="J2" s="1053"/>
      <c r="K2" s="1053"/>
      <c r="L2" s="1053"/>
      <c r="M2" s="1053"/>
      <c r="N2" s="1053"/>
      <c r="O2" s="1053"/>
      <c r="P2" s="1053"/>
      <c r="Q2" s="1053"/>
      <c r="R2" s="1053"/>
      <c r="S2" s="1053"/>
      <c r="T2" s="1053"/>
      <c r="U2" s="1053"/>
      <c r="V2" s="1053"/>
      <c r="W2" s="1053"/>
      <c r="X2" s="1054"/>
      <c r="Y2" s="1051"/>
      <c r="Z2" s="1052"/>
      <c r="AA2" s="1053"/>
      <c r="AB2" s="1053"/>
      <c r="AC2" s="1053"/>
      <c r="AD2" s="1053"/>
      <c r="AE2" s="1053"/>
      <c r="AF2" s="1053"/>
      <c r="AG2" s="1053"/>
      <c r="AH2" s="1053"/>
      <c r="AI2" s="1054"/>
      <c r="AJ2" s="1055"/>
      <c r="AK2" s="350"/>
    </row>
    <row r="3" spans="2:92" s="8" customFormat="1" ht="19.5" customHeight="1" thickBot="1" x14ac:dyDescent="0.25">
      <c r="B3" s="738"/>
      <c r="C3" s="739"/>
      <c r="D3" s="1057" t="s">
        <v>244</v>
      </c>
      <c r="E3" s="1058"/>
      <c r="F3" s="229"/>
      <c r="G3" s="229"/>
      <c r="H3" s="229" t="s">
        <v>253</v>
      </c>
      <c r="I3" s="1061" t="s">
        <v>254</v>
      </c>
      <c r="J3" s="1061"/>
      <c r="K3" s="1061"/>
      <c r="L3" s="1061"/>
      <c r="M3" s="1061"/>
      <c r="N3" s="1061"/>
      <c r="O3" s="1061"/>
      <c r="P3" s="1061"/>
      <c r="Q3" s="1061"/>
      <c r="R3" s="1061"/>
      <c r="S3" s="351"/>
      <c r="T3" s="1059" t="s">
        <v>251</v>
      </c>
      <c r="U3" s="1062"/>
      <c r="V3" s="1062"/>
      <c r="W3" s="1057"/>
      <c r="X3" s="230">
        <v>1</v>
      </c>
      <c r="Y3" s="1056"/>
      <c r="Z3" s="1057"/>
      <c r="AA3" s="1058"/>
      <c r="AB3" s="1058"/>
      <c r="AC3" s="1058"/>
      <c r="AD3" s="1058"/>
      <c r="AE3" s="1058"/>
      <c r="AF3" s="1058"/>
      <c r="AG3" s="1058"/>
      <c r="AH3" s="1058"/>
      <c r="AI3" s="1059"/>
      <c r="AJ3" s="1060"/>
      <c r="AK3" s="350"/>
    </row>
    <row r="4" spans="2:92" ht="18.75" thickBot="1" x14ac:dyDescent="0.25">
      <c r="B4" s="348"/>
      <c r="C4" s="348"/>
      <c r="D4" s="348"/>
      <c r="E4" s="348"/>
      <c r="F4" s="348"/>
      <c r="G4" s="348"/>
      <c r="H4" s="348"/>
      <c r="I4" s="348"/>
      <c r="J4" s="348"/>
      <c r="K4" s="348"/>
      <c r="L4" s="348"/>
      <c r="M4" s="348"/>
      <c r="N4" s="348"/>
      <c r="O4" s="348"/>
      <c r="P4" s="349"/>
      <c r="Q4" s="348"/>
      <c r="R4" s="348"/>
      <c r="S4" s="348"/>
      <c r="T4" s="348"/>
      <c r="U4" s="348"/>
      <c r="V4" s="348"/>
      <c r="W4" s="348"/>
      <c r="X4" s="348"/>
      <c r="Y4" s="348"/>
      <c r="Z4" s="348"/>
      <c r="AA4" s="348"/>
      <c r="AB4" s="348"/>
      <c r="AC4" s="348"/>
      <c r="AD4" s="349"/>
      <c r="AE4" s="348"/>
      <c r="AF4" s="348"/>
      <c r="AG4" s="348"/>
      <c r="AH4" s="348"/>
      <c r="AI4" s="348"/>
      <c r="AJ4" s="348"/>
    </row>
    <row r="5" spans="2:92" ht="18.75" customHeight="1" thickBot="1" x14ac:dyDescent="0.25">
      <c r="B5" s="1069" t="s">
        <v>1283</v>
      </c>
      <c r="C5" s="1070"/>
      <c r="D5" s="1069" t="s">
        <v>1282</v>
      </c>
      <c r="E5" s="1070"/>
      <c r="F5" s="352"/>
      <c r="G5" s="352"/>
      <c r="AJ5" s="253"/>
    </row>
    <row r="6" spans="2:92" ht="18.75" customHeight="1" x14ac:dyDescent="0.2">
      <c r="B6" s="347" t="s">
        <v>182</v>
      </c>
      <c r="C6" s="346" t="s">
        <v>183</v>
      </c>
      <c r="D6" s="347" t="s">
        <v>182</v>
      </c>
      <c r="E6" s="346" t="s">
        <v>183</v>
      </c>
      <c r="F6" s="353"/>
      <c r="G6" s="353"/>
      <c r="AJ6" s="253"/>
    </row>
    <row r="7" spans="2:92" ht="18.75" customHeight="1" x14ac:dyDescent="0.2">
      <c r="B7" s="345" t="s">
        <v>198</v>
      </c>
      <c r="C7" s="339" t="s">
        <v>200</v>
      </c>
      <c r="D7" s="345" t="s">
        <v>1281</v>
      </c>
      <c r="E7" s="339" t="s">
        <v>200</v>
      </c>
      <c r="F7" s="353"/>
      <c r="G7" s="353"/>
      <c r="H7" s="238"/>
      <c r="I7" s="338"/>
      <c r="K7" s="337"/>
      <c r="L7" s="337"/>
      <c r="AJ7" s="253"/>
    </row>
    <row r="8" spans="2:92" ht="25.5" x14ac:dyDescent="0.2">
      <c r="B8" s="344" t="s">
        <v>1280</v>
      </c>
      <c r="C8" s="339" t="s">
        <v>184</v>
      </c>
      <c r="D8" s="344" t="s">
        <v>1279</v>
      </c>
      <c r="E8" s="339" t="s">
        <v>184</v>
      </c>
      <c r="F8" s="353"/>
      <c r="G8" s="353"/>
      <c r="I8" s="338"/>
      <c r="J8" s="343"/>
      <c r="K8" s="337"/>
      <c r="L8" s="337"/>
      <c r="AJ8" s="342"/>
    </row>
    <row r="9" spans="2:92" ht="25.5" x14ac:dyDescent="0.2">
      <c r="B9" s="341" t="s">
        <v>1278</v>
      </c>
      <c r="C9" s="339" t="s">
        <v>185</v>
      </c>
      <c r="D9" s="341" t="s">
        <v>1277</v>
      </c>
      <c r="E9" s="339" t="s">
        <v>185</v>
      </c>
      <c r="F9" s="353"/>
      <c r="G9" s="353"/>
      <c r="I9" s="338"/>
      <c r="J9" s="338"/>
      <c r="K9" s="337"/>
      <c r="L9" s="337"/>
      <c r="AJ9" s="332"/>
    </row>
    <row r="10" spans="2:92" ht="15" x14ac:dyDescent="0.2">
      <c r="B10" s="340" t="s">
        <v>197</v>
      </c>
      <c r="C10" s="339" t="s">
        <v>186</v>
      </c>
      <c r="D10" s="340" t="s">
        <v>1276</v>
      </c>
      <c r="E10" s="339" t="s">
        <v>186</v>
      </c>
      <c r="F10" s="353"/>
      <c r="G10" s="353"/>
      <c r="I10" s="338"/>
      <c r="K10" s="337"/>
      <c r="L10" s="337"/>
      <c r="AJ10" s="332"/>
    </row>
    <row r="11" spans="2:92" ht="15.75" thickBot="1" x14ac:dyDescent="0.25">
      <c r="B11" s="336" t="s">
        <v>187</v>
      </c>
      <c r="C11" s="334" t="s">
        <v>188</v>
      </c>
      <c r="D11" s="335" t="s">
        <v>1275</v>
      </c>
      <c r="E11" s="334" t="s">
        <v>188</v>
      </c>
      <c r="F11" s="353"/>
      <c r="G11" s="353"/>
      <c r="AJ11" s="332"/>
    </row>
    <row r="12" spans="2:92" ht="15.75" thickBot="1" x14ac:dyDescent="0.25">
      <c r="D12" s="333"/>
      <c r="E12" s="333"/>
      <c r="F12" s="333"/>
      <c r="G12" s="333"/>
      <c r="H12" s="333"/>
      <c r="AJ12" s="332"/>
    </row>
    <row r="13" spans="2:92" ht="21" customHeight="1" thickBot="1" x14ac:dyDescent="0.25">
      <c r="I13" s="331"/>
      <c r="J13" s="1022" t="s">
        <v>201</v>
      </c>
      <c r="K13" s="1023"/>
      <c r="L13" s="1023"/>
      <c r="M13" s="1023"/>
      <c r="N13" s="1023"/>
      <c r="O13" s="1023"/>
      <c r="P13" s="1023"/>
      <c r="Q13" s="1024"/>
      <c r="R13" s="1024"/>
      <c r="S13" s="1024"/>
      <c r="T13" s="1024"/>
      <c r="U13" s="1024"/>
      <c r="V13" s="1024"/>
      <c r="W13" s="1023"/>
      <c r="X13" s="1024"/>
      <c r="Y13" s="1024"/>
      <c r="Z13" s="1024"/>
      <c r="AA13" s="1024"/>
      <c r="AB13" s="1024"/>
      <c r="AC13" s="1024"/>
      <c r="AD13" s="1024"/>
      <c r="AE13" s="1024"/>
      <c r="AF13" s="1024"/>
      <c r="AG13" s="1024"/>
      <c r="AH13" s="1024"/>
      <c r="AI13" s="1024"/>
      <c r="AJ13" s="1025"/>
      <c r="AL13" s="1026" t="s">
        <v>201</v>
      </c>
      <c r="AM13" s="1027"/>
      <c r="AN13" s="1027"/>
      <c r="AO13" s="1027"/>
      <c r="AP13" s="1027"/>
      <c r="AQ13" s="1027"/>
      <c r="AR13" s="1027"/>
      <c r="AS13" s="1027"/>
      <c r="AT13" s="1027"/>
      <c r="AU13" s="1027"/>
      <c r="AV13" s="1027"/>
      <c r="AW13" s="1027"/>
      <c r="AX13" s="1028"/>
      <c r="AZ13" s="1026" t="s">
        <v>202</v>
      </c>
      <c r="BA13" s="1027"/>
      <c r="BB13" s="1027"/>
      <c r="BC13" s="1027"/>
      <c r="BD13" s="1027"/>
      <c r="BE13" s="1027"/>
      <c r="BF13" s="1027"/>
      <c r="BG13" s="1027"/>
      <c r="BH13" s="1027"/>
      <c r="BI13" s="1027"/>
      <c r="BJ13" s="1027"/>
      <c r="BK13" s="1027"/>
      <c r="BL13" s="1028"/>
      <c r="BN13" s="1026" t="s">
        <v>203</v>
      </c>
      <c r="BO13" s="1027"/>
      <c r="BP13" s="1027"/>
      <c r="BQ13" s="1027"/>
      <c r="BR13" s="1027"/>
      <c r="BS13" s="1027"/>
      <c r="BT13" s="1027"/>
      <c r="BU13" s="1027"/>
      <c r="BV13" s="1027"/>
      <c r="BW13" s="1027"/>
      <c r="BX13" s="1027"/>
      <c r="BY13" s="1027"/>
      <c r="BZ13" s="1028"/>
      <c r="CB13" s="1026" t="s">
        <v>204</v>
      </c>
      <c r="CC13" s="1027"/>
      <c r="CD13" s="1027"/>
      <c r="CE13" s="1027"/>
      <c r="CF13" s="1027"/>
      <c r="CG13" s="1027"/>
      <c r="CH13" s="1027"/>
      <c r="CI13" s="1027"/>
      <c r="CJ13" s="1027"/>
      <c r="CK13" s="1027"/>
      <c r="CL13" s="1027"/>
      <c r="CM13" s="1027"/>
      <c r="CN13" s="1028"/>
    </row>
    <row r="14" spans="2:92" s="321" customFormat="1" ht="59.25" customHeight="1" thickBot="1" x14ac:dyDescent="0.3">
      <c r="B14" s="330" t="s">
        <v>205</v>
      </c>
      <c r="C14" s="330" t="s">
        <v>207</v>
      </c>
      <c r="D14" s="330" t="s">
        <v>260</v>
      </c>
      <c r="E14" s="330" t="s">
        <v>208</v>
      </c>
      <c r="F14" s="354" t="s">
        <v>257</v>
      </c>
      <c r="G14" s="354" t="s">
        <v>209</v>
      </c>
      <c r="H14" s="329" t="s">
        <v>0</v>
      </c>
      <c r="I14" s="328"/>
      <c r="J14" s="326" t="s">
        <v>213</v>
      </c>
      <c r="K14" s="1031" t="s">
        <v>1274</v>
      </c>
      <c r="L14" s="1071"/>
      <c r="M14" s="1072" t="s">
        <v>212</v>
      </c>
      <c r="N14" s="1045"/>
      <c r="O14" s="1045"/>
      <c r="P14" s="327"/>
      <c r="Q14" s="360" t="s">
        <v>214</v>
      </c>
      <c r="R14" s="1067" t="s">
        <v>1274</v>
      </c>
      <c r="S14" s="1068"/>
      <c r="T14" s="1064" t="s">
        <v>212</v>
      </c>
      <c r="U14" s="1065"/>
      <c r="V14" s="1065"/>
      <c r="W14" s="323"/>
      <c r="X14" s="363" t="s">
        <v>215</v>
      </c>
      <c r="Y14" s="1029" t="s">
        <v>1274</v>
      </c>
      <c r="Z14" s="1030"/>
      <c r="AA14" s="1064" t="s">
        <v>212</v>
      </c>
      <c r="AB14" s="1065"/>
      <c r="AC14" s="1066"/>
      <c r="AD14" s="327"/>
      <c r="AE14" s="326" t="s">
        <v>216</v>
      </c>
      <c r="AF14" s="1031" t="s">
        <v>1274</v>
      </c>
      <c r="AG14" s="1032"/>
      <c r="AH14" s="1044" t="s">
        <v>212</v>
      </c>
      <c r="AI14" s="1045"/>
      <c r="AJ14" s="325" t="s">
        <v>217</v>
      </c>
      <c r="AK14" s="324"/>
      <c r="AL14" s="322"/>
      <c r="AM14" s="322"/>
      <c r="AN14" s="323"/>
      <c r="AO14" s="322"/>
      <c r="AP14" s="322"/>
      <c r="AQ14" s="323"/>
      <c r="AR14" s="322"/>
      <c r="AS14" s="322"/>
      <c r="AT14" s="323"/>
      <c r="AU14" s="322"/>
      <c r="AV14" s="322"/>
      <c r="AW14" s="323"/>
      <c r="AX14" s="322"/>
      <c r="AZ14" s="322"/>
      <c r="BA14" s="322"/>
      <c r="BB14" s="323"/>
      <c r="BC14" s="322"/>
      <c r="BD14" s="322"/>
      <c r="BE14" s="323"/>
      <c r="BF14" s="322"/>
      <c r="BG14" s="322"/>
      <c r="BH14" s="323"/>
      <c r="BI14" s="322"/>
      <c r="BJ14" s="322"/>
      <c r="BK14" s="323"/>
      <c r="BL14" s="322"/>
      <c r="BN14" s="322"/>
      <c r="BO14" s="322"/>
      <c r="BP14" s="323"/>
      <c r="BQ14" s="322"/>
      <c r="BR14" s="322"/>
      <c r="BS14" s="323"/>
      <c r="BT14" s="322"/>
      <c r="BU14" s="322"/>
      <c r="BV14" s="323"/>
      <c r="BW14" s="322"/>
      <c r="BX14" s="322"/>
      <c r="BY14" s="323"/>
      <c r="BZ14" s="322"/>
      <c r="CB14" s="322"/>
      <c r="CC14" s="322"/>
      <c r="CD14" s="323"/>
      <c r="CE14" s="322"/>
      <c r="CF14" s="322"/>
      <c r="CG14" s="323"/>
      <c r="CH14" s="322"/>
      <c r="CI14" s="322"/>
      <c r="CJ14" s="323"/>
      <c r="CK14" s="322"/>
      <c r="CL14" s="322"/>
      <c r="CM14" s="323"/>
      <c r="CN14" s="322"/>
    </row>
    <row r="15" spans="2:92" ht="69.75" customHeight="1" thickBot="1" x14ac:dyDescent="0.25">
      <c r="B15" s="1076" t="s">
        <v>1264</v>
      </c>
      <c r="C15" s="1000" t="s">
        <v>347</v>
      </c>
      <c r="D15" s="1039" t="s">
        <v>1265</v>
      </c>
      <c r="E15" s="991" t="s">
        <v>13</v>
      </c>
      <c r="F15" s="992" t="s">
        <v>332</v>
      </c>
      <c r="G15" s="359" t="str">
        <f>+'Plan de Accion Proyectos estrat'!K9</f>
        <v>Paquetes de recobros y reclamaciones del rezago entregados para pago, con interventoría certificada</v>
      </c>
      <c r="H15" s="1001" t="s">
        <v>221</v>
      </c>
      <c r="I15" s="267"/>
      <c r="J15" s="320">
        <f>+'Plan de Accion Proyectos estrat'!AJ9</f>
        <v>0</v>
      </c>
      <c r="K15" s="316">
        <f>+'Plan de Accion Proyectos estrat'!BS9</f>
        <v>0</v>
      </c>
      <c r="L15" s="316">
        <f>IF(K15&gt;100%,100%,K15)</f>
        <v>0</v>
      </c>
      <c r="M15" s="316">
        <f>+'Plan de Accion Proyectos estrat'!AL9</f>
        <v>0</v>
      </c>
      <c r="N15" s="316">
        <f>IF(M15&gt;100%,100%,M15)</f>
        <v>0</v>
      </c>
      <c r="O15" s="316">
        <f>+N15</f>
        <v>0</v>
      </c>
      <c r="P15" s="277"/>
      <c r="Q15" s="320">
        <f>+'Plan de Accion Proyectos estrat'!AT9</f>
        <v>0</v>
      </c>
      <c r="R15" s="316">
        <f>+'Plan de Accion Proyectos estrat'!BU9</f>
        <v>0</v>
      </c>
      <c r="S15" s="319">
        <f>IF(R15&gt;100%,100%,R15)</f>
        <v>0</v>
      </c>
      <c r="T15" s="316">
        <f>+'Plan de Accion Proyectos estrat'!AV9</f>
        <v>0</v>
      </c>
      <c r="U15" s="316">
        <f>IF(T15&gt;100%,100%,T15)</f>
        <v>0</v>
      </c>
      <c r="V15" s="318">
        <f>+U15</f>
        <v>0</v>
      </c>
      <c r="W15" s="278"/>
      <c r="X15" s="320">
        <f>+'Plan de Accion Proyectos estrat'!BD9</f>
        <v>0</v>
      </c>
      <c r="Y15" s="316">
        <f>+'Plan de Accion Proyectos estrat'!BW9</f>
        <v>0</v>
      </c>
      <c r="Z15" s="319">
        <f>IF(Y15&gt;100%,100%,Y15)</f>
        <v>0</v>
      </c>
      <c r="AA15" s="364">
        <f>+'Plan de Accion Proyectos estrat'!AL9</f>
        <v>0</v>
      </c>
      <c r="AB15" s="364">
        <f>IF(AA15&gt;100%,100%,AA15)</f>
        <v>0</v>
      </c>
      <c r="AC15" s="365">
        <f>+AB15</f>
        <v>0</v>
      </c>
      <c r="AD15" s="277"/>
      <c r="AE15" s="320">
        <f>+'Plan de Accion Proyectos estrat'!AT9</f>
        <v>0</v>
      </c>
      <c r="AF15" s="316">
        <f>+'Plan de Accion Proyectos estrat'!BY9</f>
        <v>0</v>
      </c>
      <c r="AG15" s="319">
        <f>IF(AF15&gt;100%,100%,AF15)</f>
        <v>0</v>
      </c>
      <c r="AH15" s="316">
        <f>+'Plan de Accion Proyectos estrat'!BP9</f>
        <v>0</v>
      </c>
      <c r="AI15" s="318">
        <f>IF(AH15&gt;100%,100%,AH15)</f>
        <v>0</v>
      </c>
      <c r="AJ15" s="268"/>
      <c r="AL15" s="317"/>
      <c r="AM15" s="266"/>
      <c r="AN15" s="267"/>
      <c r="AO15" s="317"/>
      <c r="AP15" s="266"/>
      <c r="AQ15" s="267"/>
      <c r="AR15" s="317"/>
      <c r="AS15" s="266"/>
      <c r="AT15" s="267"/>
      <c r="AU15" s="317"/>
      <c r="AV15" s="266"/>
      <c r="AW15" s="265"/>
      <c r="AX15" s="264"/>
      <c r="AZ15" s="317"/>
      <c r="BA15" s="266"/>
      <c r="BB15" s="267"/>
      <c r="BC15" s="317"/>
      <c r="BD15" s="266"/>
      <c r="BE15" s="267"/>
      <c r="BF15" s="317"/>
      <c r="BG15" s="266"/>
      <c r="BH15" s="267"/>
      <c r="BI15" s="317"/>
      <c r="BJ15" s="266"/>
      <c r="BK15" s="265"/>
      <c r="BL15" s="264"/>
      <c r="BN15" s="317"/>
      <c r="BO15" s="266"/>
      <c r="BP15" s="267"/>
      <c r="BQ15" s="317"/>
      <c r="BR15" s="266"/>
      <c r="BS15" s="267"/>
      <c r="BT15" s="317"/>
      <c r="BU15" s="266"/>
      <c r="BV15" s="267"/>
      <c r="BW15" s="317"/>
      <c r="BX15" s="266"/>
      <c r="BY15" s="265"/>
      <c r="BZ15" s="264"/>
      <c r="CB15" s="317"/>
      <c r="CC15" s="266"/>
      <c r="CD15" s="267"/>
      <c r="CE15" s="317"/>
      <c r="CF15" s="266"/>
      <c r="CG15" s="267"/>
      <c r="CH15" s="317"/>
      <c r="CI15" s="266"/>
      <c r="CJ15" s="267"/>
      <c r="CK15" s="317"/>
      <c r="CL15" s="266"/>
      <c r="CM15" s="265"/>
      <c r="CN15" s="264"/>
    </row>
    <row r="16" spans="2:92" ht="85.5" x14ac:dyDescent="0.2">
      <c r="B16" s="1077"/>
      <c r="C16" s="973"/>
      <c r="D16" s="1040"/>
      <c r="E16" s="946"/>
      <c r="F16" s="949"/>
      <c r="G16" s="385" t="str">
        <f>+'Plan de Accion Proyectos estrat'!K11</f>
        <v>Apoyos técnicos entregados a la OAJ en recobros y reclamaciones una vez son resueltos por la Dirección de Tecnología de la Información</v>
      </c>
      <c r="H16" s="1002"/>
      <c r="I16" s="267"/>
      <c r="J16" s="372">
        <f>+'Plan de Accion Proyectos estrat'!AJ11</f>
        <v>0.68888888888888888</v>
      </c>
      <c r="K16" s="615">
        <f>+'Plan de Accion Proyectos estrat'!BS11</f>
        <v>0.68888888888888888</v>
      </c>
      <c r="L16" s="615">
        <f>IF(K16&gt;100%,100%,K16)</f>
        <v>0.68888888888888888</v>
      </c>
      <c r="M16" s="615">
        <f>+'Plan de Accion Proyectos estrat'!AL11</f>
        <v>0.17222222222222222</v>
      </c>
      <c r="N16" s="615">
        <f>IF(M16&gt;100%,100%,M16)</f>
        <v>0.17222222222222222</v>
      </c>
      <c r="O16" s="615">
        <f>+N16</f>
        <v>0.17222222222222222</v>
      </c>
      <c r="P16" s="277"/>
      <c r="Q16" s="372">
        <f>+'Plan de Accion Proyectos estrat'!AT11</f>
        <v>0</v>
      </c>
      <c r="R16" s="373">
        <f>+'Plan de Accion Proyectos estrat'!BU11</f>
        <v>0</v>
      </c>
      <c r="S16" s="276">
        <f>IF(R16&gt;100%,100%,R16)</f>
        <v>0</v>
      </c>
      <c r="T16" s="373">
        <f>+'Plan de Accion Proyectos estrat'!AV11</f>
        <v>0.17222222222222222</v>
      </c>
      <c r="U16" s="373">
        <f>IF(T16&gt;100%,100%,T16)</f>
        <v>0.17222222222222222</v>
      </c>
      <c r="V16" s="275">
        <f>+U16</f>
        <v>0.17222222222222222</v>
      </c>
      <c r="W16" s="278"/>
      <c r="X16" s="372">
        <f>+'Plan de Accion Proyectos estrat'!BD11</f>
        <v>0</v>
      </c>
      <c r="Y16" s="373">
        <f>+'Plan de Accion Proyectos estrat'!BW11</f>
        <v>0</v>
      </c>
      <c r="Z16" s="276">
        <f>IF(Y16&gt;100%,100%,Y16)</f>
        <v>0</v>
      </c>
      <c r="AA16" s="358">
        <f>+'Plan de Accion Proyectos estrat'!AL11</f>
        <v>0.17222222222222222</v>
      </c>
      <c r="AB16" s="358">
        <f>IF(AA16&gt;100%,100%,AA16)</f>
        <v>0.17222222222222222</v>
      </c>
      <c r="AC16" s="371">
        <f>+AB16</f>
        <v>0.17222222222222222</v>
      </c>
      <c r="AD16" s="277"/>
      <c r="AE16" s="372">
        <f>+'Plan de Accion Proyectos estrat'!AT11</f>
        <v>0</v>
      </c>
      <c r="AF16" s="373">
        <f>+'Plan de Accion Proyectos estrat'!BY11</f>
        <v>0</v>
      </c>
      <c r="AG16" s="276">
        <f>IF(AF16&gt;100%,100%,AF16)</f>
        <v>0</v>
      </c>
      <c r="AH16" s="373">
        <f>+'Plan de Accion Proyectos estrat'!BP11</f>
        <v>0.17222222222222222</v>
      </c>
      <c r="AI16" s="275">
        <f>IF(AH16&gt;100%,100%,AH16)</f>
        <v>0.17222222222222222</v>
      </c>
      <c r="AJ16" s="1014"/>
      <c r="AL16" s="1033"/>
      <c r="AM16" s="1007"/>
      <c r="AN16" s="267"/>
      <c r="AO16" s="1036"/>
      <c r="AP16" s="1007"/>
      <c r="AQ16" s="267"/>
      <c r="AR16" s="1033"/>
      <c r="AS16" s="1007"/>
      <c r="AT16" s="267"/>
      <c r="AU16" s="1033"/>
      <c r="AV16" s="1007"/>
      <c r="AW16" s="265"/>
      <c r="AX16" s="1015"/>
      <c r="AZ16" s="1033"/>
      <c r="BA16" s="1007"/>
      <c r="BB16" s="267"/>
      <c r="BC16" s="1036"/>
      <c r="BD16" s="1007"/>
      <c r="BE16" s="267"/>
      <c r="BF16" s="1033"/>
      <c r="BG16" s="1007"/>
      <c r="BH16" s="267"/>
      <c r="BI16" s="1033"/>
      <c r="BJ16" s="1007"/>
      <c r="BK16" s="265"/>
      <c r="BL16" s="1015"/>
      <c r="BN16" s="1033"/>
      <c r="BO16" s="1007"/>
      <c r="BP16" s="267"/>
      <c r="BQ16" s="1036"/>
      <c r="BR16" s="1007"/>
      <c r="BS16" s="267"/>
      <c r="BT16" s="1033"/>
      <c r="BU16" s="1007"/>
      <c r="BV16" s="267"/>
      <c r="BW16" s="1033"/>
      <c r="BX16" s="1007"/>
      <c r="BY16" s="265"/>
      <c r="BZ16" s="1015"/>
      <c r="CB16" s="1033"/>
      <c r="CC16" s="1007"/>
      <c r="CD16" s="267"/>
      <c r="CE16" s="1036"/>
      <c r="CF16" s="1007"/>
      <c r="CG16" s="267"/>
      <c r="CH16" s="1033"/>
      <c r="CI16" s="1007"/>
      <c r="CJ16" s="267"/>
      <c r="CK16" s="1033"/>
      <c r="CL16" s="1007"/>
      <c r="CM16" s="265"/>
      <c r="CN16" s="1015"/>
    </row>
    <row r="17" spans="2:92" ht="62.25" customHeight="1" x14ac:dyDescent="0.2">
      <c r="B17" s="1077"/>
      <c r="C17" s="974"/>
      <c r="D17" s="1040"/>
      <c r="E17" s="947"/>
      <c r="F17" s="950"/>
      <c r="G17" s="357" t="str">
        <f>+'Plan de Accion Proyectos estrat'!K12</f>
        <v>Informe de alternativas para optimizar y sistematizar el proceso de auditoria integral</v>
      </c>
      <c r="H17" s="1002"/>
      <c r="I17" s="267"/>
      <c r="J17" s="372">
        <f>+'Plan de Accion Proyectos estrat'!AJ12</f>
        <v>0.43058492742551568</v>
      </c>
      <c r="K17" s="615">
        <f>+'Plan de Accion Proyectos estrat'!BS12</f>
        <v>0.43058492742551568</v>
      </c>
      <c r="L17" s="615">
        <f>IF(K17&gt;100%,100%,K17)</f>
        <v>0.43058492742551568</v>
      </c>
      <c r="M17" s="615">
        <f>+'Plan de Accion Proyectos estrat'!AL12</f>
        <v>7.8288168622821036E-2</v>
      </c>
      <c r="N17" s="615">
        <f>IF(M17&gt;100%,100%,M17)</f>
        <v>7.8288168622821036E-2</v>
      </c>
      <c r="O17" s="615">
        <f>+N17</f>
        <v>7.8288168622821036E-2</v>
      </c>
      <c r="P17" s="277"/>
      <c r="Q17" s="372">
        <f>+'Plan de Accion Proyectos estrat'!AT12</f>
        <v>0</v>
      </c>
      <c r="R17" s="373">
        <f>+'Plan de Accion Proyectos estrat'!BU12</f>
        <v>0</v>
      </c>
      <c r="S17" s="276">
        <f>IF(R17&gt;100%,100%,R17)</f>
        <v>0</v>
      </c>
      <c r="T17" s="373">
        <f>+'Plan de Accion Proyectos estrat'!AV12</f>
        <v>7.8288168622821036E-2</v>
      </c>
      <c r="U17" s="373">
        <f>IF(T17&gt;100%,100%,T17)</f>
        <v>7.8288168622821036E-2</v>
      </c>
      <c r="V17" s="275">
        <f>+U17</f>
        <v>7.8288168622821036E-2</v>
      </c>
      <c r="W17" s="278"/>
      <c r="X17" s="372">
        <f>+'Plan de Accion Proyectos estrat'!BD12</f>
        <v>0</v>
      </c>
      <c r="Y17" s="373">
        <f>+'Plan de Accion Proyectos estrat'!BW12</f>
        <v>0</v>
      </c>
      <c r="Z17" s="276">
        <f>IF(Y17&gt;100%,100%,Y17)</f>
        <v>0</v>
      </c>
      <c r="AA17" s="358">
        <f>+'Plan de Accion Proyectos estrat'!AL12</f>
        <v>7.8288168622821036E-2</v>
      </c>
      <c r="AB17" s="358">
        <f>IF(AA17&gt;100%,100%,AA17)</f>
        <v>7.8288168622821036E-2</v>
      </c>
      <c r="AC17" s="371">
        <f>+AB17</f>
        <v>7.8288168622821036E-2</v>
      </c>
      <c r="AD17" s="277"/>
      <c r="AE17" s="372">
        <f>+'Plan de Accion Proyectos estrat'!AT12</f>
        <v>0</v>
      </c>
      <c r="AF17" s="373">
        <f>+'Plan de Accion Proyectos estrat'!BY12</f>
        <v>0</v>
      </c>
      <c r="AG17" s="276">
        <f>IF(AF17&gt;100%,100%,AF17)</f>
        <v>0</v>
      </c>
      <c r="AH17" s="373">
        <f>+'Plan de Accion Proyectos estrat'!BP12</f>
        <v>7.8288168622821036E-2</v>
      </c>
      <c r="AI17" s="275">
        <f>IF(AH17&gt;100%,100%,AH17)</f>
        <v>7.8288168622821036E-2</v>
      </c>
      <c r="AJ17" s="996"/>
      <c r="AL17" s="1034"/>
      <c r="AM17" s="998"/>
      <c r="AN17" s="267"/>
      <c r="AO17" s="1037"/>
      <c r="AP17" s="998"/>
      <c r="AQ17" s="267"/>
      <c r="AR17" s="1034"/>
      <c r="AS17" s="998"/>
      <c r="AT17" s="267"/>
      <c r="AU17" s="1034"/>
      <c r="AV17" s="998"/>
      <c r="AW17" s="265"/>
      <c r="AX17" s="1016"/>
      <c r="AZ17" s="1034"/>
      <c r="BA17" s="998"/>
      <c r="BB17" s="267"/>
      <c r="BC17" s="1037"/>
      <c r="BD17" s="998"/>
      <c r="BE17" s="267"/>
      <c r="BF17" s="1034"/>
      <c r="BG17" s="998"/>
      <c r="BH17" s="267"/>
      <c r="BI17" s="1034"/>
      <c r="BJ17" s="998"/>
      <c r="BK17" s="265"/>
      <c r="BL17" s="1016"/>
      <c r="BN17" s="1034"/>
      <c r="BO17" s="998"/>
      <c r="BP17" s="267"/>
      <c r="BQ17" s="1037"/>
      <c r="BR17" s="998"/>
      <c r="BS17" s="267"/>
      <c r="BT17" s="1034"/>
      <c r="BU17" s="998"/>
      <c r="BV17" s="267"/>
      <c r="BW17" s="1034"/>
      <c r="BX17" s="998"/>
      <c r="BY17" s="265"/>
      <c r="BZ17" s="1016"/>
      <c r="CB17" s="1034"/>
      <c r="CC17" s="998"/>
      <c r="CD17" s="267"/>
      <c r="CE17" s="1037"/>
      <c r="CF17" s="998"/>
      <c r="CG17" s="267"/>
      <c r="CH17" s="1034"/>
      <c r="CI17" s="998"/>
      <c r="CJ17" s="267"/>
      <c r="CK17" s="1034"/>
      <c r="CL17" s="998"/>
      <c r="CM17" s="265"/>
      <c r="CN17" s="1016"/>
    </row>
    <row r="18" spans="2:92" ht="156.75" customHeight="1" x14ac:dyDescent="0.2">
      <c r="B18" s="1077"/>
      <c r="C18" s="955" t="s">
        <v>1285</v>
      </c>
      <c r="D18" s="955" t="s">
        <v>1287</v>
      </c>
      <c r="E18" s="945" t="s">
        <v>1286</v>
      </c>
      <c r="F18" s="951" t="s">
        <v>332</v>
      </c>
      <c r="G18" s="355" t="str">
        <f>+'Plan de Accion Proyectos estrat'!K19</f>
        <v xml:space="preserve">Estadísticas de registros de las auditorias preventivas por entidad con errores </v>
      </c>
      <c r="H18" s="1002"/>
      <c r="I18" s="267"/>
      <c r="J18" s="993">
        <f>+'Plan de Accion Proyectos estrat'!AJ19</f>
        <v>0.63703703703703707</v>
      </c>
      <c r="K18" s="930">
        <f>+'Plan de Accion Proyectos estrat'!BS19</f>
        <v>0.63703703703703707</v>
      </c>
      <c r="L18" s="930">
        <f>IF(K18&gt;100%,100%,K18)</f>
        <v>0.63703703703703707</v>
      </c>
      <c r="M18" s="930">
        <f>+'Plan de Accion Proyectos estrat'!AL19</f>
        <v>0.15925925925925927</v>
      </c>
      <c r="N18" s="930">
        <f>IF(M18&gt;100%,100%,M18)</f>
        <v>0.15925925925925927</v>
      </c>
      <c r="O18" s="930">
        <f>+N18</f>
        <v>0.15925925925925927</v>
      </c>
      <c r="P18" s="277"/>
      <c r="Q18" s="993">
        <f>+'Plan de Accion Proyectos estrat'!AT19</f>
        <v>0</v>
      </c>
      <c r="R18" s="981">
        <f>+'Plan de Accion Proyectos estrat'!BU19</f>
        <v>0</v>
      </c>
      <c r="S18" s="981">
        <f>IF(R18&gt;100%,100%,R18)</f>
        <v>0</v>
      </c>
      <c r="T18" s="981">
        <f>+'Plan de Accion Proyectos estrat'!AV19</f>
        <v>0.15925925925925927</v>
      </c>
      <c r="U18" s="981">
        <f>IF(T18&gt;100%,100%,T18)</f>
        <v>0.15925925925925927</v>
      </c>
      <c r="V18" s="987">
        <f>+U18</f>
        <v>0.15925925925925927</v>
      </c>
      <c r="W18" s="278"/>
      <c r="X18" s="993">
        <f>+'Plan de Accion Proyectos estrat'!BD19</f>
        <v>0</v>
      </c>
      <c r="Y18" s="981">
        <f>+'Plan de Accion Proyectos estrat'!BW19</f>
        <v>0</v>
      </c>
      <c r="Z18" s="981">
        <f>IF(Y18&gt;100%,100%,Y18)</f>
        <v>0</v>
      </c>
      <c r="AA18" s="984">
        <f>+'Plan de Accion Proyectos estrat'!AL19</f>
        <v>0.15925925925925927</v>
      </c>
      <c r="AB18" s="984">
        <f>IF(AA18&gt;100%,100%,AA18)</f>
        <v>0.15925925925925927</v>
      </c>
      <c r="AC18" s="979">
        <f>+AB18</f>
        <v>0.15925925925925927</v>
      </c>
      <c r="AD18" s="277"/>
      <c r="AE18" s="993">
        <f>+'Plan de Accion Proyectos estrat'!AT19</f>
        <v>0</v>
      </c>
      <c r="AF18" s="981">
        <f>+'Plan de Accion Proyectos estrat'!BY19</f>
        <v>0</v>
      </c>
      <c r="AG18" s="981">
        <f>IF(AF18&gt;100%,100%,AF18)</f>
        <v>0</v>
      </c>
      <c r="AH18" s="981">
        <f>+'Plan de Accion Proyectos estrat'!BP19</f>
        <v>0.15925925925925927</v>
      </c>
      <c r="AI18" s="987">
        <f>IF(AH18&gt;100%,100%,AH18)</f>
        <v>0.15925925925925927</v>
      </c>
      <c r="AJ18" s="996"/>
      <c r="AL18" s="1034"/>
      <c r="AM18" s="998"/>
      <c r="AN18" s="267"/>
      <c r="AO18" s="1037"/>
      <c r="AP18" s="998"/>
      <c r="AQ18" s="267"/>
      <c r="AR18" s="1034"/>
      <c r="AS18" s="998"/>
      <c r="AT18" s="267"/>
      <c r="AU18" s="1034"/>
      <c r="AV18" s="998"/>
      <c r="AW18" s="265"/>
      <c r="AX18" s="1016"/>
      <c r="AZ18" s="1034"/>
      <c r="BA18" s="998"/>
      <c r="BB18" s="267"/>
      <c r="BC18" s="1037"/>
      <c r="BD18" s="998"/>
      <c r="BE18" s="267"/>
      <c r="BF18" s="1034"/>
      <c r="BG18" s="998"/>
      <c r="BH18" s="267"/>
      <c r="BI18" s="1034"/>
      <c r="BJ18" s="998"/>
      <c r="BK18" s="265"/>
      <c r="BL18" s="1016"/>
      <c r="BN18" s="1034"/>
      <c r="BO18" s="998"/>
      <c r="BP18" s="267"/>
      <c r="BQ18" s="1037"/>
      <c r="BR18" s="998"/>
      <c r="BS18" s="267"/>
      <c r="BT18" s="1034"/>
      <c r="BU18" s="998"/>
      <c r="BV18" s="267"/>
      <c r="BW18" s="1034"/>
      <c r="BX18" s="998"/>
      <c r="BY18" s="265"/>
      <c r="BZ18" s="1016"/>
      <c r="CB18" s="1034"/>
      <c r="CC18" s="998"/>
      <c r="CD18" s="267"/>
      <c r="CE18" s="1037"/>
      <c r="CF18" s="998"/>
      <c r="CG18" s="267"/>
      <c r="CH18" s="1034"/>
      <c r="CI18" s="998"/>
      <c r="CJ18" s="267"/>
      <c r="CK18" s="1034"/>
      <c r="CL18" s="998"/>
      <c r="CM18" s="265"/>
      <c r="CN18" s="1016"/>
    </row>
    <row r="19" spans="2:92" ht="57" x14ac:dyDescent="0.2">
      <c r="B19" s="1077"/>
      <c r="C19" s="956"/>
      <c r="D19" s="956"/>
      <c r="E19" s="946"/>
      <c r="F19" s="951"/>
      <c r="G19" s="355" t="str">
        <f>+'Plan de Accion Proyectos estrat'!K20</f>
        <v>Informes de auditorias correctivas según resolución 2199 de 2013 y 4894 de 2015</v>
      </c>
      <c r="H19" s="1002"/>
      <c r="I19" s="267"/>
      <c r="J19" s="994"/>
      <c r="K19" s="931"/>
      <c r="L19" s="931"/>
      <c r="M19" s="931"/>
      <c r="N19" s="931"/>
      <c r="O19" s="931"/>
      <c r="P19" s="277"/>
      <c r="Q19" s="994"/>
      <c r="R19" s="982"/>
      <c r="S19" s="982"/>
      <c r="T19" s="982"/>
      <c r="U19" s="982"/>
      <c r="V19" s="988"/>
      <c r="W19" s="278"/>
      <c r="X19" s="994"/>
      <c r="Y19" s="982"/>
      <c r="Z19" s="982"/>
      <c r="AA19" s="985"/>
      <c r="AB19" s="985"/>
      <c r="AC19" s="1021"/>
      <c r="AD19" s="277"/>
      <c r="AE19" s="994"/>
      <c r="AF19" s="982"/>
      <c r="AG19" s="982"/>
      <c r="AH19" s="982"/>
      <c r="AI19" s="988"/>
      <c r="AJ19" s="996"/>
      <c r="AL19" s="1034"/>
      <c r="AM19" s="998"/>
      <c r="AN19" s="267"/>
      <c r="AO19" s="1037"/>
      <c r="AP19" s="998"/>
      <c r="AQ19" s="267"/>
      <c r="AR19" s="1034"/>
      <c r="AS19" s="998"/>
      <c r="AT19" s="267"/>
      <c r="AU19" s="1034"/>
      <c r="AV19" s="998"/>
      <c r="AW19" s="265"/>
      <c r="AX19" s="1016"/>
      <c r="AZ19" s="1034"/>
      <c r="BA19" s="998"/>
      <c r="BB19" s="267"/>
      <c r="BC19" s="1037"/>
      <c r="BD19" s="998"/>
      <c r="BE19" s="267"/>
      <c r="BF19" s="1034"/>
      <c r="BG19" s="998"/>
      <c r="BH19" s="267"/>
      <c r="BI19" s="1034"/>
      <c r="BJ19" s="998"/>
      <c r="BK19" s="265"/>
      <c r="BL19" s="1016"/>
      <c r="BN19" s="1034"/>
      <c r="BO19" s="998"/>
      <c r="BP19" s="267"/>
      <c r="BQ19" s="1037"/>
      <c r="BR19" s="998"/>
      <c r="BS19" s="267"/>
      <c r="BT19" s="1034"/>
      <c r="BU19" s="998"/>
      <c r="BV19" s="267"/>
      <c r="BW19" s="1034"/>
      <c r="BX19" s="998"/>
      <c r="BY19" s="265"/>
      <c r="BZ19" s="1016"/>
      <c r="CB19" s="1034"/>
      <c r="CC19" s="998"/>
      <c r="CD19" s="267"/>
      <c r="CE19" s="1037"/>
      <c r="CF19" s="998"/>
      <c r="CG19" s="267"/>
      <c r="CH19" s="1034"/>
      <c r="CI19" s="998"/>
      <c r="CJ19" s="267"/>
      <c r="CK19" s="1034"/>
      <c r="CL19" s="998"/>
      <c r="CM19" s="265"/>
      <c r="CN19" s="1016"/>
    </row>
    <row r="20" spans="2:92" ht="71.25" x14ac:dyDescent="0.2">
      <c r="B20" s="1077"/>
      <c r="C20" s="956"/>
      <c r="D20" s="956"/>
      <c r="E20" s="946"/>
      <c r="F20" s="951"/>
      <c r="G20" s="355" t="str">
        <f>+'Plan de Accion Proyectos estrat'!K21</f>
        <v>Depuración de registros de BDUA de acuerdo con solicitudes del MSPS, según resolución 2199 de 2013 y 4894 de 2015</v>
      </c>
      <c r="H20" s="1002"/>
      <c r="I20" s="267"/>
      <c r="J20" s="994"/>
      <c r="K20" s="931"/>
      <c r="L20" s="931"/>
      <c r="M20" s="931"/>
      <c r="N20" s="931"/>
      <c r="O20" s="931"/>
      <c r="P20" s="277"/>
      <c r="Q20" s="994"/>
      <c r="R20" s="982"/>
      <c r="S20" s="982"/>
      <c r="T20" s="982"/>
      <c r="U20" s="982"/>
      <c r="V20" s="988"/>
      <c r="W20" s="277"/>
      <c r="X20" s="994"/>
      <c r="Y20" s="982"/>
      <c r="Z20" s="982"/>
      <c r="AA20" s="985"/>
      <c r="AB20" s="985"/>
      <c r="AC20" s="1021"/>
      <c r="AD20" s="277"/>
      <c r="AE20" s="994"/>
      <c r="AF20" s="982"/>
      <c r="AG20" s="982"/>
      <c r="AH20" s="982"/>
      <c r="AI20" s="988"/>
      <c r="AJ20" s="996"/>
      <c r="AL20" s="1034"/>
      <c r="AM20" s="998"/>
      <c r="AN20" s="267"/>
      <c r="AO20" s="1037"/>
      <c r="AP20" s="998"/>
      <c r="AQ20" s="267"/>
      <c r="AR20" s="1034"/>
      <c r="AS20" s="998"/>
      <c r="AT20" s="267"/>
      <c r="AU20" s="1034"/>
      <c r="AV20" s="998"/>
      <c r="AW20" s="265"/>
      <c r="AX20" s="1016"/>
      <c r="AZ20" s="1034"/>
      <c r="BA20" s="998"/>
      <c r="BB20" s="267"/>
      <c r="BC20" s="1037"/>
      <c r="BD20" s="998"/>
      <c r="BE20" s="267"/>
      <c r="BF20" s="1034"/>
      <c r="BG20" s="998"/>
      <c r="BH20" s="267"/>
      <c r="BI20" s="1034"/>
      <c r="BJ20" s="998"/>
      <c r="BK20" s="265"/>
      <c r="BL20" s="1016"/>
      <c r="BN20" s="1034"/>
      <c r="BO20" s="998"/>
      <c r="BP20" s="267"/>
      <c r="BQ20" s="1037"/>
      <c r="BR20" s="998"/>
      <c r="BS20" s="267"/>
      <c r="BT20" s="1034"/>
      <c r="BU20" s="998"/>
      <c r="BV20" s="267"/>
      <c r="BW20" s="1034"/>
      <c r="BX20" s="998"/>
      <c r="BY20" s="265"/>
      <c r="BZ20" s="1016"/>
      <c r="CB20" s="1034"/>
      <c r="CC20" s="998"/>
      <c r="CD20" s="267"/>
      <c r="CE20" s="1037"/>
      <c r="CF20" s="998"/>
      <c r="CG20" s="267"/>
      <c r="CH20" s="1034"/>
      <c r="CI20" s="998"/>
      <c r="CJ20" s="267"/>
      <c r="CK20" s="1034"/>
      <c r="CL20" s="998"/>
      <c r="CM20" s="265"/>
      <c r="CN20" s="1016"/>
    </row>
    <row r="21" spans="2:92" ht="42.75" x14ac:dyDescent="0.2">
      <c r="B21" s="1077"/>
      <c r="C21" s="956"/>
      <c r="D21" s="956"/>
      <c r="E21" s="946"/>
      <c r="F21" s="951"/>
      <c r="G21" s="355" t="str">
        <f>+'Plan de Accion Proyectos estrat'!K22</f>
        <v>Apoyo técnico para respuestas a PQRSD relacionadas con BDUA</v>
      </c>
      <c r="H21" s="1002"/>
      <c r="I21" s="267"/>
      <c r="J21" s="995"/>
      <c r="K21" s="932"/>
      <c r="L21" s="932"/>
      <c r="M21" s="932"/>
      <c r="N21" s="932"/>
      <c r="O21" s="932"/>
      <c r="P21" s="277"/>
      <c r="Q21" s="995"/>
      <c r="R21" s="983"/>
      <c r="S21" s="983"/>
      <c r="T21" s="983"/>
      <c r="U21" s="983"/>
      <c r="V21" s="989"/>
      <c r="W21" s="278"/>
      <c r="X21" s="995"/>
      <c r="Y21" s="983"/>
      <c r="Z21" s="983"/>
      <c r="AA21" s="986"/>
      <c r="AB21" s="986"/>
      <c r="AC21" s="980"/>
      <c r="AD21" s="277"/>
      <c r="AE21" s="995"/>
      <c r="AF21" s="983"/>
      <c r="AG21" s="983"/>
      <c r="AH21" s="983"/>
      <c r="AI21" s="989"/>
      <c r="AJ21" s="996"/>
      <c r="AL21" s="1034"/>
      <c r="AM21" s="998"/>
      <c r="AN21" s="267"/>
      <c r="AO21" s="1037"/>
      <c r="AP21" s="998"/>
      <c r="AQ21" s="267"/>
      <c r="AR21" s="1034"/>
      <c r="AS21" s="998"/>
      <c r="AT21" s="267"/>
      <c r="AU21" s="1034"/>
      <c r="AV21" s="998"/>
      <c r="AW21" s="265"/>
      <c r="AX21" s="1016"/>
      <c r="AZ21" s="1034"/>
      <c r="BA21" s="998"/>
      <c r="BB21" s="267"/>
      <c r="BC21" s="1037"/>
      <c r="BD21" s="998"/>
      <c r="BE21" s="267"/>
      <c r="BF21" s="1034"/>
      <c r="BG21" s="998"/>
      <c r="BH21" s="267"/>
      <c r="BI21" s="1034"/>
      <c r="BJ21" s="998"/>
      <c r="BK21" s="265"/>
      <c r="BL21" s="1016"/>
      <c r="BN21" s="1034"/>
      <c r="BO21" s="998"/>
      <c r="BP21" s="267"/>
      <c r="BQ21" s="1037"/>
      <c r="BR21" s="998"/>
      <c r="BS21" s="267"/>
      <c r="BT21" s="1034"/>
      <c r="BU21" s="998"/>
      <c r="BV21" s="267"/>
      <c r="BW21" s="1034"/>
      <c r="BX21" s="998"/>
      <c r="BY21" s="265"/>
      <c r="BZ21" s="1016"/>
      <c r="CB21" s="1034"/>
      <c r="CC21" s="998"/>
      <c r="CD21" s="267"/>
      <c r="CE21" s="1037"/>
      <c r="CF21" s="998"/>
      <c r="CG21" s="267"/>
      <c r="CH21" s="1034"/>
      <c r="CI21" s="998"/>
      <c r="CJ21" s="267"/>
      <c r="CK21" s="1034"/>
      <c r="CL21" s="998"/>
      <c r="CM21" s="265"/>
      <c r="CN21" s="1016"/>
    </row>
    <row r="22" spans="2:92" ht="57" customHeight="1" x14ac:dyDescent="0.2">
      <c r="B22" s="1077"/>
      <c r="C22" s="957"/>
      <c r="D22" s="957"/>
      <c r="E22" s="947"/>
      <c r="F22" s="951"/>
      <c r="G22" s="385" t="str">
        <f>+'Plan de Accion Proyectos estrat'!K23</f>
        <v>Apoyo en soporte, desarrollo y mantenimiento e integración de aplicativos misionales</v>
      </c>
      <c r="H22" s="1002"/>
      <c r="I22" s="267"/>
      <c r="J22" s="372">
        <f>+'Plan de Accion Proyectos estrat'!AJ23</f>
        <v>0.18138226171520111</v>
      </c>
      <c r="K22" s="615">
        <f>+'Plan de Accion Proyectos estrat'!BS23</f>
        <v>0.18138226171520111</v>
      </c>
      <c r="L22" s="615">
        <f>IF(K22&gt;100%,100%,K22)</f>
        <v>0.18138226171520111</v>
      </c>
      <c r="M22" s="615">
        <f>+'Plan de Accion Proyectos estrat'!AL23</f>
        <v>4.5345565428800277E-2</v>
      </c>
      <c r="N22" s="615">
        <f t="shared" ref="N22:N30" si="0">IF(M22&gt;100%,100%,M22)</f>
        <v>4.5345565428800277E-2</v>
      </c>
      <c r="O22" s="615">
        <f t="shared" ref="O22:O30" si="1">+N22</f>
        <v>4.5345565428800277E-2</v>
      </c>
      <c r="P22" s="277"/>
      <c r="Q22" s="372">
        <f>+'Plan de Accion Proyectos estrat'!AT23</f>
        <v>0</v>
      </c>
      <c r="R22" s="373">
        <f>+'Plan de Accion Proyectos estrat'!BU23</f>
        <v>0</v>
      </c>
      <c r="S22" s="276">
        <f>IF(R22&gt;100%,100%,R22)</f>
        <v>0</v>
      </c>
      <c r="T22" s="373">
        <f>+'Plan de Accion Proyectos estrat'!AV23</f>
        <v>4.5345565428800277E-2</v>
      </c>
      <c r="U22" s="373">
        <f>IF(T22&gt;100%,100%,T22)</f>
        <v>4.5345565428800277E-2</v>
      </c>
      <c r="V22" s="275">
        <f>+U22</f>
        <v>4.5345565428800277E-2</v>
      </c>
      <c r="W22" s="278"/>
      <c r="X22" s="372">
        <f>+'Plan de Accion Proyectos estrat'!BD23</f>
        <v>0</v>
      </c>
      <c r="Y22" s="373">
        <f>+'Plan de Accion Proyectos estrat'!BW23</f>
        <v>0</v>
      </c>
      <c r="Z22" s="276">
        <f>IF(Y22&gt;100%,100%,Y22)</f>
        <v>0</v>
      </c>
      <c r="AA22" s="358">
        <f>+'Plan de Accion Proyectos estrat'!AL23</f>
        <v>4.5345565428800277E-2</v>
      </c>
      <c r="AB22" s="358">
        <f>IF(AA22&gt;100%,100%,AA22)</f>
        <v>4.5345565428800277E-2</v>
      </c>
      <c r="AC22" s="371">
        <f>+AB22</f>
        <v>4.5345565428800277E-2</v>
      </c>
      <c r="AD22" s="277"/>
      <c r="AE22" s="372">
        <f>+'Plan de Accion Proyectos estrat'!AT23</f>
        <v>0</v>
      </c>
      <c r="AF22" s="373">
        <f>+'Plan de Accion Proyectos estrat'!BY23</f>
        <v>0</v>
      </c>
      <c r="AG22" s="276">
        <f>IF(AF22&gt;100%,100%,AF22)</f>
        <v>0</v>
      </c>
      <c r="AH22" s="373">
        <f>+'Plan de Accion Proyectos estrat'!BP23</f>
        <v>4.5345565428800277E-2</v>
      </c>
      <c r="AI22" s="275">
        <f>IF(AH22&gt;100%,100%,AH22)</f>
        <v>4.5345565428800277E-2</v>
      </c>
      <c r="AJ22" s="996"/>
      <c r="AL22" s="1034"/>
      <c r="AM22" s="998"/>
      <c r="AN22" s="267"/>
      <c r="AO22" s="1037"/>
      <c r="AP22" s="998"/>
      <c r="AQ22" s="267"/>
      <c r="AR22" s="1034"/>
      <c r="AS22" s="998"/>
      <c r="AT22" s="267"/>
      <c r="AU22" s="1034"/>
      <c r="AV22" s="998"/>
      <c r="AW22" s="265"/>
      <c r="AX22" s="1016"/>
      <c r="AZ22" s="1034"/>
      <c r="BA22" s="998"/>
      <c r="BB22" s="267"/>
      <c r="BC22" s="1037"/>
      <c r="BD22" s="998"/>
      <c r="BE22" s="267"/>
      <c r="BF22" s="1034"/>
      <c r="BG22" s="998"/>
      <c r="BH22" s="267"/>
      <c r="BI22" s="1034"/>
      <c r="BJ22" s="998"/>
      <c r="BK22" s="265"/>
      <c r="BL22" s="1016"/>
      <c r="BN22" s="1034"/>
      <c r="BO22" s="998"/>
      <c r="BP22" s="267"/>
      <c r="BQ22" s="1037"/>
      <c r="BR22" s="998"/>
      <c r="BS22" s="267"/>
      <c r="BT22" s="1034"/>
      <c r="BU22" s="998"/>
      <c r="BV22" s="267"/>
      <c r="BW22" s="1034"/>
      <c r="BX22" s="998"/>
      <c r="BY22" s="265"/>
      <c r="BZ22" s="1016"/>
      <c r="CB22" s="1034"/>
      <c r="CC22" s="998"/>
      <c r="CD22" s="267"/>
      <c r="CE22" s="1037"/>
      <c r="CF22" s="998"/>
      <c r="CG22" s="267"/>
      <c r="CH22" s="1034"/>
      <c r="CI22" s="998"/>
      <c r="CJ22" s="267"/>
      <c r="CK22" s="1034"/>
      <c r="CL22" s="998"/>
      <c r="CM22" s="265"/>
      <c r="CN22" s="1016"/>
    </row>
    <row r="23" spans="2:92" ht="85.5" customHeight="1" x14ac:dyDescent="0.2">
      <c r="B23" s="1077"/>
      <c r="C23" s="1073" t="s">
        <v>346</v>
      </c>
      <c r="D23" s="958" t="s">
        <v>342</v>
      </c>
      <c r="E23" s="948" t="s">
        <v>12</v>
      </c>
      <c r="F23" s="948" t="s">
        <v>332</v>
      </c>
      <c r="G23" s="385" t="str">
        <f>+'Plan de Accion Proyectos estrat'!K24</f>
        <v>Proceso de saneamiento de aportes ejecutado</v>
      </c>
      <c r="H23" s="1002"/>
      <c r="I23" s="267"/>
      <c r="J23" s="372">
        <f>+'Plan de Accion Proyectos estrat'!AJ24</f>
        <v>0.75555556883105812</v>
      </c>
      <c r="K23" s="615">
        <f>+'Plan de Accion Proyectos estrat'!BS24</f>
        <v>0.75555556883105812</v>
      </c>
      <c r="L23" s="615">
        <f>IF(K23&gt;100%,100%,K23)</f>
        <v>0.75555556883105812</v>
      </c>
      <c r="M23" s="615">
        <f>+'Plan de Accion Proyectos estrat'!AL24</f>
        <v>0.18888889220776453</v>
      </c>
      <c r="N23" s="615">
        <f t="shared" si="0"/>
        <v>0.18888889220776453</v>
      </c>
      <c r="O23" s="615">
        <f t="shared" si="1"/>
        <v>0.18888889220776453</v>
      </c>
      <c r="P23" s="277"/>
      <c r="Q23" s="372">
        <f>+'Plan de Accion Proyectos estrat'!AT24</f>
        <v>0</v>
      </c>
      <c r="R23" s="373">
        <f>+'Plan de Accion Proyectos estrat'!BU24</f>
        <v>0</v>
      </c>
      <c r="S23" s="276">
        <f>IF(R23&gt;100%,100%,R23)</f>
        <v>0</v>
      </c>
      <c r="T23" s="373">
        <f>+'Plan de Accion Proyectos estrat'!AV24</f>
        <v>0.18888889220776453</v>
      </c>
      <c r="U23" s="373">
        <f>IF(T23&gt;100%,100%,T23)</f>
        <v>0.18888889220776453</v>
      </c>
      <c r="V23" s="275">
        <f>+U23</f>
        <v>0.18888889220776453</v>
      </c>
      <c r="W23" s="278"/>
      <c r="X23" s="372">
        <f>+'Plan de Accion Proyectos estrat'!BD24</f>
        <v>0</v>
      </c>
      <c r="Y23" s="373">
        <f>+'Plan de Accion Proyectos estrat'!BW24</f>
        <v>0</v>
      </c>
      <c r="Z23" s="276">
        <f>IF(Y23&gt;100%,100%,Y23)</f>
        <v>0</v>
      </c>
      <c r="AA23" s="358">
        <f>+'Plan de Accion Proyectos estrat'!AL24</f>
        <v>0.18888889220776453</v>
      </c>
      <c r="AB23" s="358">
        <f>IF(AA23&gt;100%,100%,AA23)</f>
        <v>0.18888889220776453</v>
      </c>
      <c r="AC23" s="371">
        <f>+AB23</f>
        <v>0.18888889220776453</v>
      </c>
      <c r="AD23" s="277"/>
      <c r="AE23" s="372">
        <f>+'Plan de Accion Proyectos estrat'!AT24</f>
        <v>0</v>
      </c>
      <c r="AF23" s="373">
        <f>+'Plan de Accion Proyectos estrat'!BY24</f>
        <v>0</v>
      </c>
      <c r="AG23" s="276">
        <f>IF(AF23&gt;100%,100%,AF23)</f>
        <v>0</v>
      </c>
      <c r="AH23" s="373">
        <f>+'Plan de Accion Proyectos estrat'!BP24</f>
        <v>0.18888889220776453</v>
      </c>
      <c r="AI23" s="275">
        <f>IF(AH23&gt;100%,100%,AH23)</f>
        <v>0.18888889220776453</v>
      </c>
      <c r="AJ23" s="996"/>
      <c r="AL23" s="1034"/>
      <c r="AM23" s="998"/>
      <c r="AN23" s="267"/>
      <c r="AO23" s="1037"/>
      <c r="AP23" s="998"/>
      <c r="AQ23" s="267"/>
      <c r="AR23" s="1034"/>
      <c r="AS23" s="998"/>
      <c r="AT23" s="267"/>
      <c r="AU23" s="1034"/>
      <c r="AV23" s="998"/>
      <c r="AW23" s="265"/>
      <c r="AX23" s="1016"/>
      <c r="AZ23" s="1034"/>
      <c r="BA23" s="998"/>
      <c r="BB23" s="267"/>
      <c r="BC23" s="1037"/>
      <c r="BD23" s="998"/>
      <c r="BE23" s="267"/>
      <c r="BF23" s="1034"/>
      <c r="BG23" s="998"/>
      <c r="BH23" s="267"/>
      <c r="BI23" s="1034"/>
      <c r="BJ23" s="998"/>
      <c r="BK23" s="265"/>
      <c r="BL23" s="1016"/>
      <c r="BN23" s="1034"/>
      <c r="BO23" s="998"/>
      <c r="BP23" s="267"/>
      <c r="BQ23" s="1037"/>
      <c r="BR23" s="998"/>
      <c r="BS23" s="267"/>
      <c r="BT23" s="1034"/>
      <c r="BU23" s="998"/>
      <c r="BV23" s="267"/>
      <c r="BW23" s="1034"/>
      <c r="BX23" s="998"/>
      <c r="BY23" s="265"/>
      <c r="BZ23" s="1016"/>
      <c r="CB23" s="1034"/>
      <c r="CC23" s="998"/>
      <c r="CD23" s="267"/>
      <c r="CE23" s="1037"/>
      <c r="CF23" s="998"/>
      <c r="CG23" s="267"/>
      <c r="CH23" s="1034"/>
      <c r="CI23" s="998"/>
      <c r="CJ23" s="267"/>
      <c r="CK23" s="1034"/>
      <c r="CL23" s="998"/>
      <c r="CM23" s="265"/>
      <c r="CN23" s="1016"/>
    </row>
    <row r="24" spans="2:92" ht="42.75" x14ac:dyDescent="0.2">
      <c r="B24" s="1077"/>
      <c r="C24" s="1074"/>
      <c r="D24" s="943"/>
      <c r="E24" s="949"/>
      <c r="F24" s="949"/>
      <c r="G24" s="385" t="str">
        <f>+'Plan de Accion Proyectos estrat'!K25</f>
        <v>Procesos optimizados mediante desarrollos o ajustes tecnológicos</v>
      </c>
      <c r="H24" s="1002"/>
      <c r="I24" s="267"/>
      <c r="J24" s="372">
        <f>+'Plan de Accion Proyectos estrat'!AJ25</f>
        <v>0</v>
      </c>
      <c r="K24" s="615">
        <f>+'Plan de Accion Proyectos estrat'!BS25</f>
        <v>0</v>
      </c>
      <c r="L24" s="615">
        <f t="shared" ref="L24:L30" si="2">IF(K24&gt;100%,100%,K24)</f>
        <v>0</v>
      </c>
      <c r="M24" s="615">
        <f>+'Plan de Accion Proyectos estrat'!AL25</f>
        <v>0</v>
      </c>
      <c r="N24" s="615">
        <f t="shared" si="0"/>
        <v>0</v>
      </c>
      <c r="O24" s="615">
        <f t="shared" si="1"/>
        <v>0</v>
      </c>
      <c r="P24" s="277"/>
      <c r="Q24" s="372">
        <f>+'Plan de Accion Proyectos estrat'!AT25</f>
        <v>0</v>
      </c>
      <c r="R24" s="373">
        <f>+'Plan de Accion Proyectos estrat'!BU25</f>
        <v>0</v>
      </c>
      <c r="S24" s="276">
        <f t="shared" ref="S24:S30" si="3">IF(R24&gt;100%,100%,R24)</f>
        <v>0</v>
      </c>
      <c r="T24" s="373">
        <f>+'Plan de Accion Proyectos estrat'!AV25</f>
        <v>0</v>
      </c>
      <c r="U24" s="373">
        <f t="shared" ref="U24:U30" si="4">IF(T24&gt;100%,100%,T24)</f>
        <v>0</v>
      </c>
      <c r="V24" s="275">
        <f t="shared" ref="V24:V30" si="5">+U24</f>
        <v>0</v>
      </c>
      <c r="W24" s="278"/>
      <c r="X24" s="372">
        <f>+'Plan de Accion Proyectos estrat'!BD25</f>
        <v>0</v>
      </c>
      <c r="Y24" s="373">
        <f>+'Plan de Accion Proyectos estrat'!BW25</f>
        <v>0</v>
      </c>
      <c r="Z24" s="276">
        <f t="shared" ref="Z24:Z30" si="6">IF(Y24&gt;100%,100%,Y24)</f>
        <v>0</v>
      </c>
      <c r="AA24" s="358">
        <f>+'Plan de Accion Proyectos estrat'!AL25</f>
        <v>0</v>
      </c>
      <c r="AB24" s="358">
        <f t="shared" ref="AB24:AB30" si="7">IF(AA24&gt;100%,100%,AA24)</f>
        <v>0</v>
      </c>
      <c r="AC24" s="371">
        <f t="shared" ref="AC24:AC30" si="8">+AB24</f>
        <v>0</v>
      </c>
      <c r="AD24" s="277"/>
      <c r="AE24" s="372">
        <f>+'Plan de Accion Proyectos estrat'!AT25</f>
        <v>0</v>
      </c>
      <c r="AF24" s="373">
        <f>+'Plan de Accion Proyectos estrat'!BY25</f>
        <v>0</v>
      </c>
      <c r="AG24" s="276">
        <f t="shared" ref="AG24:AG34" si="9">IF(AF24&gt;100%,100%,AF24)</f>
        <v>0</v>
      </c>
      <c r="AH24" s="373">
        <f>+'Plan de Accion Proyectos estrat'!BP25</f>
        <v>0</v>
      </c>
      <c r="AI24" s="275">
        <f t="shared" ref="AI24:AI30" si="10">IF(AH24&gt;100%,100%,AH24)</f>
        <v>0</v>
      </c>
      <c r="AJ24" s="996"/>
      <c r="AL24" s="1034"/>
      <c r="AM24" s="998"/>
      <c r="AN24" s="267"/>
      <c r="AO24" s="1037"/>
      <c r="AP24" s="998"/>
      <c r="AQ24" s="267"/>
      <c r="AR24" s="1034"/>
      <c r="AS24" s="998"/>
      <c r="AT24" s="267"/>
      <c r="AU24" s="1034"/>
      <c r="AV24" s="998"/>
      <c r="AW24" s="265"/>
      <c r="AX24" s="1016"/>
      <c r="AZ24" s="1034"/>
      <c r="BA24" s="998"/>
      <c r="BB24" s="267"/>
      <c r="BC24" s="1037"/>
      <c r="BD24" s="998"/>
      <c r="BE24" s="267"/>
      <c r="BF24" s="1034"/>
      <c r="BG24" s="998"/>
      <c r="BH24" s="267"/>
      <c r="BI24" s="1034"/>
      <c r="BJ24" s="998"/>
      <c r="BK24" s="265"/>
      <c r="BL24" s="1016"/>
      <c r="BN24" s="1034"/>
      <c r="BO24" s="998"/>
      <c r="BP24" s="267"/>
      <c r="BQ24" s="1037"/>
      <c r="BR24" s="998"/>
      <c r="BS24" s="267"/>
      <c r="BT24" s="1034"/>
      <c r="BU24" s="998"/>
      <c r="BV24" s="267"/>
      <c r="BW24" s="1034"/>
      <c r="BX24" s="998"/>
      <c r="BY24" s="265"/>
      <c r="BZ24" s="1016"/>
      <c r="CB24" s="1034"/>
      <c r="CC24" s="998"/>
      <c r="CD24" s="267"/>
      <c r="CE24" s="1037"/>
      <c r="CF24" s="998"/>
      <c r="CG24" s="267"/>
      <c r="CH24" s="1034"/>
      <c r="CI24" s="998"/>
      <c r="CJ24" s="267"/>
      <c r="CK24" s="1034"/>
      <c r="CL24" s="998"/>
      <c r="CM24" s="265"/>
      <c r="CN24" s="1016"/>
    </row>
    <row r="25" spans="2:92" ht="71.25" x14ac:dyDescent="0.2">
      <c r="B25" s="1077"/>
      <c r="C25" s="1074"/>
      <c r="D25" s="943"/>
      <c r="E25" s="949"/>
      <c r="F25" s="949"/>
      <c r="G25" s="385" t="str">
        <f>+'Plan de Accion Proyectos estrat'!K26</f>
        <v>Controles de los procesos de liquidación y reconocimiento de UPC y de prestaciones económicas verificados y ajustados</v>
      </c>
      <c r="H25" s="1002"/>
      <c r="I25" s="267"/>
      <c r="J25" s="372">
        <f>+'Plan de Accion Proyectos estrat'!AJ26</f>
        <v>0.53684281288191593</v>
      </c>
      <c r="K25" s="615">
        <f>+'Plan de Accion Proyectos estrat'!BS26</f>
        <v>0.53684281288191593</v>
      </c>
      <c r="L25" s="615">
        <f t="shared" si="2"/>
        <v>0.53684281288191593</v>
      </c>
      <c r="M25" s="615">
        <f>+'Plan de Accion Proyectos estrat'!AL26</f>
        <v>0.13421070322047898</v>
      </c>
      <c r="N25" s="615">
        <f t="shared" si="0"/>
        <v>0.13421070322047898</v>
      </c>
      <c r="O25" s="615">
        <f t="shared" si="1"/>
        <v>0.13421070322047898</v>
      </c>
      <c r="P25" s="277"/>
      <c r="Q25" s="372">
        <f>+'Plan de Accion Proyectos estrat'!AT26</f>
        <v>0</v>
      </c>
      <c r="R25" s="373">
        <f>+'Plan de Accion Proyectos estrat'!BU26</f>
        <v>0</v>
      </c>
      <c r="S25" s="276">
        <f t="shared" si="3"/>
        <v>0</v>
      </c>
      <c r="T25" s="373">
        <f>+'Plan de Accion Proyectos estrat'!AV26</f>
        <v>0.13421070322047898</v>
      </c>
      <c r="U25" s="373">
        <f t="shared" si="4"/>
        <v>0.13421070322047898</v>
      </c>
      <c r="V25" s="275">
        <f t="shared" si="5"/>
        <v>0.13421070322047898</v>
      </c>
      <c r="W25" s="278"/>
      <c r="X25" s="372">
        <f>+'Plan de Accion Proyectos estrat'!BD26</f>
        <v>0</v>
      </c>
      <c r="Y25" s="373">
        <f>+'Plan de Accion Proyectos estrat'!BW26</f>
        <v>0</v>
      </c>
      <c r="Z25" s="276">
        <f t="shared" si="6"/>
        <v>0</v>
      </c>
      <c r="AA25" s="358">
        <f>+'Plan de Accion Proyectos estrat'!AL26</f>
        <v>0.13421070322047898</v>
      </c>
      <c r="AB25" s="358">
        <f t="shared" si="7"/>
        <v>0.13421070322047898</v>
      </c>
      <c r="AC25" s="371">
        <f t="shared" si="8"/>
        <v>0.13421070322047898</v>
      </c>
      <c r="AD25" s="277"/>
      <c r="AE25" s="372">
        <f>+'Plan de Accion Proyectos estrat'!AT26</f>
        <v>0</v>
      </c>
      <c r="AF25" s="373">
        <f>+'Plan de Accion Proyectos estrat'!BY26</f>
        <v>0</v>
      </c>
      <c r="AG25" s="276">
        <f t="shared" si="9"/>
        <v>0</v>
      </c>
      <c r="AH25" s="373">
        <f>+'Plan de Accion Proyectos estrat'!BP26</f>
        <v>0.13421070322047898</v>
      </c>
      <c r="AI25" s="275">
        <f t="shared" si="10"/>
        <v>0.13421070322047898</v>
      </c>
      <c r="AJ25" s="996"/>
      <c r="AL25" s="1034"/>
      <c r="AM25" s="998"/>
      <c r="AN25" s="267"/>
      <c r="AO25" s="1037"/>
      <c r="AP25" s="998"/>
      <c r="AQ25" s="267"/>
      <c r="AR25" s="1034"/>
      <c r="AS25" s="998"/>
      <c r="AT25" s="267"/>
      <c r="AU25" s="1034"/>
      <c r="AV25" s="998"/>
      <c r="AW25" s="265"/>
      <c r="AX25" s="1016"/>
      <c r="AZ25" s="1034"/>
      <c r="BA25" s="998"/>
      <c r="BB25" s="267"/>
      <c r="BC25" s="1037"/>
      <c r="BD25" s="998"/>
      <c r="BE25" s="267"/>
      <c r="BF25" s="1034"/>
      <c r="BG25" s="998"/>
      <c r="BH25" s="267"/>
      <c r="BI25" s="1034"/>
      <c r="BJ25" s="998"/>
      <c r="BK25" s="265"/>
      <c r="BL25" s="1016"/>
      <c r="BN25" s="1034"/>
      <c r="BO25" s="998"/>
      <c r="BP25" s="267"/>
      <c r="BQ25" s="1037"/>
      <c r="BR25" s="998"/>
      <c r="BS25" s="267"/>
      <c r="BT25" s="1034"/>
      <c r="BU25" s="998"/>
      <c r="BV25" s="267"/>
      <c r="BW25" s="1034"/>
      <c r="BX25" s="998"/>
      <c r="BY25" s="265"/>
      <c r="BZ25" s="1016"/>
      <c r="CB25" s="1034"/>
      <c r="CC25" s="998"/>
      <c r="CD25" s="267"/>
      <c r="CE25" s="1037"/>
      <c r="CF25" s="998"/>
      <c r="CG25" s="267"/>
      <c r="CH25" s="1034"/>
      <c r="CI25" s="998"/>
      <c r="CJ25" s="267"/>
      <c r="CK25" s="1034"/>
      <c r="CL25" s="998"/>
      <c r="CM25" s="265"/>
      <c r="CN25" s="1016"/>
    </row>
    <row r="26" spans="2:92" ht="37.5" customHeight="1" x14ac:dyDescent="0.2">
      <c r="B26" s="1077"/>
      <c r="C26" s="1074"/>
      <c r="D26" s="943"/>
      <c r="E26" s="949"/>
      <c r="F26" s="949"/>
      <c r="G26" s="385" t="str">
        <f>+'Plan de Accion Proyectos estrat'!K27</f>
        <v>Proceso de Compensación ejecutado</v>
      </c>
      <c r="H26" s="1002"/>
      <c r="I26" s="267"/>
      <c r="J26" s="372">
        <f>+'Plan de Accion Proyectos estrat'!AJ27</f>
        <v>0.47486723147428367</v>
      </c>
      <c r="K26" s="615">
        <f>+'Plan de Accion Proyectos estrat'!BS27</f>
        <v>0.47486723147428367</v>
      </c>
      <c r="L26" s="615">
        <f t="shared" si="2"/>
        <v>0.47486723147428367</v>
      </c>
      <c r="M26" s="615">
        <f>+'Plan de Accion Proyectos estrat'!AL27</f>
        <v>0.11871680786857092</v>
      </c>
      <c r="N26" s="615">
        <f t="shared" si="0"/>
        <v>0.11871680786857092</v>
      </c>
      <c r="O26" s="615">
        <f t="shared" si="1"/>
        <v>0.11871680786857092</v>
      </c>
      <c r="P26" s="277"/>
      <c r="Q26" s="372">
        <f>+'Plan de Accion Proyectos estrat'!AT27</f>
        <v>0</v>
      </c>
      <c r="R26" s="373">
        <f>+'Plan de Accion Proyectos estrat'!BU27</f>
        <v>0</v>
      </c>
      <c r="S26" s="276">
        <f t="shared" si="3"/>
        <v>0</v>
      </c>
      <c r="T26" s="373">
        <f>+'Plan de Accion Proyectos estrat'!AV27</f>
        <v>0.11871680786857092</v>
      </c>
      <c r="U26" s="373">
        <f t="shared" si="4"/>
        <v>0.11871680786857092</v>
      </c>
      <c r="V26" s="275">
        <f t="shared" si="5"/>
        <v>0.11871680786857092</v>
      </c>
      <c r="W26" s="278"/>
      <c r="X26" s="372">
        <f>+'Plan de Accion Proyectos estrat'!BD27</f>
        <v>0</v>
      </c>
      <c r="Y26" s="373">
        <f>+'Plan de Accion Proyectos estrat'!BW27</f>
        <v>0</v>
      </c>
      <c r="Z26" s="276">
        <f t="shared" si="6"/>
        <v>0</v>
      </c>
      <c r="AA26" s="358">
        <f>+'Plan de Accion Proyectos estrat'!AL27</f>
        <v>0.11871680786857092</v>
      </c>
      <c r="AB26" s="358">
        <f t="shared" si="7"/>
        <v>0.11871680786857092</v>
      </c>
      <c r="AC26" s="371">
        <f t="shared" si="8"/>
        <v>0.11871680786857092</v>
      </c>
      <c r="AD26" s="277"/>
      <c r="AE26" s="372">
        <f>+'Plan de Accion Proyectos estrat'!AT27</f>
        <v>0</v>
      </c>
      <c r="AF26" s="373">
        <f>+'Plan de Accion Proyectos estrat'!BY27</f>
        <v>0</v>
      </c>
      <c r="AG26" s="276">
        <f t="shared" si="9"/>
        <v>0</v>
      </c>
      <c r="AH26" s="373">
        <f>+'Plan de Accion Proyectos estrat'!BP27</f>
        <v>0.11871680786857092</v>
      </c>
      <c r="AI26" s="275">
        <f t="shared" si="10"/>
        <v>0.11871680786857092</v>
      </c>
      <c r="AJ26" s="996"/>
      <c r="AL26" s="1034"/>
      <c r="AM26" s="998"/>
      <c r="AN26" s="267"/>
      <c r="AO26" s="1037"/>
      <c r="AP26" s="998"/>
      <c r="AQ26" s="267"/>
      <c r="AR26" s="1034"/>
      <c r="AS26" s="998"/>
      <c r="AT26" s="267"/>
      <c r="AU26" s="1034"/>
      <c r="AV26" s="998"/>
      <c r="AW26" s="265"/>
      <c r="AX26" s="1016"/>
      <c r="AZ26" s="1034"/>
      <c r="BA26" s="998"/>
      <c r="BB26" s="267"/>
      <c r="BC26" s="1037"/>
      <c r="BD26" s="998"/>
      <c r="BE26" s="267"/>
      <c r="BF26" s="1034"/>
      <c r="BG26" s="998"/>
      <c r="BH26" s="267"/>
      <c r="BI26" s="1034"/>
      <c r="BJ26" s="998"/>
      <c r="BK26" s="265"/>
      <c r="BL26" s="1016"/>
      <c r="BN26" s="1034"/>
      <c r="BO26" s="998"/>
      <c r="BP26" s="267"/>
      <c r="BQ26" s="1037"/>
      <c r="BR26" s="998"/>
      <c r="BS26" s="267"/>
      <c r="BT26" s="1034"/>
      <c r="BU26" s="998"/>
      <c r="BV26" s="267"/>
      <c r="BW26" s="1034"/>
      <c r="BX26" s="998"/>
      <c r="BY26" s="265"/>
      <c r="BZ26" s="1016"/>
      <c r="CB26" s="1034"/>
      <c r="CC26" s="998"/>
      <c r="CD26" s="267"/>
      <c r="CE26" s="1037"/>
      <c r="CF26" s="998"/>
      <c r="CG26" s="267"/>
      <c r="CH26" s="1034"/>
      <c r="CI26" s="998"/>
      <c r="CJ26" s="267"/>
      <c r="CK26" s="1034"/>
      <c r="CL26" s="998"/>
      <c r="CM26" s="265"/>
      <c r="CN26" s="1016"/>
    </row>
    <row r="27" spans="2:92" ht="28.5" x14ac:dyDescent="0.2">
      <c r="B27" s="1077"/>
      <c r="C27" s="1074"/>
      <c r="D27" s="943"/>
      <c r="E27" s="949"/>
      <c r="F27" s="949"/>
      <c r="G27" s="385" t="str">
        <f>+'Plan de Accion Proyectos estrat'!K28</f>
        <v>Prestaciones económicas REX</v>
      </c>
      <c r="H27" s="1002"/>
      <c r="I27" s="267"/>
      <c r="J27" s="372">
        <f>+'Plan de Accion Proyectos estrat'!AJ28</f>
        <v>0.67777777994080279</v>
      </c>
      <c r="K27" s="615">
        <f>+'Plan de Accion Proyectos estrat'!BS28</f>
        <v>0.67777777994080279</v>
      </c>
      <c r="L27" s="615">
        <f>IF(K27&gt;100%,100%,K27)</f>
        <v>0.67777777994080279</v>
      </c>
      <c r="M27" s="615">
        <f>+'Plan de Accion Proyectos estrat'!AL28</f>
        <v>0.1694444449852007</v>
      </c>
      <c r="N27" s="615">
        <f t="shared" si="0"/>
        <v>0.1694444449852007</v>
      </c>
      <c r="O27" s="615">
        <f t="shared" si="1"/>
        <v>0.1694444449852007</v>
      </c>
      <c r="P27" s="277"/>
      <c r="Q27" s="372">
        <f>+'Plan de Accion Proyectos estrat'!AT28</f>
        <v>0</v>
      </c>
      <c r="R27" s="373">
        <f>+'Plan de Accion Proyectos estrat'!BU28</f>
        <v>0</v>
      </c>
      <c r="S27" s="276">
        <f t="shared" si="3"/>
        <v>0</v>
      </c>
      <c r="T27" s="373">
        <f>+'Plan de Accion Proyectos estrat'!AV28</f>
        <v>0.1694444449852007</v>
      </c>
      <c r="U27" s="373">
        <f t="shared" si="4"/>
        <v>0.1694444449852007</v>
      </c>
      <c r="V27" s="275">
        <f t="shared" si="5"/>
        <v>0.1694444449852007</v>
      </c>
      <c r="W27" s="278"/>
      <c r="X27" s="372">
        <f>+'Plan de Accion Proyectos estrat'!BD28</f>
        <v>0</v>
      </c>
      <c r="Y27" s="373">
        <f>+'Plan de Accion Proyectos estrat'!BW28</f>
        <v>0</v>
      </c>
      <c r="Z27" s="276">
        <f t="shared" si="6"/>
        <v>0</v>
      </c>
      <c r="AA27" s="358">
        <f>+'Plan de Accion Proyectos estrat'!AL28</f>
        <v>0.1694444449852007</v>
      </c>
      <c r="AB27" s="358">
        <f t="shared" si="7"/>
        <v>0.1694444449852007</v>
      </c>
      <c r="AC27" s="371">
        <f t="shared" si="8"/>
        <v>0.1694444449852007</v>
      </c>
      <c r="AD27" s="277"/>
      <c r="AE27" s="372">
        <f>+'Plan de Accion Proyectos estrat'!AT28</f>
        <v>0</v>
      </c>
      <c r="AF27" s="373">
        <f>+'Plan de Accion Proyectos estrat'!BY28</f>
        <v>0</v>
      </c>
      <c r="AG27" s="276">
        <f t="shared" si="9"/>
        <v>0</v>
      </c>
      <c r="AH27" s="373">
        <f>+'Plan de Accion Proyectos estrat'!BP28</f>
        <v>0.1694444449852007</v>
      </c>
      <c r="AI27" s="275">
        <f t="shared" si="10"/>
        <v>0.1694444449852007</v>
      </c>
      <c r="AJ27" s="996"/>
      <c r="AL27" s="1034"/>
      <c r="AM27" s="998"/>
      <c r="AN27" s="267"/>
      <c r="AO27" s="1037"/>
      <c r="AP27" s="998"/>
      <c r="AQ27" s="267"/>
      <c r="AR27" s="1034"/>
      <c r="AS27" s="998"/>
      <c r="AT27" s="267"/>
      <c r="AU27" s="1034"/>
      <c r="AV27" s="998"/>
      <c r="AW27" s="265"/>
      <c r="AX27" s="1016"/>
      <c r="AZ27" s="1034"/>
      <c r="BA27" s="998"/>
      <c r="BB27" s="267"/>
      <c r="BC27" s="1037"/>
      <c r="BD27" s="998"/>
      <c r="BE27" s="267"/>
      <c r="BF27" s="1034"/>
      <c r="BG27" s="998"/>
      <c r="BH27" s="267"/>
      <c r="BI27" s="1034"/>
      <c r="BJ27" s="998"/>
      <c r="BK27" s="265"/>
      <c r="BL27" s="1016"/>
      <c r="BN27" s="1034"/>
      <c r="BO27" s="998"/>
      <c r="BP27" s="267"/>
      <c r="BQ27" s="1037"/>
      <c r="BR27" s="998"/>
      <c r="BS27" s="267"/>
      <c r="BT27" s="1034"/>
      <c r="BU27" s="998"/>
      <c r="BV27" s="267"/>
      <c r="BW27" s="1034"/>
      <c r="BX27" s="998"/>
      <c r="BY27" s="265"/>
      <c r="BZ27" s="1016"/>
      <c r="CB27" s="1034"/>
      <c r="CC27" s="998"/>
      <c r="CD27" s="267"/>
      <c r="CE27" s="1037"/>
      <c r="CF27" s="998"/>
      <c r="CG27" s="267"/>
      <c r="CH27" s="1034"/>
      <c r="CI27" s="998"/>
      <c r="CJ27" s="267"/>
      <c r="CK27" s="1034"/>
      <c r="CL27" s="998"/>
      <c r="CM27" s="265"/>
      <c r="CN27" s="1016"/>
    </row>
    <row r="28" spans="2:92" ht="28.5" x14ac:dyDescent="0.2">
      <c r="B28" s="1077"/>
      <c r="C28" s="1075"/>
      <c r="D28" s="944"/>
      <c r="E28" s="950"/>
      <c r="F28" s="950"/>
      <c r="G28" s="618" t="str">
        <f>+'Plan de Accion Proyectos estrat'!K29</f>
        <v>Devoluciones económicas REX</v>
      </c>
      <c r="H28" s="1002"/>
      <c r="I28" s="267"/>
      <c r="J28" s="616">
        <f>+'Plan de Accion Proyectos estrat'!AJ29</f>
        <v>0.67777777994080279</v>
      </c>
      <c r="K28" s="615">
        <f>+'Plan de Accion Proyectos estrat'!BS29</f>
        <v>0.67777777994080279</v>
      </c>
      <c r="L28" s="615">
        <f>IF(K28&gt;100%,100%,K28)</f>
        <v>0.67777777994080279</v>
      </c>
      <c r="M28" s="615">
        <f>+'Plan de Accion Proyectos estrat'!AL29</f>
        <v>0.1694444449852007</v>
      </c>
      <c r="N28" s="615">
        <f t="shared" si="0"/>
        <v>0.1694444449852007</v>
      </c>
      <c r="O28" s="615">
        <f>+N28</f>
        <v>0.1694444449852007</v>
      </c>
      <c r="P28" s="277"/>
      <c r="Q28" s="616">
        <f>+'Plan de Accion Proyectos estrat'!AT29</f>
        <v>0</v>
      </c>
      <c r="R28" s="615">
        <f>+'Plan de Accion Proyectos estrat'!BU29</f>
        <v>0</v>
      </c>
      <c r="S28" s="276">
        <f>IF(R28&gt;100%,100%,R28)</f>
        <v>0</v>
      </c>
      <c r="T28" s="615">
        <f>+'Plan de Accion Proyectos estrat'!AV29</f>
        <v>0.1694444449852007</v>
      </c>
      <c r="U28" s="615">
        <f>IF(T28&gt;100%,100%,T28)</f>
        <v>0.1694444449852007</v>
      </c>
      <c r="V28" s="275">
        <f>+U28</f>
        <v>0.1694444449852007</v>
      </c>
      <c r="W28" s="278"/>
      <c r="X28" s="616">
        <f>+'Plan de Accion Proyectos estrat'!BD29</f>
        <v>0</v>
      </c>
      <c r="Y28" s="615">
        <f>+'Plan de Accion Proyectos estrat'!BW29</f>
        <v>0</v>
      </c>
      <c r="Z28" s="276">
        <f>IF(Y28&gt;100%,100%,Y28)</f>
        <v>0</v>
      </c>
      <c r="AA28" s="358">
        <f>+'Plan de Accion Proyectos estrat'!AL29</f>
        <v>0.1694444449852007</v>
      </c>
      <c r="AB28" s="358">
        <f>IF(AA28&gt;100%,100%,AA28)</f>
        <v>0.1694444449852007</v>
      </c>
      <c r="AC28" s="619">
        <f>+AB28</f>
        <v>0.1694444449852007</v>
      </c>
      <c r="AD28" s="277"/>
      <c r="AE28" s="616">
        <f>+'Plan de Accion Proyectos estrat'!AT29</f>
        <v>0</v>
      </c>
      <c r="AF28" s="615">
        <f>+'Plan de Accion Proyectos estrat'!BY29</f>
        <v>0</v>
      </c>
      <c r="AG28" s="276">
        <f>IF(AF28&gt;100%,100%,AF28)</f>
        <v>0</v>
      </c>
      <c r="AH28" s="615">
        <f>+'Plan de Accion Proyectos estrat'!BP29</f>
        <v>0.1694444449852007</v>
      </c>
      <c r="AI28" s="275">
        <f>IF(AH28&gt;100%,100%,AH28)</f>
        <v>0.1694444449852007</v>
      </c>
      <c r="AJ28" s="996"/>
      <c r="AL28" s="1034"/>
      <c r="AM28" s="998"/>
      <c r="AN28" s="267"/>
      <c r="AO28" s="1037"/>
      <c r="AP28" s="998"/>
      <c r="AQ28" s="267"/>
      <c r="AR28" s="1034"/>
      <c r="AS28" s="998"/>
      <c r="AT28" s="267"/>
      <c r="AU28" s="1034"/>
      <c r="AV28" s="998"/>
      <c r="AW28" s="265"/>
      <c r="AX28" s="1016"/>
      <c r="AZ28" s="1034"/>
      <c r="BA28" s="998"/>
      <c r="BB28" s="267"/>
      <c r="BC28" s="1037"/>
      <c r="BD28" s="998"/>
      <c r="BE28" s="267"/>
      <c r="BF28" s="1034"/>
      <c r="BG28" s="998"/>
      <c r="BH28" s="267"/>
      <c r="BI28" s="1034"/>
      <c r="BJ28" s="998"/>
      <c r="BK28" s="265"/>
      <c r="BL28" s="1016"/>
      <c r="BN28" s="1034"/>
      <c r="BO28" s="998"/>
      <c r="BP28" s="267"/>
      <c r="BQ28" s="1037"/>
      <c r="BR28" s="998"/>
      <c r="BS28" s="267"/>
      <c r="BT28" s="1034"/>
      <c r="BU28" s="998"/>
      <c r="BV28" s="267"/>
      <c r="BW28" s="1034"/>
      <c r="BX28" s="998"/>
      <c r="BY28" s="265"/>
      <c r="BZ28" s="1016"/>
      <c r="CB28" s="1034"/>
      <c r="CC28" s="998"/>
      <c r="CD28" s="267"/>
      <c r="CE28" s="1037"/>
      <c r="CF28" s="998"/>
      <c r="CG28" s="267"/>
      <c r="CH28" s="1034"/>
      <c r="CI28" s="998"/>
      <c r="CJ28" s="267"/>
      <c r="CK28" s="1034"/>
      <c r="CL28" s="998"/>
      <c r="CM28" s="265"/>
      <c r="CN28" s="1016"/>
    </row>
    <row r="29" spans="2:92" ht="99.75" x14ac:dyDescent="0.2">
      <c r="B29" s="1077"/>
      <c r="C29" s="972" t="s">
        <v>60</v>
      </c>
      <c r="D29" s="958" t="s">
        <v>206</v>
      </c>
      <c r="E29" s="945" t="s">
        <v>125</v>
      </c>
      <c r="F29" s="948" t="s">
        <v>332</v>
      </c>
      <c r="G29" s="385" t="str">
        <f>+'Plan de Accion Misional'!K9</f>
        <v>Cobro efectivo de las acreencias por todo concepto a favor de la Administradora de los Recursos del Sistema General de Seguridad Social en Salud – ADRES.</v>
      </c>
      <c r="H29" s="1002"/>
      <c r="J29" s="279">
        <f>+'Plan de Accion Misional'!AJ9</f>
        <v>0.73333330323828039</v>
      </c>
      <c r="K29" s="615">
        <f>+'Plan de Accion Misional'!BS9</f>
        <v>0.73333330323828039</v>
      </c>
      <c r="L29" s="615">
        <f t="shared" si="2"/>
        <v>0.73333330323828039</v>
      </c>
      <c r="M29" s="615">
        <f>+'Plan de Accion Misional'!AL9</f>
        <v>0.1833333258095701</v>
      </c>
      <c r="N29" s="615">
        <f t="shared" si="0"/>
        <v>0.1833333258095701</v>
      </c>
      <c r="O29" s="615">
        <f t="shared" si="1"/>
        <v>0.1833333258095701</v>
      </c>
      <c r="P29" s="277"/>
      <c r="Q29" s="279">
        <f>+'Plan de Accion Misional'!AT9</f>
        <v>0</v>
      </c>
      <c r="R29" s="315">
        <f>+'Plan de Accion Misional'!BU9</f>
        <v>0</v>
      </c>
      <c r="S29" s="276">
        <f t="shared" si="3"/>
        <v>0</v>
      </c>
      <c r="T29" s="373">
        <f>+'Plan de Accion Misional'!AV9</f>
        <v>0.1833333258095701</v>
      </c>
      <c r="U29" s="373">
        <f t="shared" si="4"/>
        <v>0.1833333258095701</v>
      </c>
      <c r="V29" s="275">
        <f t="shared" si="5"/>
        <v>0.1833333258095701</v>
      </c>
      <c r="W29" s="278"/>
      <c r="X29" s="279">
        <f>+'Plan de Accion Misional'!BD9</f>
        <v>0</v>
      </c>
      <c r="Y29" s="315">
        <f>+'Plan de Accion Misional'!BW9</f>
        <v>0</v>
      </c>
      <c r="Z29" s="276">
        <f t="shared" si="6"/>
        <v>0</v>
      </c>
      <c r="AA29" s="282">
        <f>+'Plan de Accion Misional'!BF9</f>
        <v>0.1833333258095701</v>
      </c>
      <c r="AB29" s="282">
        <f t="shared" si="7"/>
        <v>0.1833333258095701</v>
      </c>
      <c r="AC29" s="371">
        <f t="shared" si="8"/>
        <v>0.1833333258095701</v>
      </c>
      <c r="AD29" s="277"/>
      <c r="AE29" s="279">
        <f>+'Plan de Accion Misional'!BN9</f>
        <v>0</v>
      </c>
      <c r="AF29" s="315">
        <f>+'Plan de Accion Misional'!BY9</f>
        <v>0</v>
      </c>
      <c r="AG29" s="276">
        <f t="shared" si="9"/>
        <v>0</v>
      </c>
      <c r="AH29" s="315">
        <f>+'Plan de Accion Misional'!BP9</f>
        <v>0.1833333258095701</v>
      </c>
      <c r="AI29" s="275">
        <f t="shared" si="10"/>
        <v>0.1833333258095701</v>
      </c>
      <c r="AJ29" s="996"/>
      <c r="AL29" s="1034"/>
      <c r="AM29" s="998"/>
      <c r="AN29" s="267"/>
      <c r="AO29" s="1037"/>
      <c r="AP29" s="998"/>
      <c r="AQ29" s="267"/>
      <c r="AR29" s="1034"/>
      <c r="AS29" s="998"/>
      <c r="AT29" s="267"/>
      <c r="AU29" s="1034"/>
      <c r="AV29" s="998"/>
      <c r="AW29" s="265"/>
      <c r="AX29" s="1016"/>
      <c r="AZ29" s="1034"/>
      <c r="BA29" s="998"/>
      <c r="BB29" s="267"/>
      <c r="BC29" s="1037"/>
      <c r="BD29" s="998"/>
      <c r="BE29" s="267"/>
      <c r="BF29" s="1034"/>
      <c r="BG29" s="998"/>
      <c r="BH29" s="267"/>
      <c r="BI29" s="1034"/>
      <c r="BJ29" s="998"/>
      <c r="BK29" s="265"/>
      <c r="BL29" s="1016"/>
      <c r="BN29" s="1034"/>
      <c r="BO29" s="998"/>
      <c r="BP29" s="267"/>
      <c r="BQ29" s="1037"/>
      <c r="BR29" s="998"/>
      <c r="BS29" s="267"/>
      <c r="BT29" s="1034"/>
      <c r="BU29" s="998"/>
      <c r="BV29" s="267"/>
      <c r="BW29" s="1034"/>
      <c r="BX29" s="998"/>
      <c r="BY29" s="265"/>
      <c r="BZ29" s="1016"/>
      <c r="CB29" s="1034"/>
      <c r="CC29" s="998"/>
      <c r="CD29" s="267"/>
      <c r="CE29" s="1037"/>
      <c r="CF29" s="998"/>
      <c r="CG29" s="267"/>
      <c r="CH29" s="1034"/>
      <c r="CI29" s="998"/>
      <c r="CJ29" s="267"/>
      <c r="CK29" s="1034"/>
      <c r="CL29" s="998"/>
      <c r="CM29" s="265"/>
      <c r="CN29" s="1016"/>
    </row>
    <row r="30" spans="2:92" ht="15" x14ac:dyDescent="0.2">
      <c r="B30" s="1077"/>
      <c r="C30" s="973"/>
      <c r="D30" s="943"/>
      <c r="E30" s="946"/>
      <c r="F30" s="949"/>
      <c r="G30" s="385" t="str">
        <f>+'Plan de Accion Misional'!K10</f>
        <v>Comunicaciones enviadas</v>
      </c>
      <c r="H30" s="1002"/>
      <c r="J30" s="993">
        <f>+'Plan de Accion Misional'!AJ10</f>
        <v>0.66666666666666663</v>
      </c>
      <c r="K30" s="930">
        <f>+'Plan de Accion Misional'!BS10</f>
        <v>0.66666666666666663</v>
      </c>
      <c r="L30" s="930">
        <f t="shared" si="2"/>
        <v>0.66666666666666663</v>
      </c>
      <c r="M30" s="930">
        <f>+'Plan de Accion Misional'!AL10</f>
        <v>0.16666666666666666</v>
      </c>
      <c r="N30" s="930">
        <f t="shared" si="0"/>
        <v>0.16666666666666666</v>
      </c>
      <c r="O30" s="930">
        <f t="shared" si="1"/>
        <v>0.16666666666666666</v>
      </c>
      <c r="P30" s="277"/>
      <c r="Q30" s="993">
        <f>+'Plan de Accion Misional'!AT10</f>
        <v>0</v>
      </c>
      <c r="R30" s="981">
        <f>+'Plan de Accion Misional'!BU10</f>
        <v>0</v>
      </c>
      <c r="S30" s="981">
        <f t="shared" si="3"/>
        <v>0</v>
      </c>
      <c r="T30" s="981">
        <f>+'Plan de Accion Misional'!AV10</f>
        <v>0.16666666666666666</v>
      </c>
      <c r="U30" s="981">
        <f t="shared" si="4"/>
        <v>0.16666666666666666</v>
      </c>
      <c r="V30" s="987">
        <f t="shared" si="5"/>
        <v>0.16666666666666666</v>
      </c>
      <c r="W30" s="278"/>
      <c r="X30" s="993">
        <f>+'Plan de Accion Misional'!BD10</f>
        <v>0</v>
      </c>
      <c r="Y30" s="981">
        <f>+'Plan de Accion Misional'!BW10</f>
        <v>0</v>
      </c>
      <c r="Z30" s="981">
        <f t="shared" si="6"/>
        <v>0</v>
      </c>
      <c r="AA30" s="984">
        <f>+'Plan de Accion Misional'!BF10</f>
        <v>0.16666666666666666</v>
      </c>
      <c r="AB30" s="984">
        <f t="shared" si="7"/>
        <v>0.16666666666666666</v>
      </c>
      <c r="AC30" s="979">
        <f t="shared" si="8"/>
        <v>0.16666666666666666</v>
      </c>
      <c r="AD30" s="277"/>
      <c r="AE30" s="993">
        <f>+'Plan de Accion Misional'!BN10</f>
        <v>0</v>
      </c>
      <c r="AF30" s="981">
        <f>+'Plan de Accion Misional'!BY10</f>
        <v>0</v>
      </c>
      <c r="AG30" s="981">
        <f t="shared" si="9"/>
        <v>0</v>
      </c>
      <c r="AH30" s="981">
        <f>+'Plan de Accion Misional'!BP10</f>
        <v>0.16666666666666666</v>
      </c>
      <c r="AI30" s="987">
        <f t="shared" si="10"/>
        <v>0.16666666666666666</v>
      </c>
      <c r="AJ30" s="996"/>
      <c r="AL30" s="1034"/>
      <c r="AM30" s="998"/>
      <c r="AN30" s="267"/>
      <c r="AO30" s="1037"/>
      <c r="AP30" s="998"/>
      <c r="AQ30" s="267"/>
      <c r="AR30" s="1034"/>
      <c r="AS30" s="998"/>
      <c r="AT30" s="267"/>
      <c r="AU30" s="1034"/>
      <c r="AV30" s="998"/>
      <c r="AW30" s="265"/>
      <c r="AX30" s="1016"/>
      <c r="AZ30" s="1034"/>
      <c r="BA30" s="998"/>
      <c r="BB30" s="267"/>
      <c r="BC30" s="1037"/>
      <c r="BD30" s="998"/>
      <c r="BE30" s="267"/>
      <c r="BF30" s="1034"/>
      <c r="BG30" s="998"/>
      <c r="BH30" s="267"/>
      <c r="BI30" s="1034"/>
      <c r="BJ30" s="998"/>
      <c r="BK30" s="265"/>
      <c r="BL30" s="1016"/>
      <c r="BN30" s="1034"/>
      <c r="BO30" s="998"/>
      <c r="BP30" s="267"/>
      <c r="BQ30" s="1037"/>
      <c r="BR30" s="998"/>
      <c r="BS30" s="267"/>
      <c r="BT30" s="1034"/>
      <c r="BU30" s="998"/>
      <c r="BV30" s="267"/>
      <c r="BW30" s="1034"/>
      <c r="BX30" s="998"/>
      <c r="BY30" s="265"/>
      <c r="BZ30" s="1016"/>
      <c r="CB30" s="1034"/>
      <c r="CC30" s="998"/>
      <c r="CD30" s="267"/>
      <c r="CE30" s="1037"/>
      <c r="CF30" s="998"/>
      <c r="CG30" s="267"/>
      <c r="CH30" s="1034"/>
      <c r="CI30" s="998"/>
      <c r="CJ30" s="267"/>
      <c r="CK30" s="1034"/>
      <c r="CL30" s="998"/>
      <c r="CM30" s="265"/>
      <c r="CN30" s="1016"/>
    </row>
    <row r="31" spans="2:92" ht="42.75" customHeight="1" x14ac:dyDescent="0.2">
      <c r="B31" s="1077"/>
      <c r="C31" s="973"/>
      <c r="D31" s="943"/>
      <c r="E31" s="946"/>
      <c r="F31" s="949"/>
      <c r="G31" s="385" t="str">
        <f>+'Plan de Accion Misional'!K11</f>
        <v>Pagos registrados en el SII PRE Procesos de repetición</v>
      </c>
      <c r="H31" s="1002"/>
      <c r="J31" s="994"/>
      <c r="K31" s="931"/>
      <c r="L31" s="931"/>
      <c r="M31" s="931"/>
      <c r="N31" s="931"/>
      <c r="O31" s="931"/>
      <c r="P31" s="277"/>
      <c r="Q31" s="994"/>
      <c r="R31" s="982"/>
      <c r="S31" s="982"/>
      <c r="T31" s="982"/>
      <c r="U31" s="982"/>
      <c r="V31" s="988"/>
      <c r="W31" s="278"/>
      <c r="X31" s="994"/>
      <c r="Y31" s="982"/>
      <c r="Z31" s="982"/>
      <c r="AA31" s="985"/>
      <c r="AB31" s="985"/>
      <c r="AC31" s="1021"/>
      <c r="AD31" s="277"/>
      <c r="AE31" s="994"/>
      <c r="AF31" s="982"/>
      <c r="AG31" s="982"/>
      <c r="AH31" s="982"/>
      <c r="AI31" s="988"/>
      <c r="AJ31" s="996"/>
      <c r="AL31" s="1034"/>
      <c r="AM31" s="998"/>
      <c r="AN31" s="267"/>
      <c r="AO31" s="1037"/>
      <c r="AP31" s="998"/>
      <c r="AQ31" s="267"/>
      <c r="AR31" s="1034"/>
      <c r="AS31" s="998"/>
      <c r="AT31" s="267"/>
      <c r="AU31" s="1034"/>
      <c r="AV31" s="998"/>
      <c r="AW31" s="265"/>
      <c r="AX31" s="1016"/>
      <c r="AZ31" s="1034"/>
      <c r="BA31" s="998"/>
      <c r="BB31" s="267"/>
      <c r="BC31" s="1037"/>
      <c r="BD31" s="998"/>
      <c r="BE31" s="267"/>
      <c r="BF31" s="1034"/>
      <c r="BG31" s="998"/>
      <c r="BH31" s="267"/>
      <c r="BI31" s="1034"/>
      <c r="BJ31" s="998"/>
      <c r="BK31" s="265"/>
      <c r="BL31" s="1016"/>
      <c r="BN31" s="1034"/>
      <c r="BO31" s="998"/>
      <c r="BP31" s="267"/>
      <c r="BQ31" s="1037"/>
      <c r="BR31" s="998"/>
      <c r="BS31" s="267"/>
      <c r="BT31" s="1034"/>
      <c r="BU31" s="998"/>
      <c r="BV31" s="267"/>
      <c r="BW31" s="1034"/>
      <c r="BX31" s="998"/>
      <c r="BY31" s="265"/>
      <c r="BZ31" s="1016"/>
      <c r="CB31" s="1034"/>
      <c r="CC31" s="998"/>
      <c r="CD31" s="267"/>
      <c r="CE31" s="1037"/>
      <c r="CF31" s="998"/>
      <c r="CG31" s="267"/>
      <c r="CH31" s="1034"/>
      <c r="CI31" s="998"/>
      <c r="CJ31" s="267"/>
      <c r="CK31" s="1034"/>
      <c r="CL31" s="998"/>
      <c r="CM31" s="265"/>
      <c r="CN31" s="1016"/>
    </row>
    <row r="32" spans="2:92" ht="71.25" x14ac:dyDescent="0.2">
      <c r="B32" s="1077"/>
      <c r="C32" s="973"/>
      <c r="D32" s="943"/>
      <c r="E32" s="946"/>
      <c r="F32" s="949"/>
      <c r="G32" s="385" t="str">
        <f>+'Plan de Accion Misional'!K12</f>
        <v>Actos Administrativos mediante los cuales se ordena la depuración de reclamaciones y los estados financieros de la entidad</v>
      </c>
      <c r="H32" s="1002"/>
      <c r="J32" s="995"/>
      <c r="K32" s="932"/>
      <c r="L32" s="932"/>
      <c r="M32" s="932"/>
      <c r="N32" s="932"/>
      <c r="O32" s="932"/>
      <c r="P32" s="277"/>
      <c r="Q32" s="995"/>
      <c r="R32" s="983"/>
      <c r="S32" s="983"/>
      <c r="T32" s="983"/>
      <c r="U32" s="983"/>
      <c r="V32" s="989"/>
      <c r="W32" s="278"/>
      <c r="X32" s="995"/>
      <c r="Y32" s="983"/>
      <c r="Z32" s="983"/>
      <c r="AA32" s="986"/>
      <c r="AB32" s="986"/>
      <c r="AC32" s="980"/>
      <c r="AD32" s="277"/>
      <c r="AE32" s="995"/>
      <c r="AF32" s="983"/>
      <c r="AG32" s="983"/>
      <c r="AH32" s="983"/>
      <c r="AI32" s="989"/>
      <c r="AJ32" s="996"/>
      <c r="AL32" s="1034"/>
      <c r="AM32" s="998"/>
      <c r="AN32" s="267"/>
      <c r="AO32" s="1037"/>
      <c r="AP32" s="998"/>
      <c r="AQ32" s="267"/>
      <c r="AR32" s="1034"/>
      <c r="AS32" s="998"/>
      <c r="AT32" s="267"/>
      <c r="AU32" s="1034"/>
      <c r="AV32" s="998"/>
      <c r="AW32" s="265"/>
      <c r="AX32" s="1016"/>
      <c r="AZ32" s="1034"/>
      <c r="BA32" s="998"/>
      <c r="BB32" s="267"/>
      <c r="BC32" s="1037"/>
      <c r="BD32" s="998"/>
      <c r="BE32" s="267"/>
      <c r="BF32" s="1034"/>
      <c r="BG32" s="998"/>
      <c r="BH32" s="267"/>
      <c r="BI32" s="1034"/>
      <c r="BJ32" s="998"/>
      <c r="BK32" s="265"/>
      <c r="BL32" s="1016"/>
      <c r="BN32" s="1034"/>
      <c r="BO32" s="998"/>
      <c r="BP32" s="267"/>
      <c r="BQ32" s="1037"/>
      <c r="BR32" s="998"/>
      <c r="BS32" s="267"/>
      <c r="BT32" s="1034"/>
      <c r="BU32" s="998"/>
      <c r="BV32" s="267"/>
      <c r="BW32" s="1034"/>
      <c r="BX32" s="998"/>
      <c r="BY32" s="265"/>
      <c r="BZ32" s="1016"/>
      <c r="CB32" s="1034"/>
      <c r="CC32" s="998"/>
      <c r="CD32" s="267"/>
      <c r="CE32" s="1037"/>
      <c r="CF32" s="998"/>
      <c r="CG32" s="267"/>
      <c r="CH32" s="1034"/>
      <c r="CI32" s="998"/>
      <c r="CJ32" s="267"/>
      <c r="CK32" s="1034"/>
      <c r="CL32" s="998"/>
      <c r="CM32" s="265"/>
      <c r="CN32" s="1016"/>
    </row>
    <row r="33" spans="2:92" ht="71.25" customHeight="1" x14ac:dyDescent="0.2">
      <c r="B33" s="1077"/>
      <c r="C33" s="973"/>
      <c r="D33" s="943"/>
      <c r="E33" s="946"/>
      <c r="F33" s="949"/>
      <c r="G33" s="385" t="str">
        <f>+'Plan de Accion Misional'!K13</f>
        <v>Bases de información actualizadas</v>
      </c>
      <c r="H33" s="1003"/>
      <c r="J33" s="279">
        <f>+'Plan de Accion Misional'!AJ13</f>
        <v>0.80972221564651647</v>
      </c>
      <c r="K33" s="615">
        <f>+'Plan de Accion Misional'!BS13</f>
        <v>0.80972221564651647</v>
      </c>
      <c r="L33" s="615">
        <f>IF(K33&gt;100%,100%,K33)</f>
        <v>0.80972221564651647</v>
      </c>
      <c r="M33" s="615">
        <f>+'Plan de Accion Misional'!AL13</f>
        <v>0.14722222102663934</v>
      </c>
      <c r="N33" s="615">
        <f>IF(M33&gt;100%,100%,M33)</f>
        <v>0.14722222102663934</v>
      </c>
      <c r="O33" s="615">
        <f>+N33</f>
        <v>0.14722222102663934</v>
      </c>
      <c r="P33" s="277"/>
      <c r="Q33" s="279">
        <f>+'Plan de Accion Misional'!AT13</f>
        <v>0</v>
      </c>
      <c r="R33" s="315">
        <f>+'Plan de Accion Misional'!BU13</f>
        <v>0</v>
      </c>
      <c r="S33" s="276">
        <f>IF(R33&gt;100%,100%,R33)</f>
        <v>0</v>
      </c>
      <c r="T33" s="373">
        <f>+'Plan de Accion Misional'!AV13</f>
        <v>0.14722222102663934</v>
      </c>
      <c r="U33" s="373">
        <f t="shared" ref="U33:U38" si="11">IF(T33&gt;100%,100%,T33)</f>
        <v>0.14722222102663934</v>
      </c>
      <c r="V33" s="275">
        <f>+U33</f>
        <v>0.14722222102663934</v>
      </c>
      <c r="W33" s="278"/>
      <c r="X33" s="279">
        <f>+'Plan de Accion Misional'!BD13</f>
        <v>0</v>
      </c>
      <c r="Y33" s="315">
        <f>+'Plan de Accion Misional'!BW13</f>
        <v>0</v>
      </c>
      <c r="Z33" s="276">
        <f>IF(Y33&gt;100%,100%,Y33)</f>
        <v>0</v>
      </c>
      <c r="AA33" s="282">
        <f>+'Plan de Accion Misional'!BF13</f>
        <v>0.14722222102663934</v>
      </c>
      <c r="AB33" s="282">
        <f t="shared" ref="AB33:AB38" si="12">IF(AA33&gt;100%,100%,AA33)</f>
        <v>0.14722222102663934</v>
      </c>
      <c r="AC33" s="371">
        <f>+AB33</f>
        <v>0.14722222102663934</v>
      </c>
      <c r="AD33" s="277"/>
      <c r="AE33" s="279">
        <f>+'Plan de Accion Misional'!BN13</f>
        <v>0</v>
      </c>
      <c r="AF33" s="315">
        <f>+'Plan de Accion Misional'!BY13</f>
        <v>0</v>
      </c>
      <c r="AG33" s="276">
        <f>IF(AF33&gt;100%,100%,AF33)</f>
        <v>0</v>
      </c>
      <c r="AH33" s="315">
        <f>+'Plan de Accion Misional'!BP13</f>
        <v>0.14722222102663934</v>
      </c>
      <c r="AI33" s="275">
        <f t="shared" ref="AI33:AI38" si="13">IF(AH33&gt;100%,100%,AH33)</f>
        <v>0.14722222102663934</v>
      </c>
      <c r="AJ33" s="996"/>
      <c r="AL33" s="1034"/>
      <c r="AM33" s="998"/>
      <c r="AN33" s="267"/>
      <c r="AO33" s="1037"/>
      <c r="AP33" s="998"/>
      <c r="AQ33" s="267"/>
      <c r="AR33" s="1034"/>
      <c r="AS33" s="998"/>
      <c r="AT33" s="267"/>
      <c r="AU33" s="1034"/>
      <c r="AV33" s="998"/>
      <c r="AW33" s="265"/>
      <c r="AX33" s="1016"/>
      <c r="AZ33" s="1034"/>
      <c r="BA33" s="998"/>
      <c r="BB33" s="267"/>
      <c r="BC33" s="1037"/>
      <c r="BD33" s="998"/>
      <c r="BE33" s="267"/>
      <c r="BF33" s="1034"/>
      <c r="BG33" s="998"/>
      <c r="BH33" s="267"/>
      <c r="BI33" s="1034"/>
      <c r="BJ33" s="998"/>
      <c r="BK33" s="265"/>
      <c r="BL33" s="1016"/>
      <c r="BN33" s="1034"/>
      <c r="BO33" s="998"/>
      <c r="BP33" s="267"/>
      <c r="BQ33" s="1037"/>
      <c r="BR33" s="998"/>
      <c r="BS33" s="267"/>
      <c r="BT33" s="1034"/>
      <c r="BU33" s="998"/>
      <c r="BV33" s="267"/>
      <c r="BW33" s="1034"/>
      <c r="BX33" s="998"/>
      <c r="BY33" s="265"/>
      <c r="BZ33" s="1016"/>
      <c r="CB33" s="1034"/>
      <c r="CC33" s="998"/>
      <c r="CD33" s="267"/>
      <c r="CE33" s="1037"/>
      <c r="CF33" s="998"/>
      <c r="CG33" s="267"/>
      <c r="CH33" s="1034"/>
      <c r="CI33" s="998"/>
      <c r="CJ33" s="267"/>
      <c r="CK33" s="1034"/>
      <c r="CL33" s="998"/>
      <c r="CM33" s="265"/>
      <c r="CN33" s="1016"/>
    </row>
    <row r="34" spans="2:92" ht="114" customHeight="1" x14ac:dyDescent="0.2">
      <c r="B34" s="1077"/>
      <c r="C34" s="974"/>
      <c r="D34" s="944"/>
      <c r="E34" s="947"/>
      <c r="F34" s="950"/>
      <c r="G34" s="385" t="str">
        <f>+'Plan de Accion Misional'!K14</f>
        <v>Pago de la cartera vendida a CISA S.A de resoluciones ejecutoriadas con mas de 180 días</v>
      </c>
      <c r="H34" s="410" t="str">
        <f>+'Plan de Accion Misional'!X15</f>
        <v xml:space="preserve">Monto pagado por CISA S.A / Monto de cartera vendida </v>
      </c>
      <c r="J34" s="279">
        <f>+'Plan de Accion Misional'!AQ15</f>
        <v>0</v>
      </c>
      <c r="K34" s="615" t="str">
        <f>+'Plan de Accion Misional'!BS15</f>
        <v>No Prog ni Ejec</v>
      </c>
      <c r="L34" s="615" t="s">
        <v>206</v>
      </c>
      <c r="M34" s="615">
        <f>+'Plan de Accion Misional'!AK15</f>
        <v>0</v>
      </c>
      <c r="N34" s="615">
        <f t="shared" ref="N34:N41" si="14">IF(M34&gt;100%,100%,M34)</f>
        <v>0</v>
      </c>
      <c r="O34" s="615" t="s">
        <v>206</v>
      </c>
      <c r="P34" s="277"/>
      <c r="Q34" s="279">
        <f>+'Plan de Accion Misional'!AQ15</f>
        <v>0</v>
      </c>
      <c r="R34" s="315" t="str">
        <f>+'Plan de Accion Misional'!BT15</f>
        <v>No Prog ni Ejec</v>
      </c>
      <c r="S34" s="276" t="s">
        <v>206</v>
      </c>
      <c r="T34" s="373">
        <f>+'Plan de Accion Misional'!AU15</f>
        <v>0</v>
      </c>
      <c r="U34" s="373">
        <f t="shared" si="11"/>
        <v>0</v>
      </c>
      <c r="V34" s="275" t="s">
        <v>206</v>
      </c>
      <c r="W34" s="278"/>
      <c r="X34" s="279">
        <f>+'Plan de Accion Misional'!BA15</f>
        <v>0</v>
      </c>
      <c r="Y34" s="315" t="str">
        <f>+'Plan de Accion Misional'!BV15</f>
        <v>No Prog ni Ejec</v>
      </c>
      <c r="Z34" s="276" t="s">
        <v>206</v>
      </c>
      <c r="AA34" s="282">
        <f>+'Plan de Accion Misional'!BE15</f>
        <v>0</v>
      </c>
      <c r="AB34" s="282">
        <f t="shared" si="12"/>
        <v>0</v>
      </c>
      <c r="AC34" s="281" t="s">
        <v>206</v>
      </c>
      <c r="AD34" s="277"/>
      <c r="AE34" s="279">
        <f>+'Plan de Accion Misional'!BK15</f>
        <v>0</v>
      </c>
      <c r="AF34" s="315">
        <f>+'Plan de Accion Misional'!BX15</f>
        <v>0</v>
      </c>
      <c r="AG34" s="276">
        <f t="shared" si="9"/>
        <v>0</v>
      </c>
      <c r="AH34" s="315">
        <f>+'Plan de Accion Misional'!BO15</f>
        <v>0</v>
      </c>
      <c r="AI34" s="275">
        <f t="shared" si="13"/>
        <v>0</v>
      </c>
      <c r="AJ34" s="996"/>
      <c r="AL34" s="1034"/>
      <c r="AM34" s="998"/>
      <c r="AN34" s="267"/>
      <c r="AO34" s="1037"/>
      <c r="AP34" s="998"/>
      <c r="AQ34" s="267"/>
      <c r="AR34" s="1034"/>
      <c r="AS34" s="998"/>
      <c r="AT34" s="267"/>
      <c r="AU34" s="1034"/>
      <c r="AV34" s="998"/>
      <c r="AW34" s="265"/>
      <c r="AX34" s="1016"/>
      <c r="AZ34" s="1034"/>
      <c r="BA34" s="998"/>
      <c r="BB34" s="267"/>
      <c r="BC34" s="1037"/>
      <c r="BD34" s="998"/>
      <c r="BE34" s="267"/>
      <c r="BF34" s="1034"/>
      <c r="BG34" s="998"/>
      <c r="BH34" s="267"/>
      <c r="BI34" s="1034"/>
      <c r="BJ34" s="998"/>
      <c r="BK34" s="265"/>
      <c r="BL34" s="1016"/>
      <c r="BN34" s="1034"/>
      <c r="BO34" s="998"/>
      <c r="BP34" s="267"/>
      <c r="BQ34" s="1037"/>
      <c r="BR34" s="998"/>
      <c r="BS34" s="267"/>
      <c r="BT34" s="1034"/>
      <c r="BU34" s="998"/>
      <c r="BV34" s="267"/>
      <c r="BW34" s="1034"/>
      <c r="BX34" s="998"/>
      <c r="BY34" s="265"/>
      <c r="BZ34" s="1016"/>
      <c r="CB34" s="1034"/>
      <c r="CC34" s="998"/>
      <c r="CD34" s="267"/>
      <c r="CE34" s="1037"/>
      <c r="CF34" s="998"/>
      <c r="CG34" s="267"/>
      <c r="CH34" s="1034"/>
      <c r="CI34" s="998"/>
      <c r="CJ34" s="267"/>
      <c r="CK34" s="1034"/>
      <c r="CL34" s="998"/>
      <c r="CM34" s="265"/>
      <c r="CN34" s="1016"/>
    </row>
    <row r="35" spans="2:92" ht="30" customHeight="1" x14ac:dyDescent="0.2">
      <c r="B35" s="1077"/>
      <c r="C35" s="1073" t="s">
        <v>59</v>
      </c>
      <c r="D35" s="958" t="s">
        <v>206</v>
      </c>
      <c r="E35" s="948" t="s">
        <v>1337</v>
      </c>
      <c r="F35" s="948" t="s">
        <v>332</v>
      </c>
      <c r="G35" s="393" t="str">
        <f>+'Plan de Accion Misional'!K17</f>
        <v>Gestión de Recaudo</v>
      </c>
      <c r="H35" s="960" t="s">
        <v>221</v>
      </c>
      <c r="J35" s="279">
        <f>+'Plan de Accion Misional'!AQ17</f>
        <v>0</v>
      </c>
      <c r="K35" s="615">
        <f>+'Plan de Accion Misional'!BS17</f>
        <v>0.82222222346123908</v>
      </c>
      <c r="L35" s="615">
        <f>IF(K35&gt;100%,100%,K35)</f>
        <v>0.82222222346123908</v>
      </c>
      <c r="M35" s="615">
        <f>+'Plan de Accion Misional'!AL17</f>
        <v>0.20555555586530977</v>
      </c>
      <c r="N35" s="615">
        <f>IF(M35&gt;100%,100%,M35)</f>
        <v>0.20555555586530977</v>
      </c>
      <c r="O35" s="615">
        <f>+N35</f>
        <v>0.20555555586530977</v>
      </c>
      <c r="P35" s="277"/>
      <c r="Q35" s="279">
        <f>+'Plan de Accion Misional'!AQ17</f>
        <v>0</v>
      </c>
      <c r="R35" s="315">
        <f>+'Plan de Accion Misional'!BT17</f>
        <v>0</v>
      </c>
      <c r="S35" s="276">
        <f>IF(R35&gt;100%,100%,R35)</f>
        <v>0</v>
      </c>
      <c r="T35" s="396">
        <f>+'Plan de Accion Misional'!AU17</f>
        <v>0.24984377122673551</v>
      </c>
      <c r="U35" s="396">
        <f t="shared" si="11"/>
        <v>0.24984377122673551</v>
      </c>
      <c r="V35" s="275">
        <f>+U35</f>
        <v>0.24984377122673551</v>
      </c>
      <c r="W35" s="278"/>
      <c r="X35" s="279">
        <f>+'Plan de Accion Misional'!BA17</f>
        <v>0</v>
      </c>
      <c r="Y35" s="315">
        <f>+'Plan de Accion Misional'!BV17</f>
        <v>0</v>
      </c>
      <c r="Z35" s="276">
        <f t="shared" ref="Z35:Z40" si="15">IF(Y35&gt;100%,100%,Y35)</f>
        <v>0</v>
      </c>
      <c r="AA35" s="282">
        <f>+'Plan de Accion Misional'!BE17</f>
        <v>0.24984377122673551</v>
      </c>
      <c r="AB35" s="282">
        <f t="shared" si="12"/>
        <v>0.24984377122673551</v>
      </c>
      <c r="AC35" s="403">
        <f t="shared" ref="AC35:AC40" si="16">+AB35</f>
        <v>0.24984377122673551</v>
      </c>
      <c r="AD35" s="277"/>
      <c r="AE35" s="279">
        <f>+'Plan de Accion Misional'!BK17</f>
        <v>0</v>
      </c>
      <c r="AF35" s="315">
        <f>+'Plan de Accion Misional'!BX17</f>
        <v>0</v>
      </c>
      <c r="AG35" s="276">
        <f t="shared" ref="AG35:AG40" si="17">IF(AF35&gt;100%,100%,AF35)</f>
        <v>0</v>
      </c>
      <c r="AH35" s="315">
        <f>+'Plan de Accion Misional'!BO17</f>
        <v>0.24984377122673551</v>
      </c>
      <c r="AI35" s="275">
        <f t="shared" si="13"/>
        <v>0.24984377122673551</v>
      </c>
      <c r="AJ35" s="996"/>
      <c r="AL35" s="1034"/>
      <c r="AM35" s="998"/>
      <c r="AN35" s="267"/>
      <c r="AO35" s="1037"/>
      <c r="AP35" s="998"/>
      <c r="AQ35" s="267"/>
      <c r="AR35" s="1034"/>
      <c r="AS35" s="998"/>
      <c r="AT35" s="267"/>
      <c r="AU35" s="1034"/>
      <c r="AV35" s="998"/>
      <c r="AW35" s="265"/>
      <c r="AX35" s="1016"/>
      <c r="AZ35" s="1034"/>
      <c r="BA35" s="998"/>
      <c r="BB35" s="267"/>
      <c r="BC35" s="1037"/>
      <c r="BD35" s="998"/>
      <c r="BE35" s="267"/>
      <c r="BF35" s="1034"/>
      <c r="BG35" s="998"/>
      <c r="BH35" s="267"/>
      <c r="BI35" s="1034"/>
      <c r="BJ35" s="998"/>
      <c r="BK35" s="265"/>
      <c r="BL35" s="1016"/>
      <c r="BN35" s="1034"/>
      <c r="BO35" s="998"/>
      <c r="BP35" s="267"/>
      <c r="BQ35" s="1037"/>
      <c r="BR35" s="998"/>
      <c r="BS35" s="267"/>
      <c r="BT35" s="1034"/>
      <c r="BU35" s="998"/>
      <c r="BV35" s="267"/>
      <c r="BW35" s="1034"/>
      <c r="BX35" s="998"/>
      <c r="BY35" s="265"/>
      <c r="BZ35" s="1016"/>
      <c r="CB35" s="1034"/>
      <c r="CC35" s="998"/>
      <c r="CD35" s="267"/>
      <c r="CE35" s="1037"/>
      <c r="CF35" s="998"/>
      <c r="CG35" s="267"/>
      <c r="CH35" s="1034"/>
      <c r="CI35" s="998"/>
      <c r="CJ35" s="267"/>
      <c r="CK35" s="1034"/>
      <c r="CL35" s="998"/>
      <c r="CM35" s="265"/>
      <c r="CN35" s="1016"/>
    </row>
    <row r="36" spans="2:92" ht="30" customHeight="1" x14ac:dyDescent="0.2">
      <c r="B36" s="1077"/>
      <c r="C36" s="1074"/>
      <c r="D36" s="943"/>
      <c r="E36" s="949"/>
      <c r="F36" s="949"/>
      <c r="G36" s="393" t="str">
        <f>+'Plan de Accion Misional'!K18</f>
        <v>Ordenes de Giros tramitadas</v>
      </c>
      <c r="H36" s="961"/>
      <c r="J36" s="279">
        <f>+'Plan de Accion Misional'!AQ18</f>
        <v>0</v>
      </c>
      <c r="K36" s="695">
        <f>+'Plan de Accion Misional'!BS18</f>
        <v>0.78157856742140563</v>
      </c>
      <c r="L36" s="695">
        <f>IF(K36&gt;100%,100%,K36)</f>
        <v>0.78157856742140563</v>
      </c>
      <c r="M36" s="695">
        <f>+'Plan de Accion Misional'!AL18</f>
        <v>0.19539464185535141</v>
      </c>
      <c r="N36" s="695">
        <f>IF(M36&gt;100%,100%,M36)</f>
        <v>0.19539464185535141</v>
      </c>
      <c r="O36" s="695">
        <f>+N36</f>
        <v>0.19539464185535141</v>
      </c>
      <c r="P36" s="277"/>
      <c r="Q36" s="279">
        <f>+'Plan de Accion Misional'!AQ18</f>
        <v>0</v>
      </c>
      <c r="R36" s="315">
        <f>+'Plan de Accion Misional'!BT18</f>
        <v>0</v>
      </c>
      <c r="S36" s="276">
        <f>IF(R36&gt;100%,100%,R36)</f>
        <v>0</v>
      </c>
      <c r="T36" s="396">
        <f>+'Plan de Accion Misional'!AU18</f>
        <v>0.25</v>
      </c>
      <c r="U36" s="396">
        <f t="shared" si="11"/>
        <v>0.25</v>
      </c>
      <c r="V36" s="275">
        <f>+U36</f>
        <v>0.25</v>
      </c>
      <c r="W36" s="278"/>
      <c r="X36" s="279">
        <f>+'Plan de Accion Misional'!BA18</f>
        <v>0</v>
      </c>
      <c r="Y36" s="315">
        <f>+'Plan de Accion Misional'!BV18</f>
        <v>0</v>
      </c>
      <c r="Z36" s="276">
        <f t="shared" si="15"/>
        <v>0</v>
      </c>
      <c r="AA36" s="282">
        <f>+'Plan de Accion Misional'!BE18</f>
        <v>0.25</v>
      </c>
      <c r="AB36" s="282">
        <f t="shared" si="12"/>
        <v>0.25</v>
      </c>
      <c r="AC36" s="403">
        <f t="shared" si="16"/>
        <v>0.25</v>
      </c>
      <c r="AD36" s="277"/>
      <c r="AE36" s="279">
        <f>+'Plan de Accion Misional'!BK18</f>
        <v>0</v>
      </c>
      <c r="AF36" s="315">
        <f>+'Plan de Accion Misional'!BX18</f>
        <v>0</v>
      </c>
      <c r="AG36" s="276">
        <f t="shared" si="17"/>
        <v>0</v>
      </c>
      <c r="AH36" s="315">
        <f>+'Plan de Accion Misional'!BO18</f>
        <v>0.25</v>
      </c>
      <c r="AI36" s="275">
        <f t="shared" si="13"/>
        <v>0.25</v>
      </c>
      <c r="AJ36" s="996"/>
      <c r="AL36" s="1034"/>
      <c r="AM36" s="998"/>
      <c r="AN36" s="267"/>
      <c r="AO36" s="1037"/>
      <c r="AP36" s="998"/>
      <c r="AQ36" s="267"/>
      <c r="AR36" s="1034"/>
      <c r="AS36" s="998"/>
      <c r="AT36" s="267"/>
      <c r="AU36" s="1034"/>
      <c r="AV36" s="998"/>
      <c r="AW36" s="265"/>
      <c r="AX36" s="1016"/>
      <c r="AZ36" s="1034"/>
      <c r="BA36" s="998"/>
      <c r="BB36" s="267"/>
      <c r="BC36" s="1037"/>
      <c r="BD36" s="998"/>
      <c r="BE36" s="267"/>
      <c r="BF36" s="1034"/>
      <c r="BG36" s="998"/>
      <c r="BH36" s="267"/>
      <c r="BI36" s="1034"/>
      <c r="BJ36" s="998"/>
      <c r="BK36" s="265"/>
      <c r="BL36" s="1016"/>
      <c r="BN36" s="1034"/>
      <c r="BO36" s="998"/>
      <c r="BP36" s="267"/>
      <c r="BQ36" s="1037"/>
      <c r="BR36" s="998"/>
      <c r="BS36" s="267"/>
      <c r="BT36" s="1034"/>
      <c r="BU36" s="998"/>
      <c r="BV36" s="267"/>
      <c r="BW36" s="1034"/>
      <c r="BX36" s="998"/>
      <c r="BY36" s="265"/>
      <c r="BZ36" s="1016"/>
      <c r="CB36" s="1034"/>
      <c r="CC36" s="998"/>
      <c r="CD36" s="267"/>
      <c r="CE36" s="1037"/>
      <c r="CF36" s="998"/>
      <c r="CG36" s="267"/>
      <c r="CH36" s="1034"/>
      <c r="CI36" s="998"/>
      <c r="CJ36" s="267"/>
      <c r="CK36" s="1034"/>
      <c r="CL36" s="998"/>
      <c r="CM36" s="265"/>
      <c r="CN36" s="1016"/>
    </row>
    <row r="37" spans="2:92" ht="30" customHeight="1" x14ac:dyDescent="0.2">
      <c r="B37" s="1077"/>
      <c r="C37" s="1074"/>
      <c r="D37" s="943"/>
      <c r="E37" s="949"/>
      <c r="F37" s="949"/>
      <c r="G37" s="393" t="str">
        <f>+'Plan de Accion Misional'!K19</f>
        <v>Informes de Portafolio</v>
      </c>
      <c r="H37" s="961"/>
      <c r="J37" s="279">
        <f>+'Plan de Accion Misional'!AQ19</f>
        <v>0</v>
      </c>
      <c r="K37" s="695">
        <f>+'Plan de Accion Misional'!BS19</f>
        <v>0.82222222222222219</v>
      </c>
      <c r="L37" s="695">
        <f>IF(K37&gt;100%,100%,K37)</f>
        <v>0.82222222222222219</v>
      </c>
      <c r="M37" s="695">
        <f>+'Plan de Accion Misional'!AL19</f>
        <v>0.20555555555555555</v>
      </c>
      <c r="N37" s="695">
        <f>IF(M37&gt;100%,100%,M37)</f>
        <v>0.20555555555555555</v>
      </c>
      <c r="O37" s="695">
        <f>+N37</f>
        <v>0.20555555555555555</v>
      </c>
      <c r="P37" s="277"/>
      <c r="Q37" s="279">
        <f>+'Plan de Accion Misional'!AQ19</f>
        <v>0</v>
      </c>
      <c r="R37" s="315">
        <f>+'Plan de Accion Misional'!BT19</f>
        <v>0</v>
      </c>
      <c r="S37" s="276">
        <f>IF(R37&gt;100%,100%,R37)</f>
        <v>0</v>
      </c>
      <c r="T37" s="396">
        <f>+'Plan de Accion Misional'!AU19</f>
        <v>0.25</v>
      </c>
      <c r="U37" s="396">
        <f t="shared" si="11"/>
        <v>0.25</v>
      </c>
      <c r="V37" s="275">
        <f>+U37</f>
        <v>0.25</v>
      </c>
      <c r="W37" s="278"/>
      <c r="X37" s="279">
        <f>+'Plan de Accion Misional'!BA19</f>
        <v>0</v>
      </c>
      <c r="Y37" s="315">
        <f>+'Plan de Accion Misional'!BV19</f>
        <v>0</v>
      </c>
      <c r="Z37" s="276">
        <f t="shared" si="15"/>
        <v>0</v>
      </c>
      <c r="AA37" s="282">
        <f>+'Plan de Accion Misional'!BE19</f>
        <v>0.25</v>
      </c>
      <c r="AB37" s="282">
        <f t="shared" si="12"/>
        <v>0.25</v>
      </c>
      <c r="AC37" s="403">
        <f t="shared" si="16"/>
        <v>0.25</v>
      </c>
      <c r="AD37" s="277"/>
      <c r="AE37" s="279">
        <f>+'Plan de Accion Misional'!BK19</f>
        <v>0</v>
      </c>
      <c r="AF37" s="315">
        <f>+'Plan de Accion Misional'!BX19</f>
        <v>0</v>
      </c>
      <c r="AG37" s="276">
        <f t="shared" si="17"/>
        <v>0</v>
      </c>
      <c r="AH37" s="315">
        <f>+'Plan de Accion Misional'!BO19</f>
        <v>0.25</v>
      </c>
      <c r="AI37" s="275">
        <f t="shared" si="13"/>
        <v>0.25</v>
      </c>
      <c r="AJ37" s="996"/>
      <c r="AL37" s="1034"/>
      <c r="AM37" s="998"/>
      <c r="AN37" s="267"/>
      <c r="AO37" s="1037"/>
      <c r="AP37" s="998"/>
      <c r="AQ37" s="267"/>
      <c r="AR37" s="1034"/>
      <c r="AS37" s="998"/>
      <c r="AT37" s="267"/>
      <c r="AU37" s="1034"/>
      <c r="AV37" s="998"/>
      <c r="AW37" s="265"/>
      <c r="AX37" s="1016"/>
      <c r="AZ37" s="1034"/>
      <c r="BA37" s="998"/>
      <c r="BB37" s="267"/>
      <c r="BC37" s="1037"/>
      <c r="BD37" s="998"/>
      <c r="BE37" s="267"/>
      <c r="BF37" s="1034"/>
      <c r="BG37" s="998"/>
      <c r="BH37" s="267"/>
      <c r="BI37" s="1034"/>
      <c r="BJ37" s="998"/>
      <c r="BK37" s="265"/>
      <c r="BL37" s="1016"/>
      <c r="BN37" s="1034"/>
      <c r="BO37" s="998"/>
      <c r="BP37" s="267"/>
      <c r="BQ37" s="1037"/>
      <c r="BR37" s="998"/>
      <c r="BS37" s="267"/>
      <c r="BT37" s="1034"/>
      <c r="BU37" s="998"/>
      <c r="BV37" s="267"/>
      <c r="BW37" s="1034"/>
      <c r="BX37" s="998"/>
      <c r="BY37" s="265"/>
      <c r="BZ37" s="1016"/>
      <c r="CB37" s="1034"/>
      <c r="CC37" s="998"/>
      <c r="CD37" s="267"/>
      <c r="CE37" s="1037"/>
      <c r="CF37" s="998"/>
      <c r="CG37" s="267"/>
      <c r="CH37" s="1034"/>
      <c r="CI37" s="998"/>
      <c r="CJ37" s="267"/>
      <c r="CK37" s="1034"/>
      <c r="CL37" s="998"/>
      <c r="CM37" s="265"/>
      <c r="CN37" s="1016"/>
    </row>
    <row r="38" spans="2:92" ht="30" customHeight="1" x14ac:dyDescent="0.2">
      <c r="B38" s="1077"/>
      <c r="C38" s="1075"/>
      <c r="D38" s="944"/>
      <c r="E38" s="950"/>
      <c r="F38" s="950"/>
      <c r="G38" s="393" t="str">
        <f>+'Plan de Accion Misional'!K20</f>
        <v>Estados Financieros</v>
      </c>
      <c r="H38" s="962"/>
      <c r="J38" s="279">
        <f>+'Plan de Accion Misional'!AQ20</f>
        <v>0</v>
      </c>
      <c r="K38" s="695">
        <f>+'Plan de Accion Misional'!BS20</f>
        <v>0.77639309108345789</v>
      </c>
      <c r="L38" s="695">
        <f>IF(K38&gt;100%,100%,K38)</f>
        <v>0.77639309108345789</v>
      </c>
      <c r="M38" s="695">
        <f>+'Plan de Accion Misional'!AL20</f>
        <v>0.19409827277086447</v>
      </c>
      <c r="N38" s="695">
        <f>IF(M38&gt;100%,100%,M38)</f>
        <v>0.19409827277086447</v>
      </c>
      <c r="O38" s="695">
        <f>+N38</f>
        <v>0.19409827277086447</v>
      </c>
      <c r="P38" s="277"/>
      <c r="Q38" s="279">
        <f>+'Plan de Accion Misional'!AQ20</f>
        <v>0</v>
      </c>
      <c r="R38" s="315">
        <f>+'Plan de Accion Misional'!BT20</f>
        <v>0</v>
      </c>
      <c r="S38" s="276">
        <f>IF(R38&gt;100%,100%,R38)</f>
        <v>0</v>
      </c>
      <c r="T38" s="396">
        <f>+'Plan de Accion Misional'!AU20</f>
        <v>0.25</v>
      </c>
      <c r="U38" s="396">
        <f t="shared" si="11"/>
        <v>0.25</v>
      </c>
      <c r="V38" s="275">
        <f>+U38</f>
        <v>0.25</v>
      </c>
      <c r="W38" s="278"/>
      <c r="X38" s="279">
        <f>+'Plan de Accion Misional'!BA20</f>
        <v>0</v>
      </c>
      <c r="Y38" s="315">
        <f>+'Plan de Accion Misional'!BV20</f>
        <v>0</v>
      </c>
      <c r="Z38" s="276">
        <f t="shared" si="15"/>
        <v>0</v>
      </c>
      <c r="AA38" s="282">
        <f>+'Plan de Accion Misional'!BE20</f>
        <v>0.25</v>
      </c>
      <c r="AB38" s="282">
        <f t="shared" si="12"/>
        <v>0.25</v>
      </c>
      <c r="AC38" s="403">
        <f t="shared" si="16"/>
        <v>0.25</v>
      </c>
      <c r="AD38" s="277"/>
      <c r="AE38" s="279">
        <f>+'Plan de Accion Misional'!BK20</f>
        <v>0</v>
      </c>
      <c r="AF38" s="315">
        <f>+'Plan de Accion Misional'!BX20</f>
        <v>0</v>
      </c>
      <c r="AG38" s="276">
        <f t="shared" si="17"/>
        <v>0</v>
      </c>
      <c r="AH38" s="315">
        <f>+'Plan de Accion Misional'!BO20</f>
        <v>0.25</v>
      </c>
      <c r="AI38" s="275">
        <f t="shared" si="13"/>
        <v>0.25</v>
      </c>
      <c r="AJ38" s="996"/>
      <c r="AL38" s="1034"/>
      <c r="AM38" s="998"/>
      <c r="AN38" s="267"/>
      <c r="AO38" s="1037"/>
      <c r="AP38" s="998"/>
      <c r="AQ38" s="267"/>
      <c r="AR38" s="1034"/>
      <c r="AS38" s="998"/>
      <c r="AT38" s="267"/>
      <c r="AU38" s="1034"/>
      <c r="AV38" s="998"/>
      <c r="AW38" s="265"/>
      <c r="AX38" s="1016"/>
      <c r="AZ38" s="1034"/>
      <c r="BA38" s="998"/>
      <c r="BB38" s="267"/>
      <c r="BC38" s="1037"/>
      <c r="BD38" s="998"/>
      <c r="BE38" s="267"/>
      <c r="BF38" s="1034"/>
      <c r="BG38" s="998"/>
      <c r="BH38" s="267"/>
      <c r="BI38" s="1034"/>
      <c r="BJ38" s="998"/>
      <c r="BK38" s="265"/>
      <c r="BL38" s="1016"/>
      <c r="BN38" s="1034"/>
      <c r="BO38" s="998"/>
      <c r="BP38" s="267"/>
      <c r="BQ38" s="1037"/>
      <c r="BR38" s="998"/>
      <c r="BS38" s="267"/>
      <c r="BT38" s="1034"/>
      <c r="BU38" s="998"/>
      <c r="BV38" s="267"/>
      <c r="BW38" s="1034"/>
      <c r="BX38" s="998"/>
      <c r="BY38" s="265"/>
      <c r="BZ38" s="1016"/>
      <c r="CB38" s="1034"/>
      <c r="CC38" s="998"/>
      <c r="CD38" s="267"/>
      <c r="CE38" s="1037"/>
      <c r="CF38" s="998"/>
      <c r="CG38" s="267"/>
      <c r="CH38" s="1034"/>
      <c r="CI38" s="998"/>
      <c r="CJ38" s="267"/>
      <c r="CK38" s="1034"/>
      <c r="CL38" s="998"/>
      <c r="CM38" s="265"/>
      <c r="CN38" s="1016"/>
    </row>
    <row r="39" spans="2:92" ht="84" customHeight="1" x14ac:dyDescent="0.2">
      <c r="B39" s="1077"/>
      <c r="C39" s="972" t="s">
        <v>60</v>
      </c>
      <c r="D39" s="958" t="s">
        <v>206</v>
      </c>
      <c r="E39" s="945" t="s">
        <v>125</v>
      </c>
      <c r="F39" s="948" t="s">
        <v>332</v>
      </c>
      <c r="G39" s="385" t="str">
        <f>+'Plan de Accion apoyo transversa'!X22</f>
        <v>Actas de las audiencias, memoriales y
providencias judiciales que se generen en la ejecución de las actividades de defensa de los intereses de la entidad</v>
      </c>
      <c r="H39" s="410" t="str">
        <f>+'Plan de Accion apoyo transversa'!AK22</f>
        <v>Valor pagado/valor programado</v>
      </c>
      <c r="I39" s="267"/>
      <c r="J39" s="279" t="e">
        <f>+'Plan de Accion apoyo transversa'!AW22</f>
        <v>#DIV/0!</v>
      </c>
      <c r="K39" s="615" t="str">
        <f>+'Plan de Accion apoyo transversa'!CF22</f>
        <v>No Prog, Ejec=  20626000</v>
      </c>
      <c r="L39" s="615" t="s">
        <v>206</v>
      </c>
      <c r="M39" s="615">
        <f>+'Plan de Accion apoyo transversa'!AY22</f>
        <v>7.7650531198000194E-2</v>
      </c>
      <c r="N39" s="615">
        <f t="shared" si="14"/>
        <v>7.7650531198000194E-2</v>
      </c>
      <c r="O39" s="615" t="s">
        <v>206</v>
      </c>
      <c r="P39" s="277"/>
      <c r="Q39" s="279" t="e">
        <f>+'Plan de Accion apoyo transversa'!BG22</f>
        <v>#DIV/0!</v>
      </c>
      <c r="R39" s="315" t="str">
        <f>+'Plan de Accion apoyo transversa'!CH22</f>
        <v>No Prog ni Ejec</v>
      </c>
      <c r="S39" s="276" t="s">
        <v>206</v>
      </c>
      <c r="T39" s="373">
        <f>+'Plan de Accion apoyo transversa'!BI22</f>
        <v>7.7650531198000194E-2</v>
      </c>
      <c r="U39" s="373">
        <f t="shared" ref="U39:U57" si="18">IF(T39&gt;100%,100%,T39)</f>
        <v>7.7650531198000194E-2</v>
      </c>
      <c r="V39" s="275" t="s">
        <v>206</v>
      </c>
      <c r="W39" s="278"/>
      <c r="X39" s="279">
        <f>+'Plan de Accion apoyo transversa'!BQ22</f>
        <v>0</v>
      </c>
      <c r="Y39" s="315">
        <f>+'Plan de Accion apoyo transversa'!CJ22</f>
        <v>0</v>
      </c>
      <c r="Z39" s="276">
        <f t="shared" si="15"/>
        <v>0</v>
      </c>
      <c r="AA39" s="282">
        <f>+'Plan de Accion apoyo transversa'!BS22</f>
        <v>7.7650531198000194E-2</v>
      </c>
      <c r="AB39" s="282">
        <f t="shared" ref="AB39:AB57" si="19">IF(AA39&gt;100%,100%,AA39)</f>
        <v>7.7650531198000194E-2</v>
      </c>
      <c r="AC39" s="371">
        <f t="shared" si="16"/>
        <v>7.7650531198000194E-2</v>
      </c>
      <c r="AD39" s="277"/>
      <c r="AE39" s="279">
        <f>+'Plan de Accion apoyo transversa'!CA22</f>
        <v>0</v>
      </c>
      <c r="AF39" s="315">
        <f>+'Plan de Accion apoyo transversa'!CL22</f>
        <v>0</v>
      </c>
      <c r="AG39" s="276">
        <f t="shared" si="17"/>
        <v>0</v>
      </c>
      <c r="AH39" s="315">
        <f>+'Plan de Accion apoyo transversa'!CC22</f>
        <v>7.7650531198000194E-2</v>
      </c>
      <c r="AI39" s="275">
        <f t="shared" ref="AI39:AI57" si="20">IF(AH39&gt;100%,100%,AH39)</f>
        <v>7.7650531198000194E-2</v>
      </c>
      <c r="AJ39" s="996"/>
      <c r="AL39" s="1034"/>
      <c r="AM39" s="998"/>
      <c r="AN39" s="267"/>
      <c r="AO39" s="1037"/>
      <c r="AP39" s="998"/>
      <c r="AQ39" s="267"/>
      <c r="AR39" s="1034"/>
      <c r="AS39" s="998"/>
      <c r="AT39" s="267"/>
      <c r="AU39" s="1034"/>
      <c r="AV39" s="998"/>
      <c r="AW39" s="265"/>
      <c r="AX39" s="1016"/>
      <c r="AZ39" s="1034"/>
      <c r="BA39" s="998"/>
      <c r="BB39" s="267"/>
      <c r="BC39" s="1037"/>
      <c r="BD39" s="998"/>
      <c r="BE39" s="267"/>
      <c r="BF39" s="1034"/>
      <c r="BG39" s="998"/>
      <c r="BH39" s="267"/>
      <c r="BI39" s="1034"/>
      <c r="BJ39" s="998"/>
      <c r="BK39" s="265"/>
      <c r="BL39" s="1016"/>
      <c r="BN39" s="1034"/>
      <c r="BO39" s="998"/>
      <c r="BP39" s="267"/>
      <c r="BQ39" s="1037"/>
      <c r="BR39" s="998"/>
      <c r="BS39" s="267"/>
      <c r="BT39" s="1034"/>
      <c r="BU39" s="998"/>
      <c r="BV39" s="267"/>
      <c r="BW39" s="1034"/>
      <c r="BX39" s="998"/>
      <c r="BY39" s="265"/>
      <c r="BZ39" s="1016"/>
      <c r="CB39" s="1034"/>
      <c r="CC39" s="998"/>
      <c r="CD39" s="267"/>
      <c r="CE39" s="1037"/>
      <c r="CF39" s="998"/>
      <c r="CG39" s="267"/>
      <c r="CH39" s="1034"/>
      <c r="CI39" s="998"/>
      <c r="CJ39" s="267"/>
      <c r="CK39" s="1034"/>
      <c r="CL39" s="998"/>
      <c r="CM39" s="265"/>
      <c r="CN39" s="1016"/>
    </row>
    <row r="40" spans="2:92" ht="99.75" customHeight="1" x14ac:dyDescent="0.2">
      <c r="B40" s="1077"/>
      <c r="C40" s="973"/>
      <c r="D40" s="943"/>
      <c r="E40" s="946"/>
      <c r="F40" s="949"/>
      <c r="G40" s="385" t="str">
        <f>+'Plan de Accion apoyo transversa'!X23</f>
        <v>Conceptos jurídicos</v>
      </c>
      <c r="H40" s="960" t="s">
        <v>221</v>
      </c>
      <c r="I40" s="267"/>
      <c r="J40" s="279">
        <f>+'Plan de Accion apoyo transversa'!AW23</f>
        <v>0.28389324986859238</v>
      </c>
      <c r="K40" s="615">
        <f>+'Plan de Accion apoyo transversa'!CF23</f>
        <v>0.28389324986859238</v>
      </c>
      <c r="L40" s="615">
        <f>IF(K40&gt;100%,100%,K40)</f>
        <v>0.28389324986859238</v>
      </c>
      <c r="M40" s="615">
        <f>+'Plan de Accion apoyo transversa'!AY23</f>
        <v>7.0973312467148095E-2</v>
      </c>
      <c r="N40" s="615">
        <f t="shared" si="14"/>
        <v>7.0973312467148095E-2</v>
      </c>
      <c r="O40" s="615" t="s">
        <v>206</v>
      </c>
      <c r="P40" s="277"/>
      <c r="Q40" s="279">
        <f>+'Plan de Accion apoyo transversa'!BG23</f>
        <v>0</v>
      </c>
      <c r="R40" s="315">
        <f>+'Plan de Accion apoyo transversa'!CH23</f>
        <v>0</v>
      </c>
      <c r="S40" s="276">
        <f>IF(R40&gt;100%,100%,R40)</f>
        <v>0</v>
      </c>
      <c r="T40" s="373">
        <f>+'Plan de Accion apoyo transversa'!BI23</f>
        <v>7.0973312467148095E-2</v>
      </c>
      <c r="U40" s="373">
        <f t="shared" si="18"/>
        <v>7.0973312467148095E-2</v>
      </c>
      <c r="V40" s="275">
        <f>+U40</f>
        <v>7.0973312467148095E-2</v>
      </c>
      <c r="W40" s="278"/>
      <c r="X40" s="279">
        <f>+'Plan de Accion apoyo transversa'!BQ23</f>
        <v>0</v>
      </c>
      <c r="Y40" s="315">
        <f>+'Plan de Accion apoyo transversa'!CJ23</f>
        <v>0</v>
      </c>
      <c r="Z40" s="276">
        <f t="shared" si="15"/>
        <v>0</v>
      </c>
      <c r="AA40" s="282">
        <f>+'Plan de Accion apoyo transversa'!BS23</f>
        <v>7.0973312467148095E-2</v>
      </c>
      <c r="AB40" s="282">
        <f t="shared" si="19"/>
        <v>7.0973312467148095E-2</v>
      </c>
      <c r="AC40" s="371">
        <f t="shared" si="16"/>
        <v>7.0973312467148095E-2</v>
      </c>
      <c r="AD40" s="277"/>
      <c r="AE40" s="279">
        <f>+'Plan de Accion apoyo transversa'!CA23</f>
        <v>0</v>
      </c>
      <c r="AF40" s="315">
        <f>+'Plan de Accion apoyo transversa'!CL23</f>
        <v>0</v>
      </c>
      <c r="AG40" s="276">
        <f t="shared" si="17"/>
        <v>0</v>
      </c>
      <c r="AH40" s="315">
        <f>+'Plan de Accion apoyo transversa'!CC23</f>
        <v>7.0973312467148095E-2</v>
      </c>
      <c r="AI40" s="275">
        <f t="shared" si="20"/>
        <v>7.0973312467148095E-2</v>
      </c>
      <c r="AJ40" s="996"/>
      <c r="AL40" s="1034"/>
      <c r="AM40" s="998"/>
      <c r="AN40" s="267"/>
      <c r="AO40" s="1037"/>
      <c r="AP40" s="998"/>
      <c r="AQ40" s="267"/>
      <c r="AR40" s="1034"/>
      <c r="AS40" s="998"/>
      <c r="AT40" s="267"/>
      <c r="AU40" s="1034"/>
      <c r="AV40" s="998"/>
      <c r="AW40" s="265"/>
      <c r="AX40" s="1016"/>
      <c r="AZ40" s="1034"/>
      <c r="BA40" s="998"/>
      <c r="BB40" s="267"/>
      <c r="BC40" s="1037"/>
      <c r="BD40" s="998"/>
      <c r="BE40" s="267"/>
      <c r="BF40" s="1034"/>
      <c r="BG40" s="998"/>
      <c r="BH40" s="267"/>
      <c r="BI40" s="1034"/>
      <c r="BJ40" s="998"/>
      <c r="BK40" s="265"/>
      <c r="BL40" s="1016"/>
      <c r="BN40" s="1034"/>
      <c r="BO40" s="998"/>
      <c r="BP40" s="267"/>
      <c r="BQ40" s="1037"/>
      <c r="BR40" s="998"/>
      <c r="BS40" s="267"/>
      <c r="BT40" s="1034"/>
      <c r="BU40" s="998"/>
      <c r="BV40" s="267"/>
      <c r="BW40" s="1034"/>
      <c r="BX40" s="998"/>
      <c r="BY40" s="265"/>
      <c r="BZ40" s="1016"/>
      <c r="CB40" s="1034"/>
      <c r="CC40" s="998"/>
      <c r="CD40" s="267"/>
      <c r="CE40" s="1037"/>
      <c r="CF40" s="998"/>
      <c r="CG40" s="267"/>
      <c r="CH40" s="1034"/>
      <c r="CI40" s="998"/>
      <c r="CJ40" s="267"/>
      <c r="CK40" s="1034"/>
      <c r="CL40" s="998"/>
      <c r="CM40" s="265"/>
      <c r="CN40" s="1016"/>
    </row>
    <row r="41" spans="2:92" ht="28.5" x14ac:dyDescent="0.2">
      <c r="B41" s="1077"/>
      <c r="C41" s="973"/>
      <c r="D41" s="943"/>
      <c r="E41" s="946"/>
      <c r="F41" s="949"/>
      <c r="G41" s="385" t="str">
        <f>+'Plan de Accion apoyo transversa'!X24</f>
        <v>Recursos de casación y representación judicial</v>
      </c>
      <c r="H41" s="961"/>
      <c r="I41" s="267"/>
      <c r="J41" s="279">
        <f>+'Plan de Accion apoyo transversa'!AW24</f>
        <v>0</v>
      </c>
      <c r="K41" s="615">
        <f>+'Plan de Accion apoyo transversa'!CF24</f>
        <v>0</v>
      </c>
      <c r="L41" s="615">
        <f>IF(K41&gt;100%,100%,K41)</f>
        <v>0</v>
      </c>
      <c r="M41" s="615">
        <f>+'Plan de Accion apoyo transversa'!AY24</f>
        <v>0</v>
      </c>
      <c r="N41" s="615">
        <f t="shared" si="14"/>
        <v>0</v>
      </c>
      <c r="O41" s="615">
        <f>+N41</f>
        <v>0</v>
      </c>
      <c r="P41" s="277"/>
      <c r="Q41" s="279">
        <f>+'Plan de Accion apoyo transversa'!BG24</f>
        <v>0</v>
      </c>
      <c r="R41" s="315">
        <f>+'Plan de Accion apoyo transversa'!CH24</f>
        <v>0</v>
      </c>
      <c r="S41" s="276">
        <f>IF(R41&gt;100%,100%,R41)</f>
        <v>0</v>
      </c>
      <c r="T41" s="373">
        <f>+'Plan de Accion apoyo transversa'!BI24</f>
        <v>0</v>
      </c>
      <c r="U41" s="373">
        <f t="shared" si="18"/>
        <v>0</v>
      </c>
      <c r="V41" s="275">
        <f>+U41</f>
        <v>0</v>
      </c>
      <c r="W41" s="278"/>
      <c r="X41" s="279">
        <f>+'Plan de Accion apoyo transversa'!BQ24</f>
        <v>0</v>
      </c>
      <c r="Y41" s="315">
        <f>+'Plan de Accion apoyo transversa'!CJ24</f>
        <v>0</v>
      </c>
      <c r="Z41" s="276">
        <f t="shared" ref="Z41:Z52" si="21">IF(Y41&gt;100%,100%,Y41)</f>
        <v>0</v>
      </c>
      <c r="AA41" s="282">
        <f>+'Plan de Accion apoyo transversa'!BS24</f>
        <v>0</v>
      </c>
      <c r="AB41" s="282">
        <f t="shared" si="19"/>
        <v>0</v>
      </c>
      <c r="AC41" s="371">
        <f t="shared" ref="AC41:AC52" si="22">+AB41</f>
        <v>0</v>
      </c>
      <c r="AD41" s="277"/>
      <c r="AE41" s="279">
        <f>+'Plan de Accion apoyo transversa'!CA24</f>
        <v>0</v>
      </c>
      <c r="AF41" s="315">
        <f>+'Plan de Accion apoyo transversa'!CL24</f>
        <v>0</v>
      </c>
      <c r="AG41" s="276">
        <f t="shared" ref="AG41:AG57" si="23">IF(AF41&gt;100%,100%,AF41)</f>
        <v>0</v>
      </c>
      <c r="AH41" s="315">
        <f>+'Plan de Accion apoyo transversa'!CC24</f>
        <v>0</v>
      </c>
      <c r="AI41" s="275">
        <f t="shared" si="20"/>
        <v>0</v>
      </c>
      <c r="AJ41" s="996"/>
      <c r="AL41" s="1034"/>
      <c r="AM41" s="998"/>
      <c r="AN41" s="267"/>
      <c r="AO41" s="1037"/>
      <c r="AP41" s="998"/>
      <c r="AQ41" s="267"/>
      <c r="AR41" s="1034"/>
      <c r="AS41" s="998"/>
      <c r="AT41" s="267"/>
      <c r="AU41" s="1034"/>
      <c r="AV41" s="998"/>
      <c r="AW41" s="265"/>
      <c r="AX41" s="1016"/>
      <c r="AZ41" s="1034"/>
      <c r="BA41" s="998"/>
      <c r="BB41" s="267"/>
      <c r="BC41" s="1037"/>
      <c r="BD41" s="998"/>
      <c r="BE41" s="267"/>
      <c r="BF41" s="1034"/>
      <c r="BG41" s="998"/>
      <c r="BH41" s="267"/>
      <c r="BI41" s="1034"/>
      <c r="BJ41" s="998"/>
      <c r="BK41" s="265"/>
      <c r="BL41" s="1016"/>
      <c r="BN41" s="1034"/>
      <c r="BO41" s="998"/>
      <c r="BP41" s="267"/>
      <c r="BQ41" s="1037"/>
      <c r="BR41" s="998"/>
      <c r="BS41" s="267"/>
      <c r="BT41" s="1034"/>
      <c r="BU41" s="998"/>
      <c r="BV41" s="267"/>
      <c r="BW41" s="1034"/>
      <c r="BX41" s="998"/>
      <c r="BY41" s="265"/>
      <c r="BZ41" s="1016"/>
      <c r="CB41" s="1034"/>
      <c r="CC41" s="998"/>
      <c r="CD41" s="267"/>
      <c r="CE41" s="1037"/>
      <c r="CF41" s="998"/>
      <c r="CG41" s="267"/>
      <c r="CH41" s="1034"/>
      <c r="CI41" s="998"/>
      <c r="CJ41" s="267"/>
      <c r="CK41" s="1034"/>
      <c r="CL41" s="998"/>
      <c r="CM41" s="265"/>
      <c r="CN41" s="1016"/>
    </row>
    <row r="42" spans="2:92" ht="47.25" customHeight="1" x14ac:dyDescent="0.2">
      <c r="B42" s="1077"/>
      <c r="C42" s="973"/>
      <c r="D42" s="943"/>
      <c r="E42" s="946"/>
      <c r="F42" s="949"/>
      <c r="G42" s="385" t="str">
        <f>+'Plan de Accion apoyo transversa'!X25</f>
        <v>Vigilancia judicial</v>
      </c>
      <c r="H42" s="961"/>
      <c r="I42" s="267"/>
      <c r="J42" s="279">
        <f>+'Plan de Accion apoyo transversa'!AW25</f>
        <v>0</v>
      </c>
      <c r="K42" s="615">
        <f>+'Plan de Accion apoyo transversa'!CF25</f>
        <v>0</v>
      </c>
      <c r="L42" s="615">
        <f>IF(K42&gt;100%,100%,K42)</f>
        <v>0</v>
      </c>
      <c r="M42" s="615">
        <f>+'Plan de Accion apoyo transversa'!AY25</f>
        <v>0</v>
      </c>
      <c r="N42" s="615">
        <f>IF(M42&gt;100%,100%,M42)</f>
        <v>0</v>
      </c>
      <c r="O42" s="615">
        <f>+N42</f>
        <v>0</v>
      </c>
      <c r="P42" s="277"/>
      <c r="Q42" s="279">
        <f>+'Plan de Accion apoyo transversa'!BG25</f>
        <v>0</v>
      </c>
      <c r="R42" s="315">
        <f>+'Plan de Accion apoyo transversa'!CH25</f>
        <v>0</v>
      </c>
      <c r="S42" s="276">
        <f>IF(R42&gt;100%,100%,R42)</f>
        <v>0</v>
      </c>
      <c r="T42" s="373">
        <f>+'Plan de Accion apoyo transversa'!BI25</f>
        <v>0</v>
      </c>
      <c r="U42" s="373">
        <f t="shared" si="18"/>
        <v>0</v>
      </c>
      <c r="V42" s="275">
        <f>+U42</f>
        <v>0</v>
      </c>
      <c r="W42" s="278"/>
      <c r="X42" s="279">
        <f>+'Plan de Accion apoyo transversa'!BQ25</f>
        <v>0</v>
      </c>
      <c r="Y42" s="315">
        <f>+'Plan de Accion apoyo transversa'!CJ25</f>
        <v>0</v>
      </c>
      <c r="Z42" s="276">
        <f t="shared" si="21"/>
        <v>0</v>
      </c>
      <c r="AA42" s="282">
        <f>+'Plan de Accion apoyo transversa'!BS25</f>
        <v>0</v>
      </c>
      <c r="AB42" s="282">
        <f t="shared" si="19"/>
        <v>0</v>
      </c>
      <c r="AC42" s="371">
        <f t="shared" si="22"/>
        <v>0</v>
      </c>
      <c r="AD42" s="277"/>
      <c r="AE42" s="279">
        <f>+'Plan de Accion apoyo transversa'!CA25</f>
        <v>0</v>
      </c>
      <c r="AF42" s="315">
        <f>+'Plan de Accion apoyo transversa'!CL25</f>
        <v>0</v>
      </c>
      <c r="AG42" s="276">
        <f t="shared" si="23"/>
        <v>0</v>
      </c>
      <c r="AH42" s="315">
        <f>+'Plan de Accion apoyo transversa'!CC25</f>
        <v>0</v>
      </c>
      <c r="AI42" s="275">
        <f t="shared" si="20"/>
        <v>0</v>
      </c>
      <c r="AJ42" s="996"/>
      <c r="AL42" s="1034"/>
      <c r="AM42" s="998"/>
      <c r="AN42" s="267"/>
      <c r="AO42" s="1037"/>
      <c r="AP42" s="998"/>
      <c r="AQ42" s="267"/>
      <c r="AR42" s="1034"/>
      <c r="AS42" s="998"/>
      <c r="AT42" s="267"/>
      <c r="AU42" s="1034"/>
      <c r="AV42" s="998"/>
      <c r="AW42" s="265"/>
      <c r="AX42" s="1016"/>
      <c r="AZ42" s="1034"/>
      <c r="BA42" s="998"/>
      <c r="BB42" s="267"/>
      <c r="BC42" s="1037"/>
      <c r="BD42" s="998"/>
      <c r="BE42" s="267"/>
      <c r="BF42" s="1034"/>
      <c r="BG42" s="998"/>
      <c r="BH42" s="267"/>
      <c r="BI42" s="1034"/>
      <c r="BJ42" s="998"/>
      <c r="BK42" s="265"/>
      <c r="BL42" s="1016"/>
      <c r="BN42" s="1034"/>
      <c r="BO42" s="998"/>
      <c r="BP42" s="267"/>
      <c r="BQ42" s="1037"/>
      <c r="BR42" s="998"/>
      <c r="BS42" s="267"/>
      <c r="BT42" s="1034"/>
      <c r="BU42" s="998"/>
      <c r="BV42" s="267"/>
      <c r="BW42" s="1034"/>
      <c r="BX42" s="998"/>
      <c r="BY42" s="265"/>
      <c r="BZ42" s="1016"/>
      <c r="CB42" s="1034"/>
      <c r="CC42" s="998"/>
      <c r="CD42" s="267"/>
      <c r="CE42" s="1037"/>
      <c r="CF42" s="998"/>
      <c r="CG42" s="267"/>
      <c r="CH42" s="1034"/>
      <c r="CI42" s="998"/>
      <c r="CJ42" s="267"/>
      <c r="CK42" s="1034"/>
      <c r="CL42" s="998"/>
      <c r="CM42" s="265"/>
      <c r="CN42" s="1016"/>
    </row>
    <row r="43" spans="2:92" ht="42.75" x14ac:dyDescent="0.2">
      <c r="B43" s="1077"/>
      <c r="C43" s="973"/>
      <c r="D43" s="943"/>
      <c r="E43" s="946"/>
      <c r="F43" s="949"/>
      <c r="G43" s="385" t="str">
        <f>+'Plan de Accion apoyo transversa'!X26</f>
        <v>Revisión, análisis y liquidación de sentencias condenatorias</v>
      </c>
      <c r="H43" s="961"/>
      <c r="I43" s="267"/>
      <c r="J43" s="993">
        <f>+'Plan de Accion apoyo transversa'!AW26</f>
        <v>0.58888886130175699</v>
      </c>
      <c r="K43" s="930">
        <f>+'Plan de Accion apoyo transversa'!CF26</f>
        <v>0.58888886130175699</v>
      </c>
      <c r="L43" s="930">
        <f>IF(K43&gt;100%,100%,K43)</f>
        <v>0.58888886130175699</v>
      </c>
      <c r="M43" s="930">
        <f>+'Plan de Accion apoyo transversa'!AY26</f>
        <v>0.14722221532543925</v>
      </c>
      <c r="N43" s="930">
        <f>IF(M43&gt;100%,100%,M43)</f>
        <v>0.14722221532543925</v>
      </c>
      <c r="O43" s="930">
        <f>+N43</f>
        <v>0.14722221532543925</v>
      </c>
      <c r="P43" s="277"/>
      <c r="Q43" s="993">
        <f>+'Plan de Accion apoyo transversa'!BG26</f>
        <v>0</v>
      </c>
      <c r="R43" s="981">
        <f>+'Plan de Accion apoyo transversa'!CH26</f>
        <v>0</v>
      </c>
      <c r="S43" s="981">
        <f>IF(R43&gt;100%,100%,R43)</f>
        <v>0</v>
      </c>
      <c r="T43" s="981">
        <f>+'Plan de Accion apoyo transversa'!BI26</f>
        <v>0.14722221532543925</v>
      </c>
      <c r="U43" s="981">
        <f t="shared" si="18"/>
        <v>0.14722221532543925</v>
      </c>
      <c r="V43" s="987">
        <f>+U43</f>
        <v>0.14722221532543925</v>
      </c>
      <c r="W43" s="278"/>
      <c r="X43" s="993">
        <f>+'Plan de Accion apoyo transversa'!BQ26</f>
        <v>0</v>
      </c>
      <c r="Y43" s="981">
        <f>+'Plan de Accion apoyo transversa'!CJ26</f>
        <v>0</v>
      </c>
      <c r="Z43" s="981">
        <f t="shared" si="21"/>
        <v>0</v>
      </c>
      <c r="AA43" s="984">
        <f>+'Plan de Accion apoyo transversa'!BS26</f>
        <v>0.14722221532543925</v>
      </c>
      <c r="AB43" s="984">
        <f t="shared" si="19"/>
        <v>0.14722221532543925</v>
      </c>
      <c r="AC43" s="979">
        <f t="shared" si="22"/>
        <v>0.14722221532543925</v>
      </c>
      <c r="AD43" s="277"/>
      <c r="AE43" s="993">
        <f>+'Plan de Accion apoyo transversa'!CA26</f>
        <v>0</v>
      </c>
      <c r="AF43" s="981">
        <f>+'Plan de Accion apoyo transversa'!CL26</f>
        <v>0</v>
      </c>
      <c r="AG43" s="981">
        <f t="shared" si="23"/>
        <v>0</v>
      </c>
      <c r="AH43" s="981">
        <f>+'Plan de Accion apoyo transversa'!CC26</f>
        <v>0.14722221532543925</v>
      </c>
      <c r="AI43" s="987">
        <f t="shared" si="20"/>
        <v>0.14722221532543925</v>
      </c>
      <c r="AJ43" s="996"/>
      <c r="AL43" s="1034"/>
      <c r="AM43" s="998"/>
      <c r="AN43" s="267"/>
      <c r="AO43" s="1037"/>
      <c r="AP43" s="998"/>
      <c r="AQ43" s="267"/>
      <c r="AR43" s="1034"/>
      <c r="AS43" s="998"/>
      <c r="AT43" s="267"/>
      <c r="AU43" s="1034"/>
      <c r="AV43" s="998"/>
      <c r="AW43" s="265"/>
      <c r="AX43" s="1016"/>
      <c r="AZ43" s="1034"/>
      <c r="BA43" s="998"/>
      <c r="BB43" s="267"/>
      <c r="BC43" s="1037"/>
      <c r="BD43" s="998"/>
      <c r="BE43" s="267"/>
      <c r="BF43" s="1034"/>
      <c r="BG43" s="998"/>
      <c r="BH43" s="267"/>
      <c r="BI43" s="1034"/>
      <c r="BJ43" s="998"/>
      <c r="BK43" s="265"/>
      <c r="BL43" s="1016"/>
      <c r="BN43" s="1034"/>
      <c r="BO43" s="998"/>
      <c r="BP43" s="267"/>
      <c r="BQ43" s="1037"/>
      <c r="BR43" s="998"/>
      <c r="BS43" s="267"/>
      <c r="BT43" s="1034"/>
      <c r="BU43" s="998"/>
      <c r="BV43" s="267"/>
      <c r="BW43" s="1034"/>
      <c r="BX43" s="998"/>
      <c r="BY43" s="265"/>
      <c r="BZ43" s="1016"/>
      <c r="CB43" s="1034"/>
      <c r="CC43" s="998"/>
      <c r="CD43" s="267"/>
      <c r="CE43" s="1037"/>
      <c r="CF43" s="998"/>
      <c r="CG43" s="267"/>
      <c r="CH43" s="1034"/>
      <c r="CI43" s="998"/>
      <c r="CJ43" s="267"/>
      <c r="CK43" s="1034"/>
      <c r="CL43" s="998"/>
      <c r="CM43" s="265"/>
      <c r="CN43" s="1016"/>
    </row>
    <row r="44" spans="2:92" ht="16.5" customHeight="1" thickBot="1" x14ac:dyDescent="0.25">
      <c r="B44" s="1077"/>
      <c r="C44" s="973"/>
      <c r="D44" s="943"/>
      <c r="E44" s="946"/>
      <c r="F44" s="949"/>
      <c r="G44" s="385" t="str">
        <f>+'Plan de Accion apoyo transversa'!X27</f>
        <v>Procesos radicados en Ekogui</v>
      </c>
      <c r="H44" s="961"/>
      <c r="I44" s="267"/>
      <c r="J44" s="994"/>
      <c r="K44" s="931"/>
      <c r="L44" s="931"/>
      <c r="M44" s="931"/>
      <c r="N44" s="931"/>
      <c r="O44" s="931"/>
      <c r="P44" s="277"/>
      <c r="Q44" s="994"/>
      <c r="R44" s="982"/>
      <c r="S44" s="982"/>
      <c r="T44" s="982"/>
      <c r="U44" s="982"/>
      <c r="V44" s="988"/>
      <c r="W44" s="278"/>
      <c r="X44" s="994"/>
      <c r="Y44" s="982"/>
      <c r="Z44" s="982"/>
      <c r="AA44" s="985"/>
      <c r="AB44" s="985"/>
      <c r="AC44" s="1021"/>
      <c r="AD44" s="277"/>
      <c r="AE44" s="994"/>
      <c r="AF44" s="982"/>
      <c r="AG44" s="982"/>
      <c r="AH44" s="982"/>
      <c r="AI44" s="988"/>
      <c r="AJ44" s="997"/>
      <c r="AL44" s="1035"/>
      <c r="AM44" s="999"/>
      <c r="AN44" s="267"/>
      <c r="AO44" s="1038"/>
      <c r="AP44" s="999"/>
      <c r="AQ44" s="267"/>
      <c r="AR44" s="1035"/>
      <c r="AS44" s="999"/>
      <c r="AT44" s="267"/>
      <c r="AU44" s="1035"/>
      <c r="AV44" s="999"/>
      <c r="AW44" s="265"/>
      <c r="AX44" s="1017"/>
      <c r="AZ44" s="1035"/>
      <c r="BA44" s="999"/>
      <c r="BB44" s="267"/>
      <c r="BC44" s="1038"/>
      <c r="BD44" s="999"/>
      <c r="BE44" s="267"/>
      <c r="BF44" s="1035"/>
      <c r="BG44" s="999"/>
      <c r="BH44" s="267"/>
      <c r="BI44" s="1035"/>
      <c r="BJ44" s="999"/>
      <c r="BK44" s="265"/>
      <c r="BL44" s="1017"/>
      <c r="BN44" s="1035"/>
      <c r="BO44" s="999"/>
      <c r="BP44" s="267"/>
      <c r="BQ44" s="1038"/>
      <c r="BR44" s="999"/>
      <c r="BS44" s="267"/>
      <c r="BT44" s="1035"/>
      <c r="BU44" s="999"/>
      <c r="BV44" s="267"/>
      <c r="BW44" s="1035"/>
      <c r="BX44" s="999"/>
      <c r="BY44" s="265"/>
      <c r="BZ44" s="1017"/>
      <c r="CB44" s="1035"/>
      <c r="CC44" s="999"/>
      <c r="CD44" s="267"/>
      <c r="CE44" s="1038"/>
      <c r="CF44" s="999"/>
      <c r="CG44" s="267"/>
      <c r="CH44" s="1035"/>
      <c r="CI44" s="999"/>
      <c r="CJ44" s="267"/>
      <c r="CK44" s="1035"/>
      <c r="CL44" s="999"/>
      <c r="CM44" s="265"/>
      <c r="CN44" s="1017"/>
    </row>
    <row r="45" spans="2:92" ht="71.25" x14ac:dyDescent="0.2">
      <c r="B45" s="1077"/>
      <c r="C45" s="973"/>
      <c r="D45" s="943"/>
      <c r="E45" s="946"/>
      <c r="F45" s="949"/>
      <c r="G45" s="385" t="str">
        <f>+'Plan de Accion apoyo transversa'!X28</f>
        <v>Entrega de la provisión de contingencias judiciales al Grupo de Gestión Contable y Control de Recursos ET en la fecha pactada</v>
      </c>
      <c r="H45" s="961"/>
      <c r="I45" s="267"/>
      <c r="J45" s="995"/>
      <c r="K45" s="932"/>
      <c r="L45" s="932"/>
      <c r="M45" s="932"/>
      <c r="N45" s="932"/>
      <c r="O45" s="932"/>
      <c r="P45" s="277"/>
      <c r="Q45" s="995"/>
      <c r="R45" s="983"/>
      <c r="S45" s="983"/>
      <c r="T45" s="983"/>
      <c r="U45" s="983"/>
      <c r="V45" s="989"/>
      <c r="W45" s="278"/>
      <c r="X45" s="995"/>
      <c r="Y45" s="983"/>
      <c r="Z45" s="983"/>
      <c r="AA45" s="986"/>
      <c r="AB45" s="986"/>
      <c r="AC45" s="980"/>
      <c r="AD45" s="277"/>
      <c r="AE45" s="995"/>
      <c r="AF45" s="983"/>
      <c r="AG45" s="983"/>
      <c r="AH45" s="983"/>
      <c r="AI45" s="989"/>
      <c r="AJ45" s="297"/>
      <c r="AL45" s="1007"/>
      <c r="AM45" s="1007"/>
      <c r="AN45" s="267"/>
      <c r="AO45" s="1008"/>
      <c r="AP45" s="1007"/>
      <c r="AQ45" s="267"/>
      <c r="AR45" s="1007"/>
      <c r="AS45" s="1007"/>
      <c r="AT45" s="267"/>
      <c r="AU45" s="1007"/>
      <c r="AV45" s="1007"/>
      <c r="AW45" s="265"/>
      <c r="AX45" s="296"/>
      <c r="AZ45" s="1007"/>
      <c r="BA45" s="1007"/>
      <c r="BB45" s="267"/>
      <c r="BC45" s="1008"/>
      <c r="BD45" s="1007"/>
      <c r="BE45" s="267"/>
      <c r="BF45" s="1007"/>
      <c r="BG45" s="1007"/>
      <c r="BH45" s="267"/>
      <c r="BI45" s="1007"/>
      <c r="BJ45" s="1007"/>
      <c r="BK45" s="265"/>
      <c r="BL45" s="296"/>
      <c r="BN45" s="1007"/>
      <c r="BO45" s="1007"/>
      <c r="BP45" s="267"/>
      <c r="BQ45" s="1008"/>
      <c r="BR45" s="1007"/>
      <c r="BS45" s="267"/>
      <c r="BT45" s="1007"/>
      <c r="BU45" s="1007"/>
      <c r="BV45" s="267"/>
      <c r="BW45" s="1007"/>
      <c r="BX45" s="1007"/>
      <c r="BY45" s="265"/>
      <c r="BZ45" s="296"/>
      <c r="CB45" s="1007"/>
      <c r="CC45" s="1007"/>
      <c r="CD45" s="267"/>
      <c r="CE45" s="1008"/>
      <c r="CF45" s="1007"/>
      <c r="CG45" s="267"/>
      <c r="CH45" s="1007"/>
      <c r="CI45" s="1007"/>
      <c r="CJ45" s="267"/>
      <c r="CK45" s="1007"/>
      <c r="CL45" s="1007"/>
      <c r="CM45" s="265"/>
      <c r="CN45" s="296"/>
    </row>
    <row r="46" spans="2:92" ht="42.75" customHeight="1" x14ac:dyDescent="0.2">
      <c r="B46" s="1077"/>
      <c r="C46" s="973"/>
      <c r="D46" s="943"/>
      <c r="E46" s="946"/>
      <c r="F46" s="949"/>
      <c r="G46" s="945" t="str">
        <f>+'Plan de Accion apoyo transversa'!X29</f>
        <v>Intervención en los procesos e investigaciones penales</v>
      </c>
      <c r="H46" s="961"/>
      <c r="I46" s="267"/>
      <c r="J46" s="993">
        <f>+'Plan de Accion apoyo transversa'!AW29</f>
        <v>0.58888887585826222</v>
      </c>
      <c r="K46" s="930">
        <f>+'Plan de Accion apoyo transversa'!CF29</f>
        <v>0.58888887585826222</v>
      </c>
      <c r="L46" s="930">
        <f>IF(K46&gt;100%,100%,K46)</f>
        <v>0.58888887585826222</v>
      </c>
      <c r="M46" s="930">
        <f>+'Plan de Accion apoyo transversa'!AY29</f>
        <v>0.14722221896456555</v>
      </c>
      <c r="N46" s="930">
        <f>IF(M46&gt;100%,100%,M46)</f>
        <v>0.14722221896456555</v>
      </c>
      <c r="O46" s="930">
        <f>+N46</f>
        <v>0.14722221896456555</v>
      </c>
      <c r="P46" s="277"/>
      <c r="Q46" s="993">
        <f>+'Plan de Accion apoyo transversa'!BG29</f>
        <v>0</v>
      </c>
      <c r="R46" s="981">
        <f>+'Plan de Accion apoyo transversa'!CH29</f>
        <v>0</v>
      </c>
      <c r="S46" s="981">
        <f>IF(R46&gt;100%,100%,R46)</f>
        <v>0</v>
      </c>
      <c r="T46" s="981">
        <f>+'Plan de Accion apoyo transversa'!BI29</f>
        <v>0.14722221896456555</v>
      </c>
      <c r="U46" s="981">
        <f t="shared" si="18"/>
        <v>0.14722221896456555</v>
      </c>
      <c r="V46" s="987">
        <f>+U46</f>
        <v>0.14722221896456555</v>
      </c>
      <c r="W46" s="278"/>
      <c r="X46" s="993">
        <f>+'Plan de Accion apoyo transversa'!BQ29</f>
        <v>0</v>
      </c>
      <c r="Y46" s="981">
        <f>+'Plan de Accion apoyo transversa'!CJ29</f>
        <v>0</v>
      </c>
      <c r="Z46" s="981">
        <f t="shared" si="21"/>
        <v>0</v>
      </c>
      <c r="AA46" s="984">
        <f>+'Plan de Accion apoyo transversa'!BS29</f>
        <v>0.14722221896456555</v>
      </c>
      <c r="AB46" s="984">
        <f t="shared" si="19"/>
        <v>0.14722221896456555</v>
      </c>
      <c r="AC46" s="979">
        <f t="shared" si="22"/>
        <v>0.14722221896456555</v>
      </c>
      <c r="AD46" s="277"/>
      <c r="AE46" s="993">
        <f>+'Plan de Accion apoyo transversa'!CA29</f>
        <v>0</v>
      </c>
      <c r="AF46" s="981">
        <f>+'Plan de Accion apoyo transversa'!CL29</f>
        <v>0</v>
      </c>
      <c r="AG46" s="981">
        <f t="shared" si="23"/>
        <v>0</v>
      </c>
      <c r="AH46" s="981">
        <f>+'Plan de Accion apoyo transversa'!CC29</f>
        <v>0.14722221896456555</v>
      </c>
      <c r="AI46" s="987">
        <f t="shared" si="20"/>
        <v>0.14722221896456555</v>
      </c>
      <c r="AJ46" s="295"/>
      <c r="AL46" s="998"/>
      <c r="AM46" s="998"/>
      <c r="AN46" s="267"/>
      <c r="AO46" s="1009"/>
      <c r="AP46" s="998"/>
      <c r="AQ46" s="267"/>
      <c r="AR46" s="998"/>
      <c r="AS46" s="998"/>
      <c r="AT46" s="267"/>
      <c r="AU46" s="998"/>
      <c r="AV46" s="998"/>
      <c r="AW46" s="265"/>
      <c r="AX46" s="294"/>
      <c r="AZ46" s="998"/>
      <c r="BA46" s="998"/>
      <c r="BB46" s="267"/>
      <c r="BC46" s="1009"/>
      <c r="BD46" s="998"/>
      <c r="BE46" s="267"/>
      <c r="BF46" s="998"/>
      <c r="BG46" s="998"/>
      <c r="BH46" s="267"/>
      <c r="BI46" s="998"/>
      <c r="BJ46" s="998"/>
      <c r="BK46" s="265"/>
      <c r="BL46" s="294"/>
      <c r="BN46" s="998"/>
      <c r="BO46" s="998"/>
      <c r="BP46" s="267"/>
      <c r="BQ46" s="1009"/>
      <c r="BR46" s="998"/>
      <c r="BS46" s="267"/>
      <c r="BT46" s="998"/>
      <c r="BU46" s="998"/>
      <c r="BV46" s="267"/>
      <c r="BW46" s="998"/>
      <c r="BX46" s="998"/>
      <c r="BY46" s="265"/>
      <c r="BZ46" s="294"/>
      <c r="CB46" s="998"/>
      <c r="CC46" s="998"/>
      <c r="CD46" s="267"/>
      <c r="CE46" s="1009"/>
      <c r="CF46" s="998"/>
      <c r="CG46" s="267"/>
      <c r="CH46" s="998"/>
      <c r="CI46" s="998"/>
      <c r="CJ46" s="267"/>
      <c r="CK46" s="998"/>
      <c r="CL46" s="998"/>
      <c r="CM46" s="265"/>
      <c r="CN46" s="294"/>
    </row>
    <row r="47" spans="2:92" ht="15.75" thickBot="1" x14ac:dyDescent="0.25">
      <c r="B47" s="1077"/>
      <c r="C47" s="973"/>
      <c r="D47" s="943"/>
      <c r="E47" s="946"/>
      <c r="F47" s="949"/>
      <c r="G47" s="947"/>
      <c r="H47" s="961"/>
      <c r="I47" s="267"/>
      <c r="J47" s="995"/>
      <c r="K47" s="932"/>
      <c r="L47" s="932"/>
      <c r="M47" s="932"/>
      <c r="N47" s="932"/>
      <c r="O47" s="932"/>
      <c r="P47" s="277"/>
      <c r="Q47" s="995"/>
      <c r="R47" s="983"/>
      <c r="S47" s="983"/>
      <c r="T47" s="983"/>
      <c r="U47" s="983"/>
      <c r="V47" s="989"/>
      <c r="W47" s="278"/>
      <c r="X47" s="995"/>
      <c r="Y47" s="983"/>
      <c r="Z47" s="983"/>
      <c r="AA47" s="986"/>
      <c r="AB47" s="986"/>
      <c r="AC47" s="980"/>
      <c r="AD47" s="277"/>
      <c r="AE47" s="995"/>
      <c r="AF47" s="983"/>
      <c r="AG47" s="983"/>
      <c r="AH47" s="983"/>
      <c r="AI47" s="989"/>
      <c r="AJ47" s="293"/>
      <c r="AL47" s="999"/>
      <c r="AM47" s="999"/>
      <c r="AN47" s="267"/>
      <c r="AO47" s="1010"/>
      <c r="AP47" s="999"/>
      <c r="AQ47" s="267"/>
      <c r="AR47" s="999"/>
      <c r="AS47" s="999"/>
      <c r="AT47" s="267"/>
      <c r="AU47" s="999"/>
      <c r="AV47" s="999"/>
      <c r="AW47" s="265"/>
      <c r="AX47" s="292"/>
      <c r="AZ47" s="999"/>
      <c r="BA47" s="999"/>
      <c r="BB47" s="267"/>
      <c r="BC47" s="1010"/>
      <c r="BD47" s="999"/>
      <c r="BE47" s="267"/>
      <c r="BF47" s="999"/>
      <c r="BG47" s="999"/>
      <c r="BH47" s="267"/>
      <c r="BI47" s="999"/>
      <c r="BJ47" s="999"/>
      <c r="BK47" s="265"/>
      <c r="BL47" s="292"/>
      <c r="BN47" s="999"/>
      <c r="BO47" s="999"/>
      <c r="BP47" s="267"/>
      <c r="BQ47" s="1010"/>
      <c r="BR47" s="999"/>
      <c r="BS47" s="267"/>
      <c r="BT47" s="999"/>
      <c r="BU47" s="999"/>
      <c r="BV47" s="267"/>
      <c r="BW47" s="999"/>
      <c r="BX47" s="999"/>
      <c r="BY47" s="265"/>
      <c r="BZ47" s="292"/>
      <c r="CB47" s="999"/>
      <c r="CC47" s="999"/>
      <c r="CD47" s="267"/>
      <c r="CE47" s="1010"/>
      <c r="CF47" s="999"/>
      <c r="CG47" s="267"/>
      <c r="CH47" s="999"/>
      <c r="CI47" s="999"/>
      <c r="CJ47" s="267"/>
      <c r="CK47" s="999"/>
      <c r="CL47" s="999"/>
      <c r="CM47" s="265"/>
      <c r="CN47" s="292"/>
    </row>
    <row r="48" spans="2:92" ht="28.5" x14ac:dyDescent="0.2">
      <c r="B48" s="1077"/>
      <c r="C48" s="973"/>
      <c r="D48" s="943"/>
      <c r="E48" s="946"/>
      <c r="F48" s="949"/>
      <c r="G48" s="385" t="str">
        <f>+'Plan de Accion apoyo transversa'!X31</f>
        <v>Demandas Contestadas Oportunamente</v>
      </c>
      <c r="H48" s="961"/>
      <c r="I48" s="267"/>
      <c r="J48" s="993">
        <f>+'Plan de Accion apoyo transversa'!AW31</f>
        <v>0.48026049959668166</v>
      </c>
      <c r="K48" s="930">
        <f>+'Plan de Accion apoyo transversa'!CF31</f>
        <v>0.48026049959668166</v>
      </c>
      <c r="L48" s="930">
        <f>IF(K48&gt;100%,100%,K48)</f>
        <v>0.48026049959668166</v>
      </c>
      <c r="M48" s="930">
        <f>+'Plan de Accion apoyo transversa'!AY31</f>
        <v>0.12006512489917041</v>
      </c>
      <c r="N48" s="930">
        <f>IF(M48&gt;100%,100%,M48)</f>
        <v>0.12006512489917041</v>
      </c>
      <c r="O48" s="930">
        <f>+N48</f>
        <v>0.12006512489917041</v>
      </c>
      <c r="P48" s="277"/>
      <c r="Q48" s="993">
        <f>+'Plan de Accion apoyo transversa'!BG31</f>
        <v>0</v>
      </c>
      <c r="R48" s="981">
        <f>+'Plan de Accion apoyo transversa'!CH31</f>
        <v>0</v>
      </c>
      <c r="S48" s="981">
        <f>IF(R48&gt;100%,100%,R48)</f>
        <v>0</v>
      </c>
      <c r="T48" s="981">
        <f>+'Plan de Accion apoyo transversa'!BI31</f>
        <v>0.12006512489917041</v>
      </c>
      <c r="U48" s="981">
        <f t="shared" si="18"/>
        <v>0.12006512489917041</v>
      </c>
      <c r="V48" s="987">
        <f>+U48</f>
        <v>0.12006512489917041</v>
      </c>
      <c r="W48" s="278"/>
      <c r="X48" s="993">
        <f>+'Plan de Accion apoyo transversa'!BQ31</f>
        <v>0</v>
      </c>
      <c r="Y48" s="981">
        <f>+'Plan de Accion apoyo transversa'!CJ31</f>
        <v>0</v>
      </c>
      <c r="Z48" s="981">
        <f t="shared" si="21"/>
        <v>0</v>
      </c>
      <c r="AA48" s="984">
        <f>+'Plan de Accion apoyo transversa'!BS31</f>
        <v>0.12006512489917041</v>
      </c>
      <c r="AB48" s="984">
        <f t="shared" si="19"/>
        <v>0.12006512489917041</v>
      </c>
      <c r="AC48" s="979">
        <f t="shared" si="22"/>
        <v>0.12006512489917041</v>
      </c>
      <c r="AD48" s="277"/>
      <c r="AE48" s="993">
        <f>+'Plan de Accion apoyo transversa'!CA31</f>
        <v>0</v>
      </c>
      <c r="AF48" s="981">
        <f>+'Plan de Accion apoyo transversa'!CL31</f>
        <v>0</v>
      </c>
      <c r="AG48" s="981">
        <f t="shared" si="23"/>
        <v>0</v>
      </c>
      <c r="AH48" s="981">
        <f>+'Plan de Accion apoyo transversa'!CC31</f>
        <v>0.12006512489917041</v>
      </c>
      <c r="AI48" s="987">
        <f t="shared" si="20"/>
        <v>0.12006512489917041</v>
      </c>
      <c r="AJ48" s="297"/>
      <c r="AL48" s="271"/>
      <c r="AM48" s="271"/>
      <c r="AN48" s="267"/>
      <c r="AO48" s="272"/>
      <c r="AP48" s="271"/>
      <c r="AQ48" s="267"/>
      <c r="AR48" s="271"/>
      <c r="AS48" s="271"/>
      <c r="AT48" s="267"/>
      <c r="AU48" s="271"/>
      <c r="AV48" s="271"/>
      <c r="AW48" s="265"/>
      <c r="AX48" s="294"/>
      <c r="AZ48" s="271"/>
      <c r="BA48" s="271"/>
      <c r="BB48" s="267"/>
      <c r="BC48" s="272"/>
      <c r="BD48" s="271"/>
      <c r="BE48" s="267"/>
      <c r="BF48" s="271"/>
      <c r="BG48" s="271"/>
      <c r="BH48" s="267"/>
      <c r="BI48" s="271"/>
      <c r="BJ48" s="271"/>
      <c r="BK48" s="265"/>
      <c r="BL48" s="294"/>
      <c r="BN48" s="271"/>
      <c r="BO48" s="271"/>
      <c r="BP48" s="267"/>
      <c r="BQ48" s="272"/>
      <c r="BR48" s="271"/>
      <c r="BS48" s="267"/>
      <c r="BT48" s="271"/>
      <c r="BU48" s="271"/>
      <c r="BV48" s="267"/>
      <c r="BW48" s="271"/>
      <c r="BX48" s="271"/>
      <c r="BY48" s="265"/>
      <c r="BZ48" s="294"/>
      <c r="CB48" s="271"/>
      <c r="CC48" s="271"/>
      <c r="CD48" s="267"/>
      <c r="CE48" s="272"/>
      <c r="CF48" s="271"/>
      <c r="CG48" s="267"/>
      <c r="CH48" s="271"/>
      <c r="CI48" s="271"/>
      <c r="CJ48" s="267"/>
      <c r="CK48" s="271"/>
      <c r="CL48" s="271"/>
      <c r="CM48" s="265"/>
      <c r="CN48" s="294"/>
    </row>
    <row r="49" spans="2:92" ht="28.5" x14ac:dyDescent="0.2">
      <c r="B49" s="1077"/>
      <c r="C49" s="973"/>
      <c r="D49" s="943"/>
      <c r="E49" s="946"/>
      <c r="F49" s="949"/>
      <c r="G49" s="385" t="str">
        <f>+'Plan de Accion apoyo transversa'!X32</f>
        <v>Respuestas a solicitudes de pruebas</v>
      </c>
      <c r="H49" s="961"/>
      <c r="I49" s="267"/>
      <c r="J49" s="994"/>
      <c r="K49" s="931"/>
      <c r="L49" s="931"/>
      <c r="M49" s="931"/>
      <c r="N49" s="931"/>
      <c r="O49" s="931"/>
      <c r="P49" s="277"/>
      <c r="Q49" s="994"/>
      <c r="R49" s="982"/>
      <c r="S49" s="982"/>
      <c r="T49" s="982"/>
      <c r="U49" s="982"/>
      <c r="V49" s="988"/>
      <c r="W49" s="278"/>
      <c r="X49" s="994"/>
      <c r="Y49" s="982"/>
      <c r="Z49" s="982"/>
      <c r="AA49" s="985"/>
      <c r="AB49" s="985"/>
      <c r="AC49" s="1021"/>
      <c r="AD49" s="277"/>
      <c r="AE49" s="994"/>
      <c r="AF49" s="982"/>
      <c r="AG49" s="982"/>
      <c r="AH49" s="982"/>
      <c r="AI49" s="988"/>
      <c r="AJ49" s="295"/>
      <c r="AL49" s="271"/>
      <c r="AM49" s="271"/>
      <c r="AN49" s="267"/>
      <c r="AO49" s="272"/>
      <c r="AP49" s="271"/>
      <c r="AQ49" s="267"/>
      <c r="AR49" s="271"/>
      <c r="AS49" s="271"/>
      <c r="AT49" s="267"/>
      <c r="AU49" s="271"/>
      <c r="AV49" s="271"/>
      <c r="AW49" s="265"/>
      <c r="AX49" s="294"/>
      <c r="AZ49" s="271"/>
      <c r="BA49" s="271"/>
      <c r="BB49" s="267"/>
      <c r="BC49" s="272"/>
      <c r="BD49" s="271"/>
      <c r="BE49" s="267"/>
      <c r="BF49" s="271"/>
      <c r="BG49" s="271"/>
      <c r="BH49" s="267"/>
      <c r="BI49" s="271"/>
      <c r="BJ49" s="271"/>
      <c r="BK49" s="265"/>
      <c r="BL49" s="294"/>
      <c r="BN49" s="271"/>
      <c r="BO49" s="271"/>
      <c r="BP49" s="267"/>
      <c r="BQ49" s="272"/>
      <c r="BR49" s="271"/>
      <c r="BS49" s="267"/>
      <c r="BT49" s="271"/>
      <c r="BU49" s="271"/>
      <c r="BV49" s="267"/>
      <c r="BW49" s="271"/>
      <c r="BX49" s="271"/>
      <c r="BY49" s="265"/>
      <c r="BZ49" s="294"/>
      <c r="CB49" s="271"/>
      <c r="CC49" s="271"/>
      <c r="CD49" s="267"/>
      <c r="CE49" s="272"/>
      <c r="CF49" s="271"/>
      <c r="CG49" s="267"/>
      <c r="CH49" s="271"/>
      <c r="CI49" s="271"/>
      <c r="CJ49" s="267"/>
      <c r="CK49" s="271"/>
      <c r="CL49" s="271"/>
      <c r="CM49" s="265"/>
      <c r="CN49" s="294"/>
    </row>
    <row r="50" spans="2:92" ht="15.75" thickBot="1" x14ac:dyDescent="0.25">
      <c r="B50" s="1077"/>
      <c r="C50" s="973"/>
      <c r="D50" s="943"/>
      <c r="E50" s="946"/>
      <c r="F50" s="949"/>
      <c r="G50" s="385" t="str">
        <f>+'Plan de Accion apoyo transversa'!X33</f>
        <v xml:space="preserve">Fichas técnicas  </v>
      </c>
      <c r="H50" s="961"/>
      <c r="I50" s="267"/>
      <c r="J50" s="994"/>
      <c r="K50" s="931"/>
      <c r="L50" s="931"/>
      <c r="M50" s="931"/>
      <c r="N50" s="931"/>
      <c r="O50" s="931"/>
      <c r="P50" s="277"/>
      <c r="Q50" s="994"/>
      <c r="R50" s="982"/>
      <c r="S50" s="982"/>
      <c r="T50" s="982"/>
      <c r="U50" s="982"/>
      <c r="V50" s="988"/>
      <c r="W50" s="278"/>
      <c r="X50" s="994"/>
      <c r="Y50" s="982"/>
      <c r="Z50" s="982"/>
      <c r="AA50" s="985"/>
      <c r="AB50" s="985"/>
      <c r="AC50" s="1021"/>
      <c r="AD50" s="277"/>
      <c r="AE50" s="994"/>
      <c r="AF50" s="982"/>
      <c r="AG50" s="982"/>
      <c r="AH50" s="982"/>
      <c r="AI50" s="988"/>
      <c r="AJ50" s="293"/>
      <c r="AL50" s="271"/>
      <c r="AM50" s="271"/>
      <c r="AN50" s="267"/>
      <c r="AO50" s="272"/>
      <c r="AP50" s="271"/>
      <c r="AQ50" s="267"/>
      <c r="AR50" s="271"/>
      <c r="AS50" s="271"/>
      <c r="AT50" s="267"/>
      <c r="AU50" s="271"/>
      <c r="AV50" s="271"/>
      <c r="AW50" s="265"/>
      <c r="AX50" s="294"/>
      <c r="AZ50" s="271"/>
      <c r="BA50" s="271"/>
      <c r="BB50" s="267"/>
      <c r="BC50" s="272"/>
      <c r="BD50" s="271"/>
      <c r="BE50" s="267"/>
      <c r="BF50" s="271"/>
      <c r="BG50" s="271"/>
      <c r="BH50" s="267"/>
      <c r="BI50" s="271"/>
      <c r="BJ50" s="271"/>
      <c r="BK50" s="265"/>
      <c r="BL50" s="294"/>
      <c r="BN50" s="271"/>
      <c r="BO50" s="271"/>
      <c r="BP50" s="267"/>
      <c r="BQ50" s="272"/>
      <c r="BR50" s="271"/>
      <c r="BS50" s="267"/>
      <c r="BT50" s="271"/>
      <c r="BU50" s="271"/>
      <c r="BV50" s="267"/>
      <c r="BW50" s="271"/>
      <c r="BX50" s="271"/>
      <c r="BY50" s="265"/>
      <c r="BZ50" s="294"/>
      <c r="CB50" s="271"/>
      <c r="CC50" s="271"/>
      <c r="CD50" s="267"/>
      <c r="CE50" s="272"/>
      <c r="CF50" s="271"/>
      <c r="CG50" s="267"/>
      <c r="CH50" s="271"/>
      <c r="CI50" s="271"/>
      <c r="CJ50" s="267"/>
      <c r="CK50" s="271"/>
      <c r="CL50" s="271"/>
      <c r="CM50" s="265"/>
      <c r="CN50" s="294"/>
    </row>
    <row r="51" spans="2:92" ht="15" x14ac:dyDescent="0.2">
      <c r="B51" s="1077"/>
      <c r="C51" s="973"/>
      <c r="D51" s="943"/>
      <c r="E51" s="946"/>
      <c r="F51" s="949"/>
      <c r="G51" s="385" t="str">
        <f>+'Plan de Accion apoyo transversa'!X34</f>
        <v xml:space="preserve">Fichas técnicas demandas </v>
      </c>
      <c r="H51" s="961"/>
      <c r="I51" s="267"/>
      <c r="J51" s="995"/>
      <c r="K51" s="932"/>
      <c r="L51" s="932"/>
      <c r="M51" s="932"/>
      <c r="N51" s="932"/>
      <c r="O51" s="932"/>
      <c r="P51" s="277"/>
      <c r="Q51" s="995"/>
      <c r="R51" s="983"/>
      <c r="S51" s="983"/>
      <c r="T51" s="983"/>
      <c r="U51" s="983"/>
      <c r="V51" s="989"/>
      <c r="W51" s="278"/>
      <c r="X51" s="995"/>
      <c r="Y51" s="983"/>
      <c r="Z51" s="983"/>
      <c r="AA51" s="986"/>
      <c r="AB51" s="986"/>
      <c r="AC51" s="980"/>
      <c r="AD51" s="277"/>
      <c r="AE51" s="995"/>
      <c r="AF51" s="983"/>
      <c r="AG51" s="983"/>
      <c r="AH51" s="983"/>
      <c r="AI51" s="989"/>
      <c r="AJ51" s="297"/>
      <c r="AL51" s="271"/>
      <c r="AM51" s="271"/>
      <c r="AN51" s="267"/>
      <c r="AO51" s="272"/>
      <c r="AP51" s="271"/>
      <c r="AQ51" s="267"/>
      <c r="AR51" s="271"/>
      <c r="AS51" s="271"/>
      <c r="AT51" s="267"/>
      <c r="AU51" s="271"/>
      <c r="AV51" s="271"/>
      <c r="AW51" s="265"/>
      <c r="AX51" s="294"/>
      <c r="AZ51" s="271"/>
      <c r="BA51" s="271"/>
      <c r="BB51" s="267"/>
      <c r="BC51" s="272"/>
      <c r="BD51" s="271"/>
      <c r="BE51" s="267"/>
      <c r="BF51" s="271"/>
      <c r="BG51" s="271"/>
      <c r="BH51" s="267"/>
      <c r="BI51" s="271"/>
      <c r="BJ51" s="271"/>
      <c r="BK51" s="265"/>
      <c r="BL51" s="294"/>
      <c r="BN51" s="271"/>
      <c r="BO51" s="271"/>
      <c r="BP51" s="267"/>
      <c r="BQ51" s="272"/>
      <c r="BR51" s="271"/>
      <c r="BS51" s="267"/>
      <c r="BT51" s="271"/>
      <c r="BU51" s="271"/>
      <c r="BV51" s="267"/>
      <c r="BW51" s="271"/>
      <c r="BX51" s="271"/>
      <c r="BY51" s="265"/>
      <c r="BZ51" s="294"/>
      <c r="CB51" s="271"/>
      <c r="CC51" s="271"/>
      <c r="CD51" s="267"/>
      <c r="CE51" s="272"/>
      <c r="CF51" s="271"/>
      <c r="CG51" s="267"/>
      <c r="CH51" s="271"/>
      <c r="CI51" s="271"/>
      <c r="CJ51" s="267"/>
      <c r="CK51" s="271"/>
      <c r="CL51" s="271"/>
      <c r="CM51" s="265"/>
      <c r="CN51" s="294"/>
    </row>
    <row r="52" spans="2:92" ht="42.75" x14ac:dyDescent="0.2">
      <c r="B52" s="1077"/>
      <c r="C52" s="973"/>
      <c r="D52" s="943"/>
      <c r="E52" s="946"/>
      <c r="F52" s="949"/>
      <c r="G52" s="385" t="str">
        <f>+'Plan de Accion apoyo transversa'!X35</f>
        <v>Recurrir los Actos Administrativos interpuestos por COLPENSIONES</v>
      </c>
      <c r="H52" s="961"/>
      <c r="I52" s="267"/>
      <c r="J52" s="993">
        <f>+'Plan de Accion apoyo transversa'!AW35</f>
        <v>0.73493975903614461</v>
      </c>
      <c r="K52" s="930">
        <f>+'Plan de Accion apoyo transversa'!CF35</f>
        <v>0.73493975903614461</v>
      </c>
      <c r="L52" s="930">
        <f>IF(K52&gt;100%,100%,K52)</f>
        <v>0.73493975903614461</v>
      </c>
      <c r="M52" s="930">
        <f>+'Plan de Accion apoyo transversa'!AY35</f>
        <v>0.18373493975903615</v>
      </c>
      <c r="N52" s="930">
        <f>IF(M52&gt;100%,100%,M52)</f>
        <v>0.18373493975903615</v>
      </c>
      <c r="O52" s="930">
        <f>+N52</f>
        <v>0.18373493975903615</v>
      </c>
      <c r="P52" s="277"/>
      <c r="Q52" s="993">
        <f>+'Plan de Accion apoyo transversa'!BG35</f>
        <v>0</v>
      </c>
      <c r="R52" s="981">
        <f>+'Plan de Accion apoyo transversa'!CH35</f>
        <v>0</v>
      </c>
      <c r="S52" s="981">
        <f>IF(R52&gt;100%,100%,R52)</f>
        <v>0</v>
      </c>
      <c r="T52" s="981">
        <f>+'Plan de Accion apoyo transversa'!BI35</f>
        <v>0.18373493975903615</v>
      </c>
      <c r="U52" s="981">
        <f t="shared" si="18"/>
        <v>0.18373493975903615</v>
      </c>
      <c r="V52" s="987">
        <f>+U52</f>
        <v>0.18373493975903615</v>
      </c>
      <c r="W52" s="278"/>
      <c r="X52" s="993">
        <f>+'Plan de Accion apoyo transversa'!BQ35</f>
        <v>0</v>
      </c>
      <c r="Y52" s="981">
        <f>+'Plan de Accion apoyo transversa'!CJ35</f>
        <v>0</v>
      </c>
      <c r="Z52" s="981">
        <f t="shared" si="21"/>
        <v>0</v>
      </c>
      <c r="AA52" s="984">
        <f>+'Plan de Accion apoyo transversa'!BS35</f>
        <v>0.18373493975903615</v>
      </c>
      <c r="AB52" s="984">
        <f t="shared" si="19"/>
        <v>0.18373493975903615</v>
      </c>
      <c r="AC52" s="979">
        <f t="shared" si="22"/>
        <v>0.18373493975903615</v>
      </c>
      <c r="AD52" s="277"/>
      <c r="AE52" s="993">
        <f>+'Plan de Accion apoyo transversa'!CA35</f>
        <v>0</v>
      </c>
      <c r="AF52" s="981">
        <f>+'Plan de Accion apoyo transversa'!CL35</f>
        <v>0</v>
      </c>
      <c r="AG52" s="981">
        <f t="shared" si="23"/>
        <v>0</v>
      </c>
      <c r="AH52" s="981">
        <f>+'Plan de Accion apoyo transversa'!CC35</f>
        <v>0.18373493975903615</v>
      </c>
      <c r="AI52" s="987">
        <f t="shared" si="20"/>
        <v>0.18373493975903615</v>
      </c>
      <c r="AJ52" s="295"/>
      <c r="AL52" s="271"/>
      <c r="AM52" s="271"/>
      <c r="AN52" s="267"/>
      <c r="AO52" s="272"/>
      <c r="AP52" s="271"/>
      <c r="AQ52" s="267"/>
      <c r="AR52" s="271"/>
      <c r="AS52" s="271"/>
      <c r="AT52" s="267"/>
      <c r="AU52" s="271"/>
      <c r="AV52" s="271"/>
      <c r="AW52" s="265"/>
      <c r="AX52" s="294"/>
      <c r="AZ52" s="271"/>
      <c r="BA52" s="271"/>
      <c r="BB52" s="267"/>
      <c r="BC52" s="272"/>
      <c r="BD52" s="271"/>
      <c r="BE52" s="267"/>
      <c r="BF52" s="271"/>
      <c r="BG52" s="271"/>
      <c r="BH52" s="267"/>
      <c r="BI52" s="271"/>
      <c r="BJ52" s="271"/>
      <c r="BK52" s="265"/>
      <c r="BL52" s="294"/>
      <c r="BN52" s="271"/>
      <c r="BO52" s="271"/>
      <c r="BP52" s="267"/>
      <c r="BQ52" s="272"/>
      <c r="BR52" s="271"/>
      <c r="BS52" s="267"/>
      <c r="BT52" s="271"/>
      <c r="BU52" s="271"/>
      <c r="BV52" s="267"/>
      <c r="BW52" s="271"/>
      <c r="BX52" s="271"/>
      <c r="BY52" s="265"/>
      <c r="BZ52" s="294"/>
      <c r="CB52" s="271"/>
      <c r="CC52" s="271"/>
      <c r="CD52" s="267"/>
      <c r="CE52" s="272"/>
      <c r="CF52" s="271"/>
      <c r="CG52" s="267"/>
      <c r="CH52" s="271"/>
      <c r="CI52" s="271"/>
      <c r="CJ52" s="267"/>
      <c r="CK52" s="271"/>
      <c r="CL52" s="271"/>
      <c r="CM52" s="265"/>
      <c r="CN52" s="294"/>
    </row>
    <row r="53" spans="2:92" ht="15.75" thickBot="1" x14ac:dyDescent="0.25">
      <c r="B53" s="1077"/>
      <c r="C53" s="973"/>
      <c r="D53" s="943"/>
      <c r="E53" s="946"/>
      <c r="F53" s="949"/>
      <c r="G53" s="385" t="str">
        <f>+'Plan de Accion apoyo transversa'!X36</f>
        <v>Respuestas a reclamaciones</v>
      </c>
      <c r="H53" s="961"/>
      <c r="I53" s="267"/>
      <c r="J53" s="995"/>
      <c r="K53" s="932"/>
      <c r="L53" s="932"/>
      <c r="M53" s="932"/>
      <c r="N53" s="932"/>
      <c r="O53" s="932"/>
      <c r="P53" s="277"/>
      <c r="Q53" s="995"/>
      <c r="R53" s="983"/>
      <c r="S53" s="983"/>
      <c r="T53" s="983"/>
      <c r="U53" s="983"/>
      <c r="V53" s="989"/>
      <c r="W53" s="278"/>
      <c r="X53" s="995"/>
      <c r="Y53" s="983"/>
      <c r="Z53" s="983"/>
      <c r="AA53" s="986"/>
      <c r="AB53" s="986"/>
      <c r="AC53" s="980"/>
      <c r="AD53" s="277"/>
      <c r="AE53" s="995"/>
      <c r="AF53" s="983"/>
      <c r="AG53" s="983"/>
      <c r="AH53" s="983"/>
      <c r="AI53" s="989"/>
      <c r="AJ53" s="293"/>
      <c r="AL53" s="271"/>
      <c r="AM53" s="271"/>
      <c r="AN53" s="267"/>
      <c r="AO53" s="272"/>
      <c r="AP53" s="271"/>
      <c r="AQ53" s="267"/>
      <c r="AR53" s="271"/>
      <c r="AS53" s="271"/>
      <c r="AT53" s="267"/>
      <c r="AU53" s="271"/>
      <c r="AV53" s="271"/>
      <c r="AW53" s="265"/>
      <c r="AX53" s="294"/>
      <c r="AZ53" s="271"/>
      <c r="BA53" s="271"/>
      <c r="BB53" s="267"/>
      <c r="BC53" s="272"/>
      <c r="BD53" s="271"/>
      <c r="BE53" s="267"/>
      <c r="BF53" s="271"/>
      <c r="BG53" s="271"/>
      <c r="BH53" s="267"/>
      <c r="BI53" s="271"/>
      <c r="BJ53" s="271"/>
      <c r="BK53" s="265"/>
      <c r="BL53" s="294"/>
      <c r="BN53" s="271"/>
      <c r="BO53" s="271"/>
      <c r="BP53" s="267"/>
      <c r="BQ53" s="272"/>
      <c r="BR53" s="271"/>
      <c r="BS53" s="267"/>
      <c r="BT53" s="271"/>
      <c r="BU53" s="271"/>
      <c r="BV53" s="267"/>
      <c r="BW53" s="271"/>
      <c r="BX53" s="271"/>
      <c r="BY53" s="265"/>
      <c r="BZ53" s="294"/>
      <c r="CB53" s="271"/>
      <c r="CC53" s="271"/>
      <c r="CD53" s="267"/>
      <c r="CE53" s="272"/>
      <c r="CF53" s="271"/>
      <c r="CG53" s="267"/>
      <c r="CH53" s="271"/>
      <c r="CI53" s="271"/>
      <c r="CJ53" s="267"/>
      <c r="CK53" s="271"/>
      <c r="CL53" s="271"/>
      <c r="CM53" s="265"/>
      <c r="CN53" s="294"/>
    </row>
    <row r="54" spans="2:92" ht="42.75" x14ac:dyDescent="0.2">
      <c r="B54" s="1077"/>
      <c r="C54" s="973"/>
      <c r="D54" s="943"/>
      <c r="E54" s="946"/>
      <c r="F54" s="949"/>
      <c r="G54" s="385" t="str">
        <f>+'Plan de Accion apoyo transversa'!X37</f>
        <v>Actas del Comité de Conciliación dibidamente firmadas</v>
      </c>
      <c r="H54" s="961"/>
      <c r="I54" s="267"/>
      <c r="J54" s="279">
        <f>+'Plan de Accion apoyo transversa'!AW37</f>
        <v>0.5444444444444444</v>
      </c>
      <c r="K54" s="615">
        <f>+'Plan de Accion apoyo transversa'!CF37</f>
        <v>0.5444444444444444</v>
      </c>
      <c r="L54" s="615">
        <f>IF(K54&gt;100%,100%,K54)</f>
        <v>0.5444444444444444</v>
      </c>
      <c r="M54" s="615">
        <f>+'Plan de Accion apoyo transversa'!AY37</f>
        <v>0.1361111111111111</v>
      </c>
      <c r="N54" s="615">
        <f>IF(M54&gt;100%,100%,M54)</f>
        <v>0.1361111111111111</v>
      </c>
      <c r="O54" s="615">
        <f>+N54</f>
        <v>0.1361111111111111</v>
      </c>
      <c r="P54" s="277"/>
      <c r="Q54" s="279">
        <f>+'Plan de Accion apoyo transversa'!BG37</f>
        <v>0</v>
      </c>
      <c r="R54" s="315">
        <f>+'Plan de Accion apoyo transversa'!CH37</f>
        <v>0</v>
      </c>
      <c r="S54" s="276">
        <f>IF(R54&gt;100%,100%,R54)</f>
        <v>0</v>
      </c>
      <c r="T54" s="373">
        <f>+'Plan de Accion apoyo transversa'!BI37</f>
        <v>0.1361111111111111</v>
      </c>
      <c r="U54" s="373">
        <f t="shared" si="18"/>
        <v>0.1361111111111111</v>
      </c>
      <c r="V54" s="275">
        <f>+U54</f>
        <v>0.1361111111111111</v>
      </c>
      <c r="W54" s="278"/>
      <c r="X54" s="279">
        <f>+'Plan de Accion apoyo transversa'!BQ37</f>
        <v>0</v>
      </c>
      <c r="Y54" s="315">
        <f>+'Plan de Accion apoyo transversa'!CJ37</f>
        <v>0</v>
      </c>
      <c r="Z54" s="276">
        <f>IF(Y54&gt;100%,100%,Y54)</f>
        <v>0</v>
      </c>
      <c r="AA54" s="282">
        <f>+'Plan de Accion apoyo transversa'!BS37</f>
        <v>0.1361111111111111</v>
      </c>
      <c r="AB54" s="282">
        <f t="shared" si="19"/>
        <v>0.1361111111111111</v>
      </c>
      <c r="AC54" s="371">
        <f>+AB54</f>
        <v>0.1361111111111111</v>
      </c>
      <c r="AD54" s="277"/>
      <c r="AE54" s="279">
        <f>+'Plan de Accion apoyo transversa'!CA37</f>
        <v>0</v>
      </c>
      <c r="AF54" s="315">
        <f>+'Plan de Accion apoyo transversa'!CL37</f>
        <v>0</v>
      </c>
      <c r="AG54" s="276">
        <f t="shared" si="23"/>
        <v>0</v>
      </c>
      <c r="AH54" s="315">
        <f>+'Plan de Accion apoyo transversa'!CC37</f>
        <v>0.1361111111111111</v>
      </c>
      <c r="AI54" s="275">
        <f t="shared" si="20"/>
        <v>0.1361111111111111</v>
      </c>
      <c r="AJ54" s="297"/>
      <c r="AL54" s="271"/>
      <c r="AM54" s="271"/>
      <c r="AN54" s="267"/>
      <c r="AO54" s="272"/>
      <c r="AP54" s="271"/>
      <c r="AQ54" s="267"/>
      <c r="AR54" s="271"/>
      <c r="AS54" s="271"/>
      <c r="AT54" s="267"/>
      <c r="AU54" s="271"/>
      <c r="AV54" s="271"/>
      <c r="AW54" s="265"/>
      <c r="AX54" s="294"/>
      <c r="AZ54" s="271"/>
      <c r="BA54" s="271"/>
      <c r="BB54" s="267"/>
      <c r="BC54" s="272"/>
      <c r="BD54" s="271"/>
      <c r="BE54" s="267"/>
      <c r="BF54" s="271"/>
      <c r="BG54" s="271"/>
      <c r="BH54" s="267"/>
      <c r="BI54" s="271"/>
      <c r="BJ54" s="271"/>
      <c r="BK54" s="265"/>
      <c r="BL54" s="294"/>
      <c r="BN54" s="271"/>
      <c r="BO54" s="271"/>
      <c r="BP54" s="267"/>
      <c r="BQ54" s="272"/>
      <c r="BR54" s="271"/>
      <c r="BS54" s="267"/>
      <c r="BT54" s="271"/>
      <c r="BU54" s="271"/>
      <c r="BV54" s="267"/>
      <c r="BW54" s="271"/>
      <c r="BX54" s="271"/>
      <c r="BY54" s="265"/>
      <c r="BZ54" s="294"/>
      <c r="CB54" s="271"/>
      <c r="CC54" s="271"/>
      <c r="CD54" s="267"/>
      <c r="CE54" s="272"/>
      <c r="CF54" s="271"/>
      <c r="CG54" s="267"/>
      <c r="CH54" s="271"/>
      <c r="CI54" s="271"/>
      <c r="CJ54" s="267"/>
      <c r="CK54" s="271"/>
      <c r="CL54" s="271"/>
      <c r="CM54" s="265"/>
      <c r="CN54" s="294"/>
    </row>
    <row r="55" spans="2:92" ht="15" x14ac:dyDescent="0.2">
      <c r="B55" s="1077"/>
      <c r="C55" s="973"/>
      <c r="D55" s="943"/>
      <c r="E55" s="946"/>
      <c r="F55" s="949"/>
      <c r="G55" s="385" t="str">
        <f>+'Plan de Accion apoyo transversa'!X38</f>
        <v xml:space="preserve">Reparto </v>
      </c>
      <c r="H55" s="961"/>
      <c r="I55" s="267"/>
      <c r="J55" s="993">
        <f>+'Plan de Accion apoyo transversa'!AW38</f>
        <v>0.66666651903143614</v>
      </c>
      <c r="K55" s="930">
        <f>+'Plan de Accion apoyo transversa'!CF38</f>
        <v>0.66666651903143614</v>
      </c>
      <c r="L55" s="930">
        <f>IF(K55&gt;100%,100%,K55)</f>
        <v>0.66666651903143614</v>
      </c>
      <c r="M55" s="930">
        <f>+'Plan de Accion apoyo transversa'!AY38</f>
        <v>0.16666662975785904</v>
      </c>
      <c r="N55" s="930">
        <f>IF(M55&gt;100%,100%,M55)</f>
        <v>0.16666662975785904</v>
      </c>
      <c r="O55" s="930">
        <f>+N55</f>
        <v>0.16666662975785904</v>
      </c>
      <c r="P55" s="277"/>
      <c r="Q55" s="993">
        <f>+'Plan de Accion apoyo transversa'!BG38</f>
        <v>0</v>
      </c>
      <c r="R55" s="981">
        <f>+'Plan de Accion apoyo transversa'!CH38</f>
        <v>0</v>
      </c>
      <c r="S55" s="981">
        <f>IF(R55&gt;100%,100%,R55)</f>
        <v>0</v>
      </c>
      <c r="T55" s="981">
        <f>+'Plan de Accion apoyo transversa'!BI38</f>
        <v>0.16666662975785904</v>
      </c>
      <c r="U55" s="981">
        <f t="shared" si="18"/>
        <v>0.16666662975785904</v>
      </c>
      <c r="V55" s="987">
        <f>+U55</f>
        <v>0.16666662975785904</v>
      </c>
      <c r="W55" s="278"/>
      <c r="X55" s="993">
        <f>+'Plan de Accion apoyo transversa'!BQ38</f>
        <v>0</v>
      </c>
      <c r="Y55" s="981">
        <f>+'Plan de Accion apoyo transversa'!CJ38</f>
        <v>0</v>
      </c>
      <c r="Z55" s="981">
        <f>IF(Y55&gt;100%,100%,Y55)</f>
        <v>0</v>
      </c>
      <c r="AA55" s="984">
        <f>+'Plan de Accion apoyo transversa'!BS38</f>
        <v>0.16666662975785904</v>
      </c>
      <c r="AB55" s="984">
        <f t="shared" si="19"/>
        <v>0.16666662975785904</v>
      </c>
      <c r="AC55" s="979">
        <f>+AB55</f>
        <v>0.16666662975785904</v>
      </c>
      <c r="AD55" s="277"/>
      <c r="AE55" s="993">
        <f>+'Plan de Accion apoyo transversa'!CA38</f>
        <v>0</v>
      </c>
      <c r="AF55" s="981">
        <f>+'Plan de Accion apoyo transversa'!CL38</f>
        <v>0</v>
      </c>
      <c r="AG55" s="981">
        <f t="shared" si="23"/>
        <v>0</v>
      </c>
      <c r="AH55" s="981">
        <f>+'Plan de Accion apoyo transversa'!CC38</f>
        <v>0.16666662975785904</v>
      </c>
      <c r="AI55" s="987">
        <f t="shared" si="20"/>
        <v>0.16666662975785904</v>
      </c>
      <c r="AJ55" s="295"/>
      <c r="AL55" s="271"/>
      <c r="AM55" s="271"/>
      <c r="AN55" s="267"/>
      <c r="AO55" s="272"/>
      <c r="AP55" s="271"/>
      <c r="AQ55" s="267"/>
      <c r="AR55" s="271"/>
      <c r="AS55" s="271"/>
      <c r="AT55" s="267"/>
      <c r="AU55" s="271"/>
      <c r="AV55" s="271"/>
      <c r="AW55" s="265"/>
      <c r="AX55" s="294"/>
      <c r="AZ55" s="271"/>
      <c r="BA55" s="271"/>
      <c r="BB55" s="267"/>
      <c r="BC55" s="272"/>
      <c r="BD55" s="271"/>
      <c r="BE55" s="267"/>
      <c r="BF55" s="271"/>
      <c r="BG55" s="271"/>
      <c r="BH55" s="267"/>
      <c r="BI55" s="271"/>
      <c r="BJ55" s="271"/>
      <c r="BK55" s="265"/>
      <c r="BL55" s="294"/>
      <c r="BN55" s="271"/>
      <c r="BO55" s="271"/>
      <c r="BP55" s="267"/>
      <c r="BQ55" s="272"/>
      <c r="BR55" s="271"/>
      <c r="BS55" s="267"/>
      <c r="BT55" s="271"/>
      <c r="BU55" s="271"/>
      <c r="BV55" s="267"/>
      <c r="BW55" s="271"/>
      <c r="BX55" s="271"/>
      <c r="BY55" s="265"/>
      <c r="BZ55" s="294"/>
      <c r="CB55" s="271"/>
      <c r="CC55" s="271"/>
      <c r="CD55" s="267"/>
      <c r="CE55" s="272"/>
      <c r="CF55" s="271"/>
      <c r="CG55" s="267"/>
      <c r="CH55" s="271"/>
      <c r="CI55" s="271"/>
      <c r="CJ55" s="267"/>
      <c r="CK55" s="271"/>
      <c r="CL55" s="271"/>
      <c r="CM55" s="265"/>
      <c r="CN55" s="294"/>
    </row>
    <row r="56" spans="2:92" ht="15.75" thickBot="1" x14ac:dyDescent="0.25">
      <c r="B56" s="1077"/>
      <c r="C56" s="973"/>
      <c r="D56" s="943"/>
      <c r="E56" s="946"/>
      <c r="F56" s="949"/>
      <c r="G56" s="385" t="str">
        <f>+'Plan de Accion apoyo transversa'!X39</f>
        <v>Poderes</v>
      </c>
      <c r="H56" s="961"/>
      <c r="I56" s="267"/>
      <c r="J56" s="995"/>
      <c r="K56" s="932"/>
      <c r="L56" s="932"/>
      <c r="M56" s="932"/>
      <c r="N56" s="932"/>
      <c r="O56" s="932"/>
      <c r="P56" s="277"/>
      <c r="Q56" s="995"/>
      <c r="R56" s="983"/>
      <c r="S56" s="983"/>
      <c r="T56" s="983"/>
      <c r="U56" s="983"/>
      <c r="V56" s="989"/>
      <c r="W56" s="278"/>
      <c r="X56" s="995"/>
      <c r="Y56" s="983"/>
      <c r="Z56" s="983"/>
      <c r="AA56" s="986"/>
      <c r="AB56" s="986"/>
      <c r="AC56" s="980"/>
      <c r="AD56" s="277"/>
      <c r="AE56" s="995"/>
      <c r="AF56" s="983"/>
      <c r="AG56" s="983"/>
      <c r="AH56" s="983"/>
      <c r="AI56" s="989"/>
      <c r="AJ56" s="293"/>
      <c r="AL56" s="271"/>
      <c r="AM56" s="271"/>
      <c r="AN56" s="267"/>
      <c r="AO56" s="272"/>
      <c r="AP56" s="271"/>
      <c r="AQ56" s="267"/>
      <c r="AR56" s="271"/>
      <c r="AS56" s="271"/>
      <c r="AT56" s="267"/>
      <c r="AU56" s="271"/>
      <c r="AV56" s="271"/>
      <c r="AW56" s="265"/>
      <c r="AX56" s="294"/>
      <c r="AZ56" s="271"/>
      <c r="BA56" s="271"/>
      <c r="BB56" s="267"/>
      <c r="BC56" s="272"/>
      <c r="BD56" s="271"/>
      <c r="BE56" s="267"/>
      <c r="BF56" s="271"/>
      <c r="BG56" s="271"/>
      <c r="BH56" s="267"/>
      <c r="BI56" s="271"/>
      <c r="BJ56" s="271"/>
      <c r="BK56" s="265"/>
      <c r="BL56" s="294"/>
      <c r="BN56" s="271"/>
      <c r="BO56" s="271"/>
      <c r="BP56" s="267"/>
      <c r="BQ56" s="272"/>
      <c r="BR56" s="271"/>
      <c r="BS56" s="267"/>
      <c r="BT56" s="271"/>
      <c r="BU56" s="271"/>
      <c r="BV56" s="267"/>
      <c r="BW56" s="271"/>
      <c r="BX56" s="271"/>
      <c r="BY56" s="265"/>
      <c r="BZ56" s="294"/>
      <c r="CB56" s="271"/>
      <c r="CC56" s="271"/>
      <c r="CD56" s="267"/>
      <c r="CE56" s="272"/>
      <c r="CF56" s="271"/>
      <c r="CG56" s="267"/>
      <c r="CH56" s="271"/>
      <c r="CI56" s="271"/>
      <c r="CJ56" s="267"/>
      <c r="CK56" s="271"/>
      <c r="CL56" s="271"/>
      <c r="CM56" s="265"/>
      <c r="CN56" s="294"/>
    </row>
    <row r="57" spans="2:92" ht="42.75" x14ac:dyDescent="0.2">
      <c r="B57" s="1077"/>
      <c r="C57" s="974"/>
      <c r="D57" s="944"/>
      <c r="E57" s="947"/>
      <c r="F57" s="949"/>
      <c r="G57" s="385" t="str">
        <f>+'Plan de Accion apoyo transversa'!X40</f>
        <v xml:space="preserve">Atender las solicitudes de informes derivadas de acciones constitucionales </v>
      </c>
      <c r="H57" s="961"/>
      <c r="I57" s="267"/>
      <c r="J57" s="279">
        <f>+'Plan de Accion apoyo transversa'!AW40</f>
        <v>0.53506912734267342</v>
      </c>
      <c r="K57" s="615">
        <f>+'Plan de Accion apoyo transversa'!CF40</f>
        <v>0.53506912734267342</v>
      </c>
      <c r="L57" s="615">
        <f>IF(K57&gt;100%,100%,K57)</f>
        <v>0.53506912734267342</v>
      </c>
      <c r="M57" s="615">
        <f>+'Plan de Accion apoyo transversa'!AY40</f>
        <v>0.13376728183566836</v>
      </c>
      <c r="N57" s="615">
        <f>IF(M57&gt;100%,100%,M57)</f>
        <v>0.13376728183566836</v>
      </c>
      <c r="O57" s="615">
        <f>+N57</f>
        <v>0.13376728183566836</v>
      </c>
      <c r="P57" s="277"/>
      <c r="Q57" s="279">
        <f>+'Plan de Accion apoyo transversa'!BG40</f>
        <v>0</v>
      </c>
      <c r="R57" s="315">
        <f>+'Plan de Accion apoyo transversa'!CH40</f>
        <v>0</v>
      </c>
      <c r="S57" s="276">
        <f>IF(R57&gt;100%,100%,R57)</f>
        <v>0</v>
      </c>
      <c r="T57" s="373">
        <f>+'Plan de Accion apoyo transversa'!BI40</f>
        <v>0.13376728183566836</v>
      </c>
      <c r="U57" s="373">
        <f t="shared" si="18"/>
        <v>0.13376728183566836</v>
      </c>
      <c r="V57" s="275">
        <f>+U57</f>
        <v>0.13376728183566836</v>
      </c>
      <c r="W57" s="278"/>
      <c r="X57" s="279">
        <f>+'Plan de Accion apoyo transversa'!BQ40</f>
        <v>0</v>
      </c>
      <c r="Y57" s="315">
        <f>+'Plan de Accion apoyo transversa'!CJ40</f>
        <v>0</v>
      </c>
      <c r="Z57" s="276">
        <f>IF(Y57&gt;100%,100%,Y57)</f>
        <v>0</v>
      </c>
      <c r="AA57" s="282">
        <f>+'Plan de Accion apoyo transversa'!BS40</f>
        <v>0.13376728183566836</v>
      </c>
      <c r="AB57" s="282">
        <f t="shared" si="19"/>
        <v>0.13376728183566836</v>
      </c>
      <c r="AC57" s="371">
        <f>+AB57</f>
        <v>0.13376728183566836</v>
      </c>
      <c r="AD57" s="277"/>
      <c r="AE57" s="279">
        <f>+'Plan de Accion apoyo transversa'!CA40</f>
        <v>0</v>
      </c>
      <c r="AF57" s="315">
        <f>+'Plan de Accion apoyo transversa'!CL40</f>
        <v>0</v>
      </c>
      <c r="AG57" s="276">
        <f t="shared" si="23"/>
        <v>0</v>
      </c>
      <c r="AH57" s="315">
        <f>+'Plan de Accion apoyo transversa'!CC40</f>
        <v>0.13376728183566836</v>
      </c>
      <c r="AI57" s="275">
        <f t="shared" si="20"/>
        <v>0.13376728183566836</v>
      </c>
      <c r="AJ57" s="297"/>
      <c r="AL57" s="271"/>
      <c r="AM57" s="271"/>
      <c r="AN57" s="267"/>
      <c r="AO57" s="272"/>
      <c r="AP57" s="271"/>
      <c r="AQ57" s="267"/>
      <c r="AR57" s="271"/>
      <c r="AS57" s="271"/>
      <c r="AT57" s="267"/>
      <c r="AU57" s="271"/>
      <c r="AV57" s="271"/>
      <c r="AW57" s="265"/>
      <c r="AX57" s="294"/>
      <c r="AZ57" s="271"/>
      <c r="BA57" s="271"/>
      <c r="BB57" s="267"/>
      <c r="BC57" s="272"/>
      <c r="BD57" s="271"/>
      <c r="BE57" s="267"/>
      <c r="BF57" s="271"/>
      <c r="BG57" s="271"/>
      <c r="BH57" s="267"/>
      <c r="BI57" s="271"/>
      <c r="BJ57" s="271"/>
      <c r="BK57" s="265"/>
      <c r="BL57" s="294"/>
      <c r="BN57" s="271"/>
      <c r="BO57" s="271"/>
      <c r="BP57" s="267"/>
      <c r="BQ57" s="272"/>
      <c r="BR57" s="271"/>
      <c r="BS57" s="267"/>
      <c r="BT57" s="271"/>
      <c r="BU57" s="271"/>
      <c r="BV57" s="267"/>
      <c r="BW57" s="271"/>
      <c r="BX57" s="271"/>
      <c r="BY57" s="265"/>
      <c r="BZ57" s="294"/>
      <c r="CB57" s="271"/>
      <c r="CC57" s="271"/>
      <c r="CD57" s="267"/>
      <c r="CE57" s="272"/>
      <c r="CF57" s="271"/>
      <c r="CG57" s="267"/>
      <c r="CH57" s="271"/>
      <c r="CI57" s="271"/>
      <c r="CJ57" s="267"/>
      <c r="CK57" s="271"/>
      <c r="CL57" s="271"/>
      <c r="CM57" s="265"/>
      <c r="CN57" s="294"/>
    </row>
    <row r="58" spans="2:92" ht="42.75" customHeight="1" x14ac:dyDescent="0.2">
      <c r="B58" s="1077"/>
      <c r="C58" s="972" t="s">
        <v>94</v>
      </c>
      <c r="D58" s="1004" t="s">
        <v>206</v>
      </c>
      <c r="E58" s="945" t="s">
        <v>1</v>
      </c>
      <c r="F58" s="948" t="s">
        <v>332</v>
      </c>
      <c r="G58" s="385" t="str">
        <f>+'Plan de Accion apoyo transversa'!X9</f>
        <v>Sitio Web de la ADRES diseñado y en funcionamiento</v>
      </c>
      <c r="H58" s="961"/>
      <c r="J58" s="279" t="e">
        <f>+'Plan de Accion apoyo transversa'!AW9</f>
        <v>#DIV/0!</v>
      </c>
      <c r="K58" s="615" t="str">
        <f>+'Plan de Accion apoyo transversa'!CF9</f>
        <v>No Prog ni Ejec</v>
      </c>
      <c r="L58" s="615" t="s">
        <v>206</v>
      </c>
      <c r="M58" s="615">
        <f>+'Plan de Accion apoyo transversa'!AY9</f>
        <v>0</v>
      </c>
      <c r="N58" s="615">
        <f>IF(M58&gt;100%,100%,M58)</f>
        <v>0</v>
      </c>
      <c r="O58" s="615" t="s">
        <v>206</v>
      </c>
      <c r="P58" s="277"/>
      <c r="Q58" s="279">
        <f>+'Plan de Accion apoyo transversa'!BG9</f>
        <v>0</v>
      </c>
      <c r="R58" s="315">
        <f>+'Plan de Accion apoyo transversa'!CH9</f>
        <v>0</v>
      </c>
      <c r="S58" s="276">
        <f>IF(R58&gt;100%,100%,R58)</f>
        <v>0</v>
      </c>
      <c r="T58" s="373">
        <f>+'Plan de Accion apoyo transversa'!BI9</f>
        <v>0</v>
      </c>
      <c r="U58" s="373">
        <f>IF(T58&gt;100%,100%,T58)</f>
        <v>0</v>
      </c>
      <c r="V58" s="275">
        <f>+U58</f>
        <v>0</v>
      </c>
      <c r="W58" s="278"/>
      <c r="X58" s="279">
        <f>+'Plan de Accion apoyo transversa'!BQ9</f>
        <v>0</v>
      </c>
      <c r="Y58" s="315">
        <f>+'Plan de Accion apoyo transversa'!CJ9</f>
        <v>0</v>
      </c>
      <c r="Z58" s="276">
        <f>IF(Y58&gt;100%,100%,Y58)</f>
        <v>0</v>
      </c>
      <c r="AA58" s="282">
        <f>+'Plan de Accion apoyo transversa'!BS9</f>
        <v>0</v>
      </c>
      <c r="AB58" s="282">
        <f>IF(AA58&gt;100%,100%,AA58)</f>
        <v>0</v>
      </c>
      <c r="AC58" s="371">
        <f>+AB58</f>
        <v>0</v>
      </c>
      <c r="AD58" s="277"/>
      <c r="AE58" s="279">
        <f>+'Plan de Accion apoyo transversa'!CA9</f>
        <v>0</v>
      </c>
      <c r="AF58" s="315">
        <f>+'Plan de Accion apoyo transversa'!CL9</f>
        <v>0</v>
      </c>
      <c r="AG58" s="276">
        <f>IF(AF58&gt;100%,100%,AF58)</f>
        <v>0</v>
      </c>
      <c r="AH58" s="315">
        <f>+'Plan de Accion apoyo transversa'!CC9</f>
        <v>0</v>
      </c>
      <c r="AI58" s="275">
        <f>IF(AH58&gt;100%,100%,AH58)</f>
        <v>0</v>
      </c>
      <c r="AJ58" s="295"/>
      <c r="AL58" s="271"/>
      <c r="AM58" s="271"/>
      <c r="AN58" s="267"/>
      <c r="AO58" s="272"/>
      <c r="AP58" s="271"/>
      <c r="AQ58" s="267"/>
      <c r="AR58" s="271"/>
      <c r="AS58" s="271"/>
      <c r="AT58" s="267"/>
      <c r="AU58" s="271"/>
      <c r="AV58" s="271"/>
      <c r="AW58" s="265"/>
      <c r="AX58" s="294"/>
      <c r="AZ58" s="271"/>
      <c r="BA58" s="271"/>
      <c r="BB58" s="267"/>
      <c r="BC58" s="272"/>
      <c r="BD58" s="271"/>
      <c r="BE58" s="267"/>
      <c r="BF58" s="271"/>
      <c r="BG58" s="271"/>
      <c r="BH58" s="267"/>
      <c r="BI58" s="271"/>
      <c r="BJ58" s="271"/>
      <c r="BK58" s="265"/>
      <c r="BL58" s="294"/>
      <c r="BN58" s="271"/>
      <c r="BO58" s="271"/>
      <c r="BP58" s="267"/>
      <c r="BQ58" s="272"/>
      <c r="BR58" s="271"/>
      <c r="BS58" s="267"/>
      <c r="BT58" s="271"/>
      <c r="BU58" s="271"/>
      <c r="BV58" s="267"/>
      <c r="BW58" s="271"/>
      <c r="BX58" s="271"/>
      <c r="BY58" s="265"/>
      <c r="BZ58" s="294"/>
      <c r="CB58" s="271"/>
      <c r="CC58" s="271"/>
      <c r="CD58" s="267"/>
      <c r="CE58" s="272"/>
      <c r="CF58" s="271"/>
      <c r="CG58" s="267"/>
      <c r="CH58" s="271"/>
      <c r="CI58" s="271"/>
      <c r="CJ58" s="267"/>
      <c r="CK58" s="271"/>
      <c r="CL58" s="271"/>
      <c r="CM58" s="265"/>
      <c r="CN58" s="294"/>
    </row>
    <row r="59" spans="2:92" ht="43.5" thickBot="1" x14ac:dyDescent="0.25">
      <c r="B59" s="1077"/>
      <c r="C59" s="973"/>
      <c r="D59" s="1005"/>
      <c r="E59" s="946"/>
      <c r="F59" s="949"/>
      <c r="G59" s="385" t="str">
        <f>+'Plan de Accion apoyo transversa'!X10</f>
        <v>Informe mensual de los contenidos digitales de la ADRES</v>
      </c>
      <c r="H59" s="961"/>
      <c r="J59" s="993">
        <f>+'Plan de Accion apoyo transversa'!AW10</f>
        <v>0.69999994733365734</v>
      </c>
      <c r="K59" s="930">
        <f>+'Plan de Accion apoyo transversa'!CF10</f>
        <v>0.69999994733365734</v>
      </c>
      <c r="L59" s="930">
        <f>IF(K59&gt;100%,100%,K59)</f>
        <v>0.69999994733365734</v>
      </c>
      <c r="M59" s="930">
        <f>+'Plan de Accion apoyo transversa'!AY10</f>
        <v>0.17499998683341433</v>
      </c>
      <c r="N59" s="930">
        <f>IF(M59&gt;100%,100%,M59)</f>
        <v>0.17499998683341433</v>
      </c>
      <c r="O59" s="930">
        <f>+N59</f>
        <v>0.17499998683341433</v>
      </c>
      <c r="P59" s="277"/>
      <c r="Q59" s="993">
        <f>+'Plan de Accion apoyo transversa'!BG10</f>
        <v>0</v>
      </c>
      <c r="R59" s="981">
        <f>+'Plan de Accion apoyo transversa'!CH10</f>
        <v>0</v>
      </c>
      <c r="S59" s="981">
        <f>IF(R59&gt;100%,100%,R59)</f>
        <v>0</v>
      </c>
      <c r="T59" s="981">
        <f>+'Plan de Accion apoyo transversa'!BI10</f>
        <v>0.17499998683341433</v>
      </c>
      <c r="U59" s="981">
        <f>IF(T59&gt;100%,100%,T59)</f>
        <v>0.17499998683341433</v>
      </c>
      <c r="V59" s="987">
        <f>+U59</f>
        <v>0.17499998683341433</v>
      </c>
      <c r="W59" s="278"/>
      <c r="X59" s="993">
        <f>+'Plan de Accion apoyo transversa'!BQ10</f>
        <v>0</v>
      </c>
      <c r="Y59" s="981">
        <f>+'Plan de Accion apoyo transversa'!CJ10</f>
        <v>0</v>
      </c>
      <c r="Z59" s="981">
        <f>IF(Y59&gt;100%,100%,Y59)</f>
        <v>0</v>
      </c>
      <c r="AA59" s="984">
        <f>+'Plan de Accion apoyo transversa'!BS10</f>
        <v>0.17499998683341433</v>
      </c>
      <c r="AB59" s="984">
        <f>IF(AA59&gt;100%,100%,AA59)</f>
        <v>0.17499998683341433</v>
      </c>
      <c r="AC59" s="979">
        <f>+AB59</f>
        <v>0.17499998683341433</v>
      </c>
      <c r="AD59" s="277"/>
      <c r="AE59" s="993">
        <f>+'Plan de Accion apoyo transversa'!CA10</f>
        <v>0</v>
      </c>
      <c r="AF59" s="981">
        <f>+'Plan de Accion apoyo transversa'!CL10</f>
        <v>0</v>
      </c>
      <c r="AG59" s="981">
        <f>IF(AF59&gt;100%,100%,AF59)</f>
        <v>0</v>
      </c>
      <c r="AH59" s="981">
        <f>+'Plan de Accion apoyo transversa'!CC10</f>
        <v>0.17499998683341433</v>
      </c>
      <c r="AI59" s="987">
        <f>IF(AH59&gt;100%,100%,AH59)</f>
        <v>0.17499998683341433</v>
      </c>
      <c r="AJ59" s="293"/>
      <c r="AL59" s="271"/>
      <c r="AM59" s="271"/>
      <c r="AN59" s="267"/>
      <c r="AO59" s="272"/>
      <c r="AP59" s="271"/>
      <c r="AQ59" s="267"/>
      <c r="AR59" s="271"/>
      <c r="AS59" s="271"/>
      <c r="AT59" s="267"/>
      <c r="AU59" s="271"/>
      <c r="AV59" s="271"/>
      <c r="AW59" s="265"/>
      <c r="AX59" s="294"/>
      <c r="AZ59" s="271"/>
      <c r="BA59" s="271"/>
      <c r="BB59" s="267"/>
      <c r="BC59" s="272"/>
      <c r="BD59" s="271"/>
      <c r="BE59" s="267"/>
      <c r="BF59" s="271"/>
      <c r="BG59" s="271"/>
      <c r="BH59" s="267"/>
      <c r="BI59" s="271"/>
      <c r="BJ59" s="271"/>
      <c r="BK59" s="265"/>
      <c r="BL59" s="294"/>
      <c r="BN59" s="271"/>
      <c r="BO59" s="271"/>
      <c r="BP59" s="267"/>
      <c r="BQ59" s="272"/>
      <c r="BR59" s="271"/>
      <c r="BS59" s="267"/>
      <c r="BT59" s="271"/>
      <c r="BU59" s="271"/>
      <c r="BV59" s="267"/>
      <c r="BW59" s="271"/>
      <c r="BX59" s="271"/>
      <c r="BY59" s="265"/>
      <c r="BZ59" s="294"/>
      <c r="CB59" s="271"/>
      <c r="CC59" s="271"/>
      <c r="CD59" s="267"/>
      <c r="CE59" s="272"/>
      <c r="CF59" s="271"/>
      <c r="CG59" s="267"/>
      <c r="CH59" s="271"/>
      <c r="CI59" s="271"/>
      <c r="CJ59" s="267"/>
      <c r="CK59" s="271"/>
      <c r="CL59" s="271"/>
      <c r="CM59" s="265"/>
      <c r="CN59" s="294"/>
    </row>
    <row r="60" spans="2:92" ht="15.75" thickBot="1" x14ac:dyDescent="0.25">
      <c r="B60" s="1077"/>
      <c r="C60" s="973"/>
      <c r="D60" s="1005"/>
      <c r="E60" s="946"/>
      <c r="F60" s="949"/>
      <c r="G60" s="945" t="str">
        <f>+'Plan de Accion apoyo transversa'!X11</f>
        <v>Correos electrónicos con el monitoreo de noticias</v>
      </c>
      <c r="H60" s="961"/>
      <c r="J60" s="994"/>
      <c r="K60" s="931"/>
      <c r="L60" s="931"/>
      <c r="M60" s="931"/>
      <c r="N60" s="931"/>
      <c r="O60" s="931"/>
      <c r="P60" s="277"/>
      <c r="Q60" s="994"/>
      <c r="R60" s="982"/>
      <c r="S60" s="982"/>
      <c r="T60" s="982"/>
      <c r="U60" s="982"/>
      <c r="V60" s="988"/>
      <c r="W60" s="278"/>
      <c r="X60" s="994"/>
      <c r="Y60" s="982"/>
      <c r="Z60" s="982"/>
      <c r="AA60" s="985"/>
      <c r="AB60" s="985"/>
      <c r="AC60" s="1021"/>
      <c r="AD60" s="277"/>
      <c r="AE60" s="994"/>
      <c r="AF60" s="982"/>
      <c r="AG60" s="982"/>
      <c r="AH60" s="982"/>
      <c r="AI60" s="988"/>
      <c r="AJ60" s="293"/>
      <c r="AL60" s="272"/>
      <c r="AM60" s="300"/>
      <c r="AN60" s="267"/>
      <c r="AO60" s="272"/>
      <c r="AP60" s="300"/>
      <c r="AQ60" s="267"/>
      <c r="AR60" s="272"/>
      <c r="AS60" s="300"/>
      <c r="AT60" s="267"/>
      <c r="AU60" s="272"/>
      <c r="AV60" s="300"/>
      <c r="AW60" s="265"/>
      <c r="AX60" s="294"/>
      <c r="AZ60" s="272"/>
      <c r="BA60" s="300"/>
      <c r="BB60" s="267"/>
      <c r="BC60" s="272"/>
      <c r="BD60" s="300"/>
      <c r="BE60" s="267"/>
      <c r="BF60" s="272"/>
      <c r="BG60" s="300"/>
      <c r="BH60" s="267"/>
      <c r="BI60" s="272"/>
      <c r="BJ60" s="300"/>
      <c r="BK60" s="265"/>
      <c r="BL60" s="294"/>
      <c r="BN60" s="272"/>
      <c r="BO60" s="300"/>
      <c r="BP60" s="267"/>
      <c r="BQ60" s="272"/>
      <c r="BR60" s="300"/>
      <c r="BS60" s="267"/>
      <c r="BT60" s="272"/>
      <c r="BU60" s="300"/>
      <c r="BV60" s="267"/>
      <c r="BW60" s="272"/>
      <c r="BX60" s="300"/>
      <c r="BY60" s="265"/>
      <c r="BZ60" s="294"/>
      <c r="CB60" s="272"/>
      <c r="CC60" s="300"/>
      <c r="CD60" s="267"/>
      <c r="CE60" s="272"/>
      <c r="CF60" s="300"/>
      <c r="CG60" s="267"/>
      <c r="CH60" s="272"/>
      <c r="CI60" s="300"/>
      <c r="CJ60" s="267"/>
      <c r="CK60" s="272"/>
      <c r="CL60" s="300"/>
      <c r="CM60" s="265"/>
      <c r="CN60" s="294"/>
    </row>
    <row r="61" spans="2:92" ht="15.75" thickBot="1" x14ac:dyDescent="0.25">
      <c r="B61" s="1077"/>
      <c r="C61" s="973"/>
      <c r="D61" s="1005"/>
      <c r="E61" s="946"/>
      <c r="F61" s="949"/>
      <c r="G61" s="946"/>
      <c r="H61" s="961"/>
      <c r="J61" s="994"/>
      <c r="K61" s="931"/>
      <c r="L61" s="931"/>
      <c r="M61" s="931"/>
      <c r="N61" s="931"/>
      <c r="O61" s="931"/>
      <c r="P61" s="277"/>
      <c r="Q61" s="994"/>
      <c r="R61" s="982"/>
      <c r="S61" s="982"/>
      <c r="T61" s="982"/>
      <c r="U61" s="982"/>
      <c r="V61" s="988"/>
      <c r="W61" s="278"/>
      <c r="X61" s="994"/>
      <c r="Y61" s="982"/>
      <c r="Z61" s="982"/>
      <c r="AA61" s="985"/>
      <c r="AB61" s="985"/>
      <c r="AC61" s="1021"/>
      <c r="AD61" s="277"/>
      <c r="AE61" s="994"/>
      <c r="AF61" s="982"/>
      <c r="AG61" s="982"/>
      <c r="AH61" s="982"/>
      <c r="AI61" s="988"/>
      <c r="AJ61" s="293"/>
      <c r="AL61" s="272"/>
      <c r="AM61" s="300"/>
      <c r="AN61" s="267"/>
      <c r="AO61" s="272"/>
      <c r="AP61" s="300"/>
      <c r="AQ61" s="267"/>
      <c r="AR61" s="272"/>
      <c r="AS61" s="300"/>
      <c r="AT61" s="267"/>
      <c r="AU61" s="272"/>
      <c r="AV61" s="300"/>
      <c r="AW61" s="265"/>
      <c r="AX61" s="294"/>
      <c r="AZ61" s="272"/>
      <c r="BA61" s="300"/>
      <c r="BB61" s="267"/>
      <c r="BC61" s="272"/>
      <c r="BD61" s="300"/>
      <c r="BE61" s="267"/>
      <c r="BF61" s="272"/>
      <c r="BG61" s="300"/>
      <c r="BH61" s="267"/>
      <c r="BI61" s="272"/>
      <c r="BJ61" s="300"/>
      <c r="BK61" s="265"/>
      <c r="BL61" s="294"/>
      <c r="BN61" s="272"/>
      <c r="BO61" s="300"/>
      <c r="BP61" s="267"/>
      <c r="BQ61" s="272"/>
      <c r="BR61" s="300"/>
      <c r="BS61" s="267"/>
      <c r="BT61" s="272"/>
      <c r="BU61" s="300"/>
      <c r="BV61" s="267"/>
      <c r="BW61" s="272"/>
      <c r="BX61" s="300"/>
      <c r="BY61" s="265"/>
      <c r="BZ61" s="294"/>
      <c r="CB61" s="272"/>
      <c r="CC61" s="300"/>
      <c r="CD61" s="267"/>
      <c r="CE61" s="272"/>
      <c r="CF61" s="300"/>
      <c r="CG61" s="267"/>
      <c r="CH61" s="272"/>
      <c r="CI61" s="300"/>
      <c r="CJ61" s="267"/>
      <c r="CK61" s="272"/>
      <c r="CL61" s="300"/>
      <c r="CM61" s="265"/>
      <c r="CN61" s="294"/>
    </row>
    <row r="62" spans="2:92" ht="15.75" thickBot="1" x14ac:dyDescent="0.25">
      <c r="B62" s="1077"/>
      <c r="C62" s="973"/>
      <c r="D62" s="1005"/>
      <c r="E62" s="946"/>
      <c r="F62" s="949"/>
      <c r="G62" s="947"/>
      <c r="H62" s="961"/>
      <c r="J62" s="995"/>
      <c r="K62" s="932"/>
      <c r="L62" s="932"/>
      <c r="M62" s="932"/>
      <c r="N62" s="932"/>
      <c r="O62" s="932"/>
      <c r="P62" s="277"/>
      <c r="Q62" s="995"/>
      <c r="R62" s="983"/>
      <c r="S62" s="983"/>
      <c r="T62" s="983"/>
      <c r="U62" s="983"/>
      <c r="V62" s="989"/>
      <c r="W62" s="278"/>
      <c r="X62" s="995"/>
      <c r="Y62" s="983"/>
      <c r="Z62" s="983"/>
      <c r="AA62" s="986"/>
      <c r="AB62" s="986"/>
      <c r="AC62" s="980"/>
      <c r="AD62" s="277"/>
      <c r="AE62" s="995"/>
      <c r="AF62" s="983"/>
      <c r="AG62" s="983"/>
      <c r="AH62" s="983"/>
      <c r="AI62" s="989"/>
      <c r="AJ62" s="293"/>
      <c r="AL62" s="272"/>
      <c r="AM62" s="300"/>
      <c r="AN62" s="267"/>
      <c r="AO62" s="272"/>
      <c r="AP62" s="300"/>
      <c r="AQ62" s="267"/>
      <c r="AR62" s="272"/>
      <c r="AS62" s="300"/>
      <c r="AT62" s="267"/>
      <c r="AU62" s="272"/>
      <c r="AV62" s="300"/>
      <c r="AW62" s="265"/>
      <c r="AX62" s="294"/>
      <c r="AZ62" s="272"/>
      <c r="BA62" s="300"/>
      <c r="BB62" s="267"/>
      <c r="BC62" s="272"/>
      <c r="BD62" s="300"/>
      <c r="BE62" s="267"/>
      <c r="BF62" s="272"/>
      <c r="BG62" s="300"/>
      <c r="BH62" s="267"/>
      <c r="BI62" s="272"/>
      <c r="BJ62" s="300"/>
      <c r="BK62" s="265"/>
      <c r="BL62" s="294"/>
      <c r="BN62" s="272"/>
      <c r="BO62" s="300"/>
      <c r="BP62" s="267"/>
      <c r="BQ62" s="272"/>
      <c r="BR62" s="300"/>
      <c r="BS62" s="267"/>
      <c r="BT62" s="272"/>
      <c r="BU62" s="300"/>
      <c r="BV62" s="267"/>
      <c r="BW62" s="272"/>
      <c r="BX62" s="300"/>
      <c r="BY62" s="265"/>
      <c r="BZ62" s="294"/>
      <c r="CB62" s="272"/>
      <c r="CC62" s="300"/>
      <c r="CD62" s="267"/>
      <c r="CE62" s="272"/>
      <c r="CF62" s="300"/>
      <c r="CG62" s="267"/>
      <c r="CH62" s="272"/>
      <c r="CI62" s="300"/>
      <c r="CJ62" s="267"/>
      <c r="CK62" s="272"/>
      <c r="CL62" s="300"/>
      <c r="CM62" s="265"/>
      <c r="CN62" s="294"/>
    </row>
    <row r="63" spans="2:92" ht="29.25" thickBot="1" x14ac:dyDescent="0.25">
      <c r="B63" s="1077"/>
      <c r="C63" s="973"/>
      <c r="D63" s="1006"/>
      <c r="E63" s="947"/>
      <c r="F63" s="369" t="s">
        <v>338</v>
      </c>
      <c r="G63" s="385" t="str">
        <f>+'Plan de Accion apoyo transversa'!X14</f>
        <v>Informe de audiencia pública de rendición de cuentas</v>
      </c>
      <c r="H63" s="961"/>
      <c r="J63" s="279" t="e">
        <f>+'Plan de Accion apoyo transversa'!AW14</f>
        <v>#DIV/0!</v>
      </c>
      <c r="K63" s="615" t="str">
        <f>+'Plan de Accion apoyo transversa'!CF14</f>
        <v>No Prog ni Ejec</v>
      </c>
      <c r="L63" s="615" t="s">
        <v>206</v>
      </c>
      <c r="M63" s="615">
        <f>+'Plan de Accion apoyo transversa'!AY14</f>
        <v>0</v>
      </c>
      <c r="N63" s="615">
        <f>IF(M63&gt;100%,100%,M63)</f>
        <v>0</v>
      </c>
      <c r="O63" s="615" t="s">
        <v>206</v>
      </c>
      <c r="P63" s="277"/>
      <c r="Q63" s="279" t="e">
        <f>+'Plan de Accion apoyo transversa'!BG14</f>
        <v>#DIV/0!</v>
      </c>
      <c r="R63" s="315" t="str">
        <f>+'Plan de Accion apoyo transversa'!CH14</f>
        <v>No Prog ni Ejec</v>
      </c>
      <c r="S63" s="276" t="s">
        <v>206</v>
      </c>
      <c r="T63" s="373">
        <f>+'Plan de Accion apoyo transversa'!BI14</f>
        <v>0</v>
      </c>
      <c r="U63" s="373">
        <f>IF(T63&gt;100%,100%,T63)</f>
        <v>0</v>
      </c>
      <c r="V63" s="275" t="s">
        <v>206</v>
      </c>
      <c r="W63" s="278"/>
      <c r="X63" s="279">
        <f>+'Plan de Accion apoyo transversa'!BQ14</f>
        <v>0</v>
      </c>
      <c r="Y63" s="315">
        <f>+'Plan de Accion apoyo transversa'!CJ14</f>
        <v>0</v>
      </c>
      <c r="Z63" s="276">
        <f>IF(Y63&gt;100%,100%,Y63)</f>
        <v>0</v>
      </c>
      <c r="AA63" s="282">
        <f>+'Plan de Accion apoyo transversa'!BS14</f>
        <v>0</v>
      </c>
      <c r="AB63" s="282">
        <f>IF(AA63&gt;100%,100%,AA63)</f>
        <v>0</v>
      </c>
      <c r="AC63" s="371">
        <f>+AB63</f>
        <v>0</v>
      </c>
      <c r="AD63" s="277"/>
      <c r="AE63" s="279" t="e">
        <f>+'Plan de Accion apoyo transversa'!CA14</f>
        <v>#DIV/0!</v>
      </c>
      <c r="AF63" s="315" t="str">
        <f>+'Plan de Accion apoyo transversa'!CL14</f>
        <v>No Prog ni Ejec</v>
      </c>
      <c r="AG63" s="276" t="s">
        <v>206</v>
      </c>
      <c r="AH63" s="315">
        <f>+'Plan de Accion apoyo transversa'!CC14</f>
        <v>0</v>
      </c>
      <c r="AI63" s="275">
        <f>IF(AH63&gt;100%,100%,AH63)</f>
        <v>0</v>
      </c>
      <c r="AJ63" s="293"/>
      <c r="AL63" s="272"/>
      <c r="AM63" s="300"/>
      <c r="AN63" s="267"/>
      <c r="AO63" s="272"/>
      <c r="AP63" s="300"/>
      <c r="AQ63" s="267"/>
      <c r="AR63" s="272"/>
      <c r="AS63" s="300"/>
      <c r="AT63" s="267"/>
      <c r="AU63" s="272"/>
      <c r="AV63" s="300"/>
      <c r="AW63" s="265"/>
      <c r="AX63" s="294"/>
      <c r="AZ63" s="272"/>
      <c r="BA63" s="300"/>
      <c r="BB63" s="267"/>
      <c r="BC63" s="272"/>
      <c r="BD63" s="300"/>
      <c r="BE63" s="267"/>
      <c r="BF63" s="272"/>
      <c r="BG63" s="300"/>
      <c r="BH63" s="267"/>
      <c r="BI63" s="272"/>
      <c r="BJ63" s="300"/>
      <c r="BK63" s="265"/>
      <c r="BL63" s="294"/>
      <c r="BN63" s="272"/>
      <c r="BO63" s="300"/>
      <c r="BP63" s="267"/>
      <c r="BQ63" s="272"/>
      <c r="BR63" s="300"/>
      <c r="BS63" s="267"/>
      <c r="BT63" s="272"/>
      <c r="BU63" s="300"/>
      <c r="BV63" s="267"/>
      <c r="BW63" s="272"/>
      <c r="BX63" s="300"/>
      <c r="BY63" s="265"/>
      <c r="BZ63" s="294"/>
      <c r="CB63" s="272"/>
      <c r="CC63" s="300"/>
      <c r="CD63" s="267"/>
      <c r="CE63" s="272"/>
      <c r="CF63" s="300"/>
      <c r="CG63" s="267"/>
      <c r="CH63" s="272"/>
      <c r="CI63" s="300"/>
      <c r="CJ63" s="267"/>
      <c r="CK63" s="272"/>
      <c r="CL63" s="300"/>
      <c r="CM63" s="265"/>
      <c r="CN63" s="294"/>
    </row>
    <row r="64" spans="2:92" ht="29.25" thickBot="1" x14ac:dyDescent="0.25">
      <c r="B64" s="1077"/>
      <c r="C64" s="973"/>
      <c r="D64" s="958" t="s">
        <v>206</v>
      </c>
      <c r="E64" s="952" t="s">
        <v>14</v>
      </c>
      <c r="F64" s="408" t="s">
        <v>339</v>
      </c>
      <c r="G64" s="385" t="str">
        <f>+'Plan de Accion apoyo transversa'!X49</f>
        <v xml:space="preserve">Archivo documental transferido al custodio final </v>
      </c>
      <c r="H64" s="961"/>
      <c r="J64" s="279">
        <f>+'Plan de Accion apoyo transversa'!AW49</f>
        <v>0</v>
      </c>
      <c r="K64" s="615">
        <f>+'Plan de Accion apoyo transversa'!CF49</f>
        <v>0</v>
      </c>
      <c r="L64" s="615">
        <f>IF(K64&gt;100%,100%,K64)</f>
        <v>0</v>
      </c>
      <c r="M64" s="615">
        <f>+'Plan de Accion apoyo transversa'!AY49</f>
        <v>0</v>
      </c>
      <c r="N64" s="615">
        <f>IF(M64&gt;100%,100%,M64)</f>
        <v>0</v>
      </c>
      <c r="O64" s="615">
        <f>+N64</f>
        <v>0</v>
      </c>
      <c r="P64" s="277"/>
      <c r="Q64" s="279">
        <f>+'Plan de Accion apoyo transversa'!BG49</f>
        <v>0</v>
      </c>
      <c r="R64" s="315">
        <f>+'Plan de Accion apoyo transversa'!CH49</f>
        <v>0</v>
      </c>
      <c r="S64" s="276">
        <f>IF(R64&gt;100%,100%,R64)</f>
        <v>0</v>
      </c>
      <c r="T64" s="373">
        <f>+'Plan de Accion apoyo transversa'!BI49</f>
        <v>0</v>
      </c>
      <c r="U64" s="373">
        <f>IF(T64&gt;100%,100%,T64)</f>
        <v>0</v>
      </c>
      <c r="V64" s="275">
        <f>+U64</f>
        <v>0</v>
      </c>
      <c r="W64" s="278"/>
      <c r="X64" s="279">
        <f>+'Plan de Accion apoyo transversa'!BQ49</f>
        <v>0</v>
      </c>
      <c r="Y64" s="315">
        <f>+'Plan de Accion apoyo transversa'!CJ49</f>
        <v>0</v>
      </c>
      <c r="Z64" s="276">
        <f>IF(Y64&gt;100%,100%,Y64)</f>
        <v>0</v>
      </c>
      <c r="AA64" s="282">
        <f>+'Plan de Accion apoyo transversa'!BS49</f>
        <v>0</v>
      </c>
      <c r="AB64" s="282">
        <f>IF(AA64&gt;100%,100%,AA64)</f>
        <v>0</v>
      </c>
      <c r="AC64" s="371">
        <f>+AB64</f>
        <v>0</v>
      </c>
      <c r="AD64" s="277"/>
      <c r="AE64" s="279">
        <f>+'Plan de Accion apoyo transversa'!CA49</f>
        <v>0</v>
      </c>
      <c r="AF64" s="315">
        <f>+'Plan de Accion apoyo transversa'!CL49</f>
        <v>0</v>
      </c>
      <c r="AG64" s="276">
        <f>IF(AF64&gt;100%,100%,AF64)</f>
        <v>0</v>
      </c>
      <c r="AH64" s="315">
        <f>+'Plan de Accion apoyo transversa'!CC49</f>
        <v>0</v>
      </c>
      <c r="AI64" s="275">
        <f>IF(AH64&gt;100%,100%,AH64)</f>
        <v>0</v>
      </c>
      <c r="AJ64" s="293"/>
      <c r="AL64" s="272"/>
      <c r="AM64" s="300"/>
      <c r="AN64" s="267"/>
      <c r="AO64" s="272"/>
      <c r="AP64" s="300"/>
      <c r="AQ64" s="267"/>
      <c r="AR64" s="272"/>
      <c r="AS64" s="300"/>
      <c r="AT64" s="267"/>
      <c r="AU64" s="272"/>
      <c r="AV64" s="300"/>
      <c r="AW64" s="265"/>
      <c r="AX64" s="294"/>
      <c r="AZ64" s="272"/>
      <c r="BA64" s="300"/>
      <c r="BB64" s="267"/>
      <c r="BC64" s="272"/>
      <c r="BD64" s="300"/>
      <c r="BE64" s="267"/>
      <c r="BF64" s="272"/>
      <c r="BG64" s="300"/>
      <c r="BH64" s="267"/>
      <c r="BI64" s="272"/>
      <c r="BJ64" s="300"/>
      <c r="BK64" s="265"/>
      <c r="BL64" s="294"/>
      <c r="BN64" s="272"/>
      <c r="BO64" s="300"/>
      <c r="BP64" s="267"/>
      <c r="BQ64" s="272"/>
      <c r="BR64" s="300"/>
      <c r="BS64" s="267"/>
      <c r="BT64" s="272"/>
      <c r="BU64" s="300"/>
      <c r="BV64" s="267"/>
      <c r="BW64" s="272"/>
      <c r="BX64" s="300"/>
      <c r="BY64" s="265"/>
      <c r="BZ64" s="294"/>
      <c r="CB64" s="272"/>
      <c r="CC64" s="300"/>
      <c r="CD64" s="267"/>
      <c r="CE64" s="272"/>
      <c r="CF64" s="300"/>
      <c r="CG64" s="267"/>
      <c r="CH64" s="272"/>
      <c r="CI64" s="300"/>
      <c r="CJ64" s="267"/>
      <c r="CK64" s="272"/>
      <c r="CL64" s="300"/>
      <c r="CM64" s="265"/>
      <c r="CN64" s="294"/>
    </row>
    <row r="65" spans="2:92" ht="86.25" thickBot="1" x14ac:dyDescent="0.25">
      <c r="B65" s="1077"/>
      <c r="C65" s="973"/>
      <c r="D65" s="943"/>
      <c r="E65" s="952"/>
      <c r="F65" s="1041" t="s">
        <v>1294</v>
      </c>
      <c r="G65" s="385" t="str">
        <f>+'Plan de Accion apoyo transversa'!X55</f>
        <v>Jornada de socialización y divulgación de las Políticas de SST y Prevención de alcohol y drogas a todos los servidores públicos y partes interesadas realizada</v>
      </c>
      <c r="H65" s="961"/>
      <c r="J65" s="993">
        <f>+'Plan de Accion apoyo transversa'!AW55</f>
        <v>0.61111112365071651</v>
      </c>
      <c r="K65" s="930">
        <f>+'Plan de Accion apoyo transversa'!CF55</f>
        <v>0.61111112365071651</v>
      </c>
      <c r="L65" s="930">
        <f>IF(K65&gt;100%,100%,K65)</f>
        <v>0.61111112365071651</v>
      </c>
      <c r="M65" s="930">
        <f>+'Plan de Accion apoyo transversa'!AY55</f>
        <v>0.15277778091267913</v>
      </c>
      <c r="N65" s="930">
        <f>IF(M65&gt;100%,100%,M65)</f>
        <v>0.15277778091267913</v>
      </c>
      <c r="O65" s="930">
        <f>+N65</f>
        <v>0.15277778091267913</v>
      </c>
      <c r="P65" s="277"/>
      <c r="Q65" s="993">
        <f>+'Plan de Accion apoyo transversa'!BG55</f>
        <v>0</v>
      </c>
      <c r="R65" s="981">
        <f>+'Plan de Accion apoyo transversa'!CH55</f>
        <v>0</v>
      </c>
      <c r="S65" s="981">
        <f>IF(R65&gt;100%,100%,R65)</f>
        <v>0</v>
      </c>
      <c r="T65" s="981">
        <f>+'Plan de Accion apoyo transversa'!BI55</f>
        <v>0.15277778091267913</v>
      </c>
      <c r="U65" s="981">
        <f>IF(T65&gt;100%,100%,T65)</f>
        <v>0.15277778091267913</v>
      </c>
      <c r="V65" s="987">
        <f>+U65</f>
        <v>0.15277778091267913</v>
      </c>
      <c r="W65" s="278"/>
      <c r="X65" s="993">
        <f>+'Plan de Accion apoyo transversa'!BQ55</f>
        <v>0</v>
      </c>
      <c r="Y65" s="981">
        <f>+'Plan de Accion apoyo transversa'!CJ55</f>
        <v>0</v>
      </c>
      <c r="Z65" s="981">
        <f>IF(Y65&gt;100%,100%,Y65)</f>
        <v>0</v>
      </c>
      <c r="AA65" s="984">
        <f>+'Plan de Accion apoyo transversa'!BS55</f>
        <v>0.15277778091267913</v>
      </c>
      <c r="AB65" s="984">
        <f>IF(AA65&gt;100%,100%,AA65)</f>
        <v>0.15277778091267913</v>
      </c>
      <c r="AC65" s="979">
        <f>+AB65</f>
        <v>0.15277778091267913</v>
      </c>
      <c r="AD65" s="277"/>
      <c r="AE65" s="993">
        <f>+'Plan de Accion apoyo transversa'!CA55</f>
        <v>0</v>
      </c>
      <c r="AF65" s="981">
        <f>+'Plan de Accion apoyo transversa'!CL55</f>
        <v>0</v>
      </c>
      <c r="AG65" s="981">
        <f>IF(AF65&gt;100%,100%,AF65)</f>
        <v>0</v>
      </c>
      <c r="AH65" s="981">
        <f>+'Plan de Accion apoyo transversa'!CC55</f>
        <v>0.15277778091267913</v>
      </c>
      <c r="AI65" s="987">
        <f>IF(AH65&gt;100%,100%,AH65)</f>
        <v>0.15277778091267913</v>
      </c>
      <c r="AJ65" s="293"/>
      <c r="AL65" s="272"/>
      <c r="AM65" s="300"/>
      <c r="AN65" s="267"/>
      <c r="AO65" s="272"/>
      <c r="AP65" s="300"/>
      <c r="AQ65" s="267"/>
      <c r="AR65" s="272"/>
      <c r="AS65" s="300"/>
      <c r="AT65" s="267"/>
      <c r="AU65" s="272"/>
      <c r="AV65" s="300"/>
      <c r="AW65" s="265"/>
      <c r="AX65" s="294"/>
      <c r="AZ65" s="272"/>
      <c r="BA65" s="300"/>
      <c r="BB65" s="267"/>
      <c r="BC65" s="272"/>
      <c r="BD65" s="300"/>
      <c r="BE65" s="267"/>
      <c r="BF65" s="272"/>
      <c r="BG65" s="300"/>
      <c r="BH65" s="267"/>
      <c r="BI65" s="272"/>
      <c r="BJ65" s="300"/>
      <c r="BK65" s="265"/>
      <c r="BL65" s="294"/>
      <c r="BN65" s="272"/>
      <c r="BO65" s="300"/>
      <c r="BP65" s="267"/>
      <c r="BQ65" s="272"/>
      <c r="BR65" s="300"/>
      <c r="BS65" s="267"/>
      <c r="BT65" s="272"/>
      <c r="BU65" s="300"/>
      <c r="BV65" s="267"/>
      <c r="BW65" s="272"/>
      <c r="BX65" s="300"/>
      <c r="BY65" s="265"/>
      <c r="BZ65" s="294"/>
      <c r="CB65" s="272"/>
      <c r="CC65" s="300"/>
      <c r="CD65" s="267"/>
      <c r="CE65" s="272"/>
      <c r="CF65" s="300"/>
      <c r="CG65" s="267"/>
      <c r="CH65" s="272"/>
      <c r="CI65" s="300"/>
      <c r="CJ65" s="267"/>
      <c r="CK65" s="272"/>
      <c r="CL65" s="300"/>
      <c r="CM65" s="265"/>
      <c r="CN65" s="294"/>
    </row>
    <row r="66" spans="2:92" ht="29.25" thickBot="1" x14ac:dyDescent="0.25">
      <c r="B66" s="1077"/>
      <c r="C66" s="973"/>
      <c r="D66" s="943"/>
      <c r="E66" s="952"/>
      <c r="F66" s="1041"/>
      <c r="G66" s="385" t="str">
        <f>+'Plan de Accion apoyo transversa'!X56</f>
        <v>Matriz de requisitos legales actualizada</v>
      </c>
      <c r="H66" s="961"/>
      <c r="J66" s="994"/>
      <c r="K66" s="931"/>
      <c r="L66" s="931"/>
      <c r="M66" s="931"/>
      <c r="N66" s="931"/>
      <c r="O66" s="931"/>
      <c r="P66" s="277"/>
      <c r="Q66" s="994"/>
      <c r="R66" s="982"/>
      <c r="S66" s="982"/>
      <c r="T66" s="982"/>
      <c r="U66" s="982"/>
      <c r="V66" s="988"/>
      <c r="W66" s="278"/>
      <c r="X66" s="994"/>
      <c r="Y66" s="982"/>
      <c r="Z66" s="982"/>
      <c r="AA66" s="985"/>
      <c r="AB66" s="985"/>
      <c r="AC66" s="1021"/>
      <c r="AD66" s="277"/>
      <c r="AE66" s="994"/>
      <c r="AF66" s="982"/>
      <c r="AG66" s="982"/>
      <c r="AH66" s="982"/>
      <c r="AI66" s="988"/>
      <c r="AJ66" s="293"/>
      <c r="AL66" s="272"/>
      <c r="AM66" s="300"/>
      <c r="AN66" s="267"/>
      <c r="AO66" s="272"/>
      <c r="AP66" s="300"/>
      <c r="AQ66" s="267"/>
      <c r="AR66" s="272"/>
      <c r="AS66" s="300"/>
      <c r="AT66" s="267"/>
      <c r="AU66" s="272"/>
      <c r="AV66" s="300"/>
      <c r="AW66" s="265"/>
      <c r="AX66" s="294"/>
      <c r="AZ66" s="272"/>
      <c r="BA66" s="300"/>
      <c r="BB66" s="267"/>
      <c r="BC66" s="272"/>
      <c r="BD66" s="300"/>
      <c r="BE66" s="267"/>
      <c r="BF66" s="272"/>
      <c r="BG66" s="300"/>
      <c r="BH66" s="267"/>
      <c r="BI66" s="272"/>
      <c r="BJ66" s="300"/>
      <c r="BK66" s="265"/>
      <c r="BL66" s="294"/>
      <c r="BN66" s="272"/>
      <c r="BO66" s="300"/>
      <c r="BP66" s="267"/>
      <c r="BQ66" s="272"/>
      <c r="BR66" s="300"/>
      <c r="BS66" s="267"/>
      <c r="BT66" s="272"/>
      <c r="BU66" s="300"/>
      <c r="BV66" s="267"/>
      <c r="BW66" s="272"/>
      <c r="BX66" s="300"/>
      <c r="BY66" s="265"/>
      <c r="BZ66" s="294"/>
      <c r="CB66" s="272"/>
      <c r="CC66" s="300"/>
      <c r="CD66" s="267"/>
      <c r="CE66" s="272"/>
      <c r="CF66" s="300"/>
      <c r="CG66" s="267"/>
      <c r="CH66" s="272"/>
      <c r="CI66" s="300"/>
      <c r="CJ66" s="267"/>
      <c r="CK66" s="272"/>
      <c r="CL66" s="300"/>
      <c r="CM66" s="265"/>
      <c r="CN66" s="294"/>
    </row>
    <row r="67" spans="2:92" ht="29.25" thickBot="1" x14ac:dyDescent="0.25">
      <c r="B67" s="1077"/>
      <c r="C67" s="973"/>
      <c r="D67" s="943"/>
      <c r="E67" s="952"/>
      <c r="F67" s="1041"/>
      <c r="G67" s="385" t="str">
        <f>+'Plan de Accion apoyo transversa'!X57</f>
        <v xml:space="preserve"> Documentos del SG-SST actualizados</v>
      </c>
      <c r="H67" s="961"/>
      <c r="J67" s="994"/>
      <c r="K67" s="931"/>
      <c r="L67" s="931"/>
      <c r="M67" s="931"/>
      <c r="N67" s="931"/>
      <c r="O67" s="931"/>
      <c r="P67" s="277"/>
      <c r="Q67" s="994"/>
      <c r="R67" s="982"/>
      <c r="S67" s="982"/>
      <c r="T67" s="982"/>
      <c r="U67" s="982"/>
      <c r="V67" s="988"/>
      <c r="W67" s="278"/>
      <c r="X67" s="994"/>
      <c r="Y67" s="982"/>
      <c r="Z67" s="982"/>
      <c r="AA67" s="985"/>
      <c r="AB67" s="985"/>
      <c r="AC67" s="1021"/>
      <c r="AD67" s="277"/>
      <c r="AE67" s="994"/>
      <c r="AF67" s="982"/>
      <c r="AG67" s="982"/>
      <c r="AH67" s="982"/>
      <c r="AI67" s="988"/>
      <c r="AJ67" s="293"/>
      <c r="AL67" s="272"/>
      <c r="AM67" s="300"/>
      <c r="AN67" s="267"/>
      <c r="AO67" s="272"/>
      <c r="AP67" s="300"/>
      <c r="AQ67" s="267"/>
      <c r="AR67" s="272"/>
      <c r="AS67" s="300"/>
      <c r="AT67" s="267"/>
      <c r="AU67" s="272"/>
      <c r="AV67" s="300"/>
      <c r="AW67" s="265"/>
      <c r="AX67" s="294"/>
      <c r="AZ67" s="272"/>
      <c r="BA67" s="300"/>
      <c r="BB67" s="267"/>
      <c r="BC67" s="272"/>
      <c r="BD67" s="300"/>
      <c r="BE67" s="267"/>
      <c r="BF67" s="272"/>
      <c r="BG67" s="300"/>
      <c r="BH67" s="267"/>
      <c r="BI67" s="272"/>
      <c r="BJ67" s="300"/>
      <c r="BK67" s="265"/>
      <c r="BL67" s="294"/>
      <c r="BN67" s="272"/>
      <c r="BO67" s="300"/>
      <c r="BP67" s="267"/>
      <c r="BQ67" s="272"/>
      <c r="BR67" s="300"/>
      <c r="BS67" s="267"/>
      <c r="BT67" s="272"/>
      <c r="BU67" s="300"/>
      <c r="BV67" s="267"/>
      <c r="BW67" s="272"/>
      <c r="BX67" s="300"/>
      <c r="BY67" s="265"/>
      <c r="BZ67" s="294"/>
      <c r="CB67" s="272"/>
      <c r="CC67" s="300"/>
      <c r="CD67" s="267"/>
      <c r="CE67" s="272"/>
      <c r="CF67" s="300"/>
      <c r="CG67" s="267"/>
      <c r="CH67" s="272"/>
      <c r="CI67" s="300"/>
      <c r="CJ67" s="267"/>
      <c r="CK67" s="272"/>
      <c r="CL67" s="300"/>
      <c r="CM67" s="265"/>
      <c r="CN67" s="294"/>
    </row>
    <row r="68" spans="2:92" ht="29.25" thickBot="1" x14ac:dyDescent="0.25">
      <c r="B68" s="1077"/>
      <c r="C68" s="973"/>
      <c r="D68" s="943"/>
      <c r="E68" s="952"/>
      <c r="F68" s="1041"/>
      <c r="G68" s="385" t="str">
        <f>+'Plan de Accion apoyo transversa'!X58</f>
        <v>Programa de medicina preventiva elaborado</v>
      </c>
      <c r="H68" s="961"/>
      <c r="J68" s="994"/>
      <c r="K68" s="931"/>
      <c r="L68" s="931"/>
      <c r="M68" s="931"/>
      <c r="N68" s="931"/>
      <c r="O68" s="931"/>
      <c r="P68" s="277"/>
      <c r="Q68" s="994"/>
      <c r="R68" s="982"/>
      <c r="S68" s="982"/>
      <c r="T68" s="982"/>
      <c r="U68" s="982"/>
      <c r="V68" s="988"/>
      <c r="W68" s="278"/>
      <c r="X68" s="994"/>
      <c r="Y68" s="982"/>
      <c r="Z68" s="982"/>
      <c r="AA68" s="985"/>
      <c r="AB68" s="985"/>
      <c r="AC68" s="1021"/>
      <c r="AD68" s="277"/>
      <c r="AE68" s="994"/>
      <c r="AF68" s="982"/>
      <c r="AG68" s="982"/>
      <c r="AH68" s="982"/>
      <c r="AI68" s="988"/>
      <c r="AJ68" s="293"/>
      <c r="AL68" s="272"/>
      <c r="AM68" s="300"/>
      <c r="AN68" s="267"/>
      <c r="AO68" s="272"/>
      <c r="AP68" s="300"/>
      <c r="AQ68" s="267"/>
      <c r="AR68" s="272"/>
      <c r="AS68" s="300"/>
      <c r="AT68" s="267"/>
      <c r="AU68" s="272"/>
      <c r="AV68" s="300"/>
      <c r="AW68" s="265"/>
      <c r="AX68" s="294"/>
      <c r="AZ68" s="272"/>
      <c r="BA68" s="300"/>
      <c r="BB68" s="267"/>
      <c r="BC68" s="272"/>
      <c r="BD68" s="300"/>
      <c r="BE68" s="267"/>
      <c r="BF68" s="272"/>
      <c r="BG68" s="300"/>
      <c r="BH68" s="267"/>
      <c r="BI68" s="272"/>
      <c r="BJ68" s="300"/>
      <c r="BK68" s="265"/>
      <c r="BL68" s="294"/>
      <c r="BN68" s="272"/>
      <c r="BO68" s="300"/>
      <c r="BP68" s="267"/>
      <c r="BQ68" s="272"/>
      <c r="BR68" s="300"/>
      <c r="BS68" s="267"/>
      <c r="BT68" s="272"/>
      <c r="BU68" s="300"/>
      <c r="BV68" s="267"/>
      <c r="BW68" s="272"/>
      <c r="BX68" s="300"/>
      <c r="BY68" s="265"/>
      <c r="BZ68" s="294"/>
      <c r="CB68" s="272"/>
      <c r="CC68" s="300"/>
      <c r="CD68" s="267"/>
      <c r="CE68" s="272"/>
      <c r="CF68" s="300"/>
      <c r="CG68" s="267"/>
      <c r="CH68" s="272"/>
      <c r="CI68" s="300"/>
      <c r="CJ68" s="267"/>
      <c r="CK68" s="272"/>
      <c r="CL68" s="300"/>
      <c r="CM68" s="265"/>
      <c r="CN68" s="294"/>
    </row>
    <row r="69" spans="2:92" ht="29.25" thickBot="1" x14ac:dyDescent="0.25">
      <c r="B69" s="1077"/>
      <c r="C69" s="973"/>
      <c r="D69" s="943"/>
      <c r="E69" s="952"/>
      <c r="F69" s="1041"/>
      <c r="G69" s="385" t="str">
        <f>+'Plan de Accion apoyo transversa'!X59</f>
        <v>Programa de orden y aseso elaborado</v>
      </c>
      <c r="H69" s="961"/>
      <c r="J69" s="994"/>
      <c r="K69" s="931"/>
      <c r="L69" s="931"/>
      <c r="M69" s="931"/>
      <c r="N69" s="931"/>
      <c r="O69" s="931"/>
      <c r="P69" s="277"/>
      <c r="Q69" s="994"/>
      <c r="R69" s="982"/>
      <c r="S69" s="982"/>
      <c r="T69" s="982"/>
      <c r="U69" s="982"/>
      <c r="V69" s="988"/>
      <c r="W69" s="278"/>
      <c r="X69" s="994"/>
      <c r="Y69" s="982"/>
      <c r="Z69" s="982"/>
      <c r="AA69" s="985"/>
      <c r="AB69" s="985"/>
      <c r="AC69" s="1021"/>
      <c r="AD69" s="277"/>
      <c r="AE69" s="994"/>
      <c r="AF69" s="982"/>
      <c r="AG69" s="982"/>
      <c r="AH69" s="982"/>
      <c r="AI69" s="988"/>
      <c r="AJ69" s="293"/>
      <c r="AL69" s="272"/>
      <c r="AM69" s="300"/>
      <c r="AN69" s="267"/>
      <c r="AO69" s="272"/>
      <c r="AP69" s="300"/>
      <c r="AQ69" s="267"/>
      <c r="AR69" s="272"/>
      <c r="AS69" s="300"/>
      <c r="AT69" s="267"/>
      <c r="AU69" s="272"/>
      <c r="AV69" s="300"/>
      <c r="AW69" s="265"/>
      <c r="AX69" s="294"/>
      <c r="AZ69" s="272"/>
      <c r="BA69" s="300"/>
      <c r="BB69" s="267"/>
      <c r="BC69" s="272"/>
      <c r="BD69" s="300"/>
      <c r="BE69" s="267"/>
      <c r="BF69" s="272"/>
      <c r="BG69" s="300"/>
      <c r="BH69" s="267"/>
      <c r="BI69" s="272"/>
      <c r="BJ69" s="300"/>
      <c r="BK69" s="265"/>
      <c r="BL69" s="294"/>
      <c r="BN69" s="272"/>
      <c r="BO69" s="300"/>
      <c r="BP69" s="267"/>
      <c r="BQ69" s="272"/>
      <c r="BR69" s="300"/>
      <c r="BS69" s="267"/>
      <c r="BT69" s="272"/>
      <c r="BU69" s="300"/>
      <c r="BV69" s="267"/>
      <c r="BW69" s="272"/>
      <c r="BX69" s="300"/>
      <c r="BY69" s="265"/>
      <c r="BZ69" s="294"/>
      <c r="CB69" s="272"/>
      <c r="CC69" s="300"/>
      <c r="CD69" s="267"/>
      <c r="CE69" s="272"/>
      <c r="CF69" s="300"/>
      <c r="CG69" s="267"/>
      <c r="CH69" s="272"/>
      <c r="CI69" s="300"/>
      <c r="CJ69" s="267"/>
      <c r="CK69" s="272"/>
      <c r="CL69" s="300"/>
      <c r="CM69" s="265"/>
      <c r="CN69" s="294"/>
    </row>
    <row r="70" spans="2:92" ht="57.75" thickBot="1" x14ac:dyDescent="0.25">
      <c r="B70" s="1077"/>
      <c r="C70" s="973"/>
      <c r="D70" s="943"/>
      <c r="E70" s="952"/>
      <c r="F70" s="1041"/>
      <c r="G70" s="385" t="str">
        <f>+'Plan de Accion apoyo transversa'!X60</f>
        <v>Programa de vigilancia epidemiológicos  de riesgo Psicosocial y Biomecánico elaborado</v>
      </c>
      <c r="H70" s="961"/>
      <c r="J70" s="994"/>
      <c r="K70" s="931"/>
      <c r="L70" s="931"/>
      <c r="M70" s="931"/>
      <c r="N70" s="931"/>
      <c r="O70" s="931"/>
      <c r="P70" s="277"/>
      <c r="Q70" s="994"/>
      <c r="R70" s="982"/>
      <c r="S70" s="982"/>
      <c r="T70" s="982"/>
      <c r="U70" s="982"/>
      <c r="V70" s="988"/>
      <c r="W70" s="278"/>
      <c r="X70" s="994"/>
      <c r="Y70" s="982"/>
      <c r="Z70" s="982"/>
      <c r="AA70" s="985"/>
      <c r="AB70" s="985"/>
      <c r="AC70" s="1021"/>
      <c r="AD70" s="277"/>
      <c r="AE70" s="994"/>
      <c r="AF70" s="982"/>
      <c r="AG70" s="982"/>
      <c r="AH70" s="982"/>
      <c r="AI70" s="988"/>
      <c r="AJ70" s="310"/>
      <c r="AK70" s="302"/>
      <c r="AL70" s="308"/>
      <c r="AM70" s="307"/>
      <c r="AN70" s="309"/>
      <c r="AO70" s="308"/>
      <c r="AP70" s="307"/>
      <c r="AQ70" s="309"/>
      <c r="AR70" s="308"/>
      <c r="AS70" s="307"/>
      <c r="AT70" s="309"/>
      <c r="AU70" s="308"/>
      <c r="AV70" s="307"/>
      <c r="AW70" s="301"/>
      <c r="AX70" s="306"/>
      <c r="AY70" s="301"/>
      <c r="AZ70" s="308"/>
      <c r="BA70" s="307"/>
      <c r="BB70" s="309"/>
      <c r="BC70" s="308"/>
      <c r="BD70" s="307"/>
      <c r="BE70" s="309"/>
      <c r="BF70" s="308"/>
      <c r="BG70" s="307"/>
      <c r="BH70" s="309"/>
      <c r="BI70" s="308"/>
      <c r="BJ70" s="307"/>
      <c r="BK70" s="301"/>
      <c r="BL70" s="306"/>
      <c r="BN70" s="308"/>
      <c r="BO70" s="307"/>
      <c r="BP70" s="309"/>
      <c r="BQ70" s="308"/>
      <c r="BR70" s="307"/>
      <c r="BS70" s="309"/>
      <c r="BT70" s="308"/>
      <c r="BU70" s="307"/>
      <c r="BV70" s="309"/>
      <c r="BW70" s="308"/>
      <c r="BX70" s="307"/>
      <c r="BY70" s="301"/>
      <c r="BZ70" s="306"/>
      <c r="CB70" s="308"/>
      <c r="CC70" s="307"/>
      <c r="CD70" s="309"/>
      <c r="CE70" s="308"/>
      <c r="CF70" s="307"/>
      <c r="CG70" s="309"/>
      <c r="CH70" s="308"/>
      <c r="CI70" s="307"/>
      <c r="CJ70" s="309"/>
      <c r="CK70" s="308"/>
      <c r="CL70" s="307"/>
      <c r="CM70" s="301"/>
      <c r="CN70" s="306"/>
    </row>
    <row r="71" spans="2:92" ht="57.75" thickBot="1" x14ac:dyDescent="0.25">
      <c r="B71" s="1077"/>
      <c r="C71" s="973"/>
      <c r="D71" s="943"/>
      <c r="E71" s="952"/>
      <c r="F71" s="1041"/>
      <c r="G71" s="385" t="str">
        <f>+'Plan de Accion apoyo transversa'!X61</f>
        <v>Programa de manejo de sustancias químicas (Sistema Globalmente armonizado) elaborado</v>
      </c>
      <c r="H71" s="961"/>
      <c r="J71" s="994"/>
      <c r="K71" s="931"/>
      <c r="L71" s="931"/>
      <c r="M71" s="931"/>
      <c r="N71" s="931"/>
      <c r="O71" s="931"/>
      <c r="P71" s="277"/>
      <c r="Q71" s="994"/>
      <c r="R71" s="982"/>
      <c r="S71" s="982"/>
      <c r="T71" s="982"/>
      <c r="U71" s="982"/>
      <c r="V71" s="988"/>
      <c r="W71" s="278"/>
      <c r="X71" s="994"/>
      <c r="Y71" s="982"/>
      <c r="Z71" s="982"/>
      <c r="AA71" s="985"/>
      <c r="AB71" s="985"/>
      <c r="AC71" s="1021"/>
      <c r="AD71" s="277"/>
      <c r="AE71" s="994"/>
      <c r="AF71" s="982"/>
      <c r="AG71" s="982"/>
      <c r="AH71" s="982"/>
      <c r="AI71" s="988"/>
      <c r="AJ71" s="310"/>
      <c r="AK71" s="302"/>
      <c r="AL71" s="308"/>
      <c r="AM71" s="307"/>
      <c r="AN71" s="309"/>
      <c r="AO71" s="308"/>
      <c r="AP71" s="307"/>
      <c r="AQ71" s="309"/>
      <c r="AR71" s="308"/>
      <c r="AS71" s="307"/>
      <c r="AT71" s="309"/>
      <c r="AU71" s="308"/>
      <c r="AV71" s="307"/>
      <c r="AW71" s="301"/>
      <c r="AX71" s="306"/>
      <c r="AY71" s="301"/>
      <c r="AZ71" s="308"/>
      <c r="BA71" s="307"/>
      <c r="BB71" s="309"/>
      <c r="BC71" s="308"/>
      <c r="BD71" s="307"/>
      <c r="BE71" s="309"/>
      <c r="BF71" s="308"/>
      <c r="BG71" s="307"/>
      <c r="BH71" s="309"/>
      <c r="BI71" s="308"/>
      <c r="BJ71" s="307"/>
      <c r="BK71" s="301"/>
      <c r="BL71" s="306"/>
      <c r="BN71" s="308"/>
      <c r="BO71" s="307"/>
      <c r="BP71" s="309"/>
      <c r="BQ71" s="308"/>
      <c r="BR71" s="307"/>
      <c r="BS71" s="309"/>
      <c r="BT71" s="308"/>
      <c r="BU71" s="307"/>
      <c r="BV71" s="309"/>
      <c r="BW71" s="308"/>
      <c r="BX71" s="307"/>
      <c r="BY71" s="301"/>
      <c r="BZ71" s="306"/>
      <c r="CB71" s="308"/>
      <c r="CC71" s="307"/>
      <c r="CD71" s="309"/>
      <c r="CE71" s="308"/>
      <c r="CF71" s="307"/>
      <c r="CG71" s="309"/>
      <c r="CH71" s="308"/>
      <c r="CI71" s="307"/>
      <c r="CJ71" s="309"/>
      <c r="CK71" s="308"/>
      <c r="CL71" s="307"/>
      <c r="CM71" s="301"/>
      <c r="CN71" s="306"/>
    </row>
    <row r="72" spans="2:92" ht="72" thickBot="1" x14ac:dyDescent="0.25">
      <c r="B72" s="1077"/>
      <c r="C72" s="973"/>
      <c r="D72" s="943"/>
      <c r="E72" s="952"/>
      <c r="F72" s="1041"/>
      <c r="G72" s="385" t="str">
        <f>+'Plan de Accion apoyo transversa'!X62</f>
        <v>Jornada de socialización y divulgación de los roles y responsabilidades a todos los servidores públicos y partes interesadas realizada</v>
      </c>
      <c r="H72" s="961"/>
      <c r="J72" s="994"/>
      <c r="K72" s="931"/>
      <c r="L72" s="931"/>
      <c r="M72" s="931"/>
      <c r="N72" s="931"/>
      <c r="O72" s="931"/>
      <c r="P72" s="277"/>
      <c r="Q72" s="994"/>
      <c r="R72" s="982"/>
      <c r="S72" s="982"/>
      <c r="T72" s="982"/>
      <c r="U72" s="982"/>
      <c r="V72" s="988"/>
      <c r="W72" s="278"/>
      <c r="X72" s="994"/>
      <c r="Y72" s="982"/>
      <c r="Z72" s="982"/>
      <c r="AA72" s="985"/>
      <c r="AB72" s="985"/>
      <c r="AC72" s="1021"/>
      <c r="AD72" s="277"/>
      <c r="AE72" s="994"/>
      <c r="AF72" s="982"/>
      <c r="AG72" s="982"/>
      <c r="AH72" s="982"/>
      <c r="AI72" s="988"/>
      <c r="AJ72" s="310"/>
      <c r="AK72" s="302"/>
      <c r="AL72" s="308"/>
      <c r="AM72" s="307"/>
      <c r="AN72" s="309"/>
      <c r="AO72" s="308"/>
      <c r="AP72" s="307"/>
      <c r="AQ72" s="309"/>
      <c r="AR72" s="308"/>
      <c r="AS72" s="307"/>
      <c r="AT72" s="309"/>
      <c r="AU72" s="308"/>
      <c r="AV72" s="307"/>
      <c r="AW72" s="301"/>
      <c r="AX72" s="306"/>
      <c r="AY72" s="301"/>
      <c r="AZ72" s="308"/>
      <c r="BA72" s="307"/>
      <c r="BB72" s="309"/>
      <c r="BC72" s="308"/>
      <c r="BD72" s="307"/>
      <c r="BE72" s="309"/>
      <c r="BF72" s="308"/>
      <c r="BG72" s="307"/>
      <c r="BH72" s="309"/>
      <c r="BI72" s="308"/>
      <c r="BJ72" s="307"/>
      <c r="BK72" s="301"/>
      <c r="BL72" s="306"/>
      <c r="BN72" s="308"/>
      <c r="BO72" s="307"/>
      <c r="BP72" s="309"/>
      <c r="BQ72" s="308"/>
      <c r="BR72" s="307"/>
      <c r="BS72" s="309"/>
      <c r="BT72" s="308"/>
      <c r="BU72" s="307"/>
      <c r="BV72" s="309"/>
      <c r="BW72" s="308"/>
      <c r="BX72" s="307"/>
      <c r="BY72" s="301"/>
      <c r="BZ72" s="306"/>
      <c r="CB72" s="308"/>
      <c r="CC72" s="307"/>
      <c r="CD72" s="309"/>
      <c r="CE72" s="308"/>
      <c r="CF72" s="307"/>
      <c r="CG72" s="309"/>
      <c r="CH72" s="308"/>
      <c r="CI72" s="307"/>
      <c r="CJ72" s="309"/>
      <c r="CK72" s="308"/>
      <c r="CL72" s="307"/>
      <c r="CM72" s="301"/>
      <c r="CN72" s="306"/>
    </row>
    <row r="73" spans="2:92" ht="72" thickBot="1" x14ac:dyDescent="0.25">
      <c r="B73" s="1077"/>
      <c r="C73" s="973"/>
      <c r="D73" s="943"/>
      <c r="E73" s="952"/>
      <c r="F73" s="1041"/>
      <c r="G73" s="385" t="str">
        <f>+'Plan de Accion apoyo transversa'!X63</f>
        <v>Rendición de Cuentas del Sistema de Seguridad y Salud en el Trabajo a todos los niveles de la Entidad  realizada</v>
      </c>
      <c r="H73" s="961"/>
      <c r="J73" s="994"/>
      <c r="K73" s="931"/>
      <c r="L73" s="931"/>
      <c r="M73" s="931"/>
      <c r="N73" s="931"/>
      <c r="O73" s="931"/>
      <c r="P73" s="277"/>
      <c r="Q73" s="994"/>
      <c r="R73" s="982"/>
      <c r="S73" s="982"/>
      <c r="T73" s="982"/>
      <c r="U73" s="982"/>
      <c r="V73" s="988"/>
      <c r="W73" s="278"/>
      <c r="X73" s="994"/>
      <c r="Y73" s="982"/>
      <c r="Z73" s="982"/>
      <c r="AA73" s="985"/>
      <c r="AB73" s="985"/>
      <c r="AC73" s="1021"/>
      <c r="AD73" s="277"/>
      <c r="AE73" s="994"/>
      <c r="AF73" s="982"/>
      <c r="AG73" s="982"/>
      <c r="AH73" s="982"/>
      <c r="AI73" s="988"/>
      <c r="AJ73" s="310"/>
      <c r="AK73" s="302"/>
      <c r="AL73" s="308"/>
      <c r="AM73" s="307"/>
      <c r="AN73" s="309"/>
      <c r="AO73" s="308"/>
      <c r="AP73" s="307"/>
      <c r="AQ73" s="309"/>
      <c r="AR73" s="308"/>
      <c r="AS73" s="307"/>
      <c r="AT73" s="309"/>
      <c r="AU73" s="308"/>
      <c r="AV73" s="307"/>
      <c r="AW73" s="301"/>
      <c r="AX73" s="306"/>
      <c r="AY73" s="301"/>
      <c r="AZ73" s="308"/>
      <c r="BA73" s="307"/>
      <c r="BB73" s="309"/>
      <c r="BC73" s="308"/>
      <c r="BD73" s="307"/>
      <c r="BE73" s="309"/>
      <c r="BF73" s="308"/>
      <c r="BG73" s="307"/>
      <c r="BH73" s="309"/>
      <c r="BI73" s="308"/>
      <c r="BJ73" s="307"/>
      <c r="BK73" s="301"/>
      <c r="BL73" s="306"/>
      <c r="BN73" s="308"/>
      <c r="BO73" s="307"/>
      <c r="BP73" s="309"/>
      <c r="BQ73" s="308"/>
      <c r="BR73" s="307"/>
      <c r="BS73" s="309"/>
      <c r="BT73" s="308"/>
      <c r="BU73" s="307"/>
      <c r="BV73" s="309"/>
      <c r="BW73" s="308"/>
      <c r="BX73" s="307"/>
      <c r="BY73" s="301"/>
      <c r="BZ73" s="306"/>
      <c r="CB73" s="308"/>
      <c r="CC73" s="307"/>
      <c r="CD73" s="309"/>
      <c r="CE73" s="308"/>
      <c r="CF73" s="307"/>
      <c r="CG73" s="309"/>
      <c r="CH73" s="308"/>
      <c r="CI73" s="307"/>
      <c r="CJ73" s="309"/>
      <c r="CK73" s="308"/>
      <c r="CL73" s="307"/>
      <c r="CM73" s="301"/>
      <c r="CN73" s="306"/>
    </row>
    <row r="74" spans="2:92" ht="43.5" thickBot="1" x14ac:dyDescent="0.25">
      <c r="B74" s="1077"/>
      <c r="C74" s="973"/>
      <c r="D74" s="943"/>
      <c r="E74" s="952"/>
      <c r="F74" s="1041"/>
      <c r="G74" s="385" t="str">
        <f>+'Plan de Accion apoyo transversa'!X64</f>
        <v>Jornada de divulgación del Plan de Emergencias realizada</v>
      </c>
      <c r="H74" s="961"/>
      <c r="J74" s="994"/>
      <c r="K74" s="931"/>
      <c r="L74" s="931"/>
      <c r="M74" s="931"/>
      <c r="N74" s="931"/>
      <c r="O74" s="931"/>
      <c r="P74" s="277"/>
      <c r="Q74" s="994"/>
      <c r="R74" s="982"/>
      <c r="S74" s="982"/>
      <c r="T74" s="982"/>
      <c r="U74" s="982"/>
      <c r="V74" s="988"/>
      <c r="W74" s="278"/>
      <c r="X74" s="994"/>
      <c r="Y74" s="982"/>
      <c r="Z74" s="982"/>
      <c r="AA74" s="985"/>
      <c r="AB74" s="985"/>
      <c r="AC74" s="1021"/>
      <c r="AD74" s="277"/>
      <c r="AE74" s="994"/>
      <c r="AF74" s="982"/>
      <c r="AG74" s="982"/>
      <c r="AH74" s="982"/>
      <c r="AI74" s="988"/>
      <c r="AJ74" s="310"/>
      <c r="AK74" s="302"/>
      <c r="AL74" s="308"/>
      <c r="AM74" s="307"/>
      <c r="AN74" s="309"/>
      <c r="AO74" s="308"/>
      <c r="AP74" s="307"/>
      <c r="AQ74" s="309"/>
      <c r="AR74" s="308"/>
      <c r="AS74" s="307"/>
      <c r="AT74" s="309"/>
      <c r="AU74" s="308"/>
      <c r="AV74" s="307"/>
      <c r="AW74" s="301"/>
      <c r="AX74" s="306"/>
      <c r="AY74" s="301"/>
      <c r="AZ74" s="308"/>
      <c r="BA74" s="307"/>
      <c r="BB74" s="309"/>
      <c r="BC74" s="308"/>
      <c r="BD74" s="307"/>
      <c r="BE74" s="309"/>
      <c r="BF74" s="308"/>
      <c r="BG74" s="307"/>
      <c r="BH74" s="309"/>
      <c r="BI74" s="308"/>
      <c r="BJ74" s="307"/>
      <c r="BK74" s="301"/>
      <c r="BL74" s="306"/>
      <c r="BN74" s="308"/>
      <c r="BO74" s="307"/>
      <c r="BP74" s="309"/>
      <c r="BQ74" s="308"/>
      <c r="BR74" s="307"/>
      <c r="BS74" s="309"/>
      <c r="BT74" s="308"/>
      <c r="BU74" s="307"/>
      <c r="BV74" s="309"/>
      <c r="BW74" s="308"/>
      <c r="BX74" s="307"/>
      <c r="BY74" s="301"/>
      <c r="BZ74" s="306"/>
      <c r="CB74" s="308"/>
      <c r="CC74" s="307"/>
      <c r="CD74" s="309"/>
      <c r="CE74" s="308"/>
      <c r="CF74" s="307"/>
      <c r="CG74" s="309"/>
      <c r="CH74" s="308"/>
      <c r="CI74" s="307"/>
      <c r="CJ74" s="309"/>
      <c r="CK74" s="308"/>
      <c r="CL74" s="307"/>
      <c r="CM74" s="301"/>
      <c r="CN74" s="306"/>
    </row>
    <row r="75" spans="2:92" ht="43.5" thickBot="1" x14ac:dyDescent="0.25">
      <c r="B75" s="1077"/>
      <c r="C75" s="973"/>
      <c r="D75" s="943"/>
      <c r="E75" s="952"/>
      <c r="F75" s="1041"/>
      <c r="G75" s="385" t="str">
        <f>+'Plan de Accion apoyo transversa'!X65</f>
        <v>Jornada de divulgación  del programa de inspecciones  realizada</v>
      </c>
      <c r="H75" s="961"/>
      <c r="J75" s="994"/>
      <c r="K75" s="931"/>
      <c r="L75" s="931"/>
      <c r="M75" s="931"/>
      <c r="N75" s="931"/>
      <c r="O75" s="931"/>
      <c r="P75" s="277"/>
      <c r="Q75" s="994"/>
      <c r="R75" s="982"/>
      <c r="S75" s="982"/>
      <c r="T75" s="982"/>
      <c r="U75" s="982"/>
      <c r="V75" s="988"/>
      <c r="W75" s="278"/>
      <c r="X75" s="994"/>
      <c r="Y75" s="982"/>
      <c r="Z75" s="982"/>
      <c r="AA75" s="985"/>
      <c r="AB75" s="985"/>
      <c r="AC75" s="1021"/>
      <c r="AD75" s="277"/>
      <c r="AE75" s="994"/>
      <c r="AF75" s="982"/>
      <c r="AG75" s="982"/>
      <c r="AH75" s="982"/>
      <c r="AI75" s="988"/>
      <c r="AJ75" s="310"/>
      <c r="AK75" s="302"/>
      <c r="AL75" s="308"/>
      <c r="AM75" s="307"/>
      <c r="AN75" s="309"/>
      <c r="AO75" s="308"/>
      <c r="AP75" s="307"/>
      <c r="AQ75" s="309"/>
      <c r="AR75" s="308"/>
      <c r="AS75" s="307"/>
      <c r="AT75" s="309"/>
      <c r="AU75" s="308"/>
      <c r="AV75" s="307"/>
      <c r="AW75" s="301"/>
      <c r="AX75" s="306"/>
      <c r="AY75" s="301"/>
      <c r="AZ75" s="308"/>
      <c r="BA75" s="307"/>
      <c r="BB75" s="309"/>
      <c r="BC75" s="308"/>
      <c r="BD75" s="307"/>
      <c r="BE75" s="309"/>
      <c r="BF75" s="308"/>
      <c r="BG75" s="307"/>
      <c r="BH75" s="309"/>
      <c r="BI75" s="308"/>
      <c r="BJ75" s="307"/>
      <c r="BK75" s="301"/>
      <c r="BL75" s="306"/>
      <c r="BN75" s="308"/>
      <c r="BO75" s="307"/>
      <c r="BP75" s="309"/>
      <c r="BQ75" s="308"/>
      <c r="BR75" s="307"/>
      <c r="BS75" s="309"/>
      <c r="BT75" s="308"/>
      <c r="BU75" s="307"/>
      <c r="BV75" s="309"/>
      <c r="BW75" s="308"/>
      <c r="BX75" s="307"/>
      <c r="BY75" s="301"/>
      <c r="BZ75" s="306"/>
      <c r="CB75" s="308"/>
      <c r="CC75" s="307"/>
      <c r="CD75" s="309"/>
      <c r="CE75" s="308"/>
      <c r="CF75" s="307"/>
      <c r="CG75" s="309"/>
      <c r="CH75" s="308"/>
      <c r="CI75" s="307"/>
      <c r="CJ75" s="309"/>
      <c r="CK75" s="308"/>
      <c r="CL75" s="307"/>
      <c r="CM75" s="301"/>
      <c r="CN75" s="306"/>
    </row>
    <row r="76" spans="2:92" ht="43.5" thickBot="1" x14ac:dyDescent="0.25">
      <c r="B76" s="1077"/>
      <c r="C76" s="973"/>
      <c r="D76" s="943"/>
      <c r="E76" s="952"/>
      <c r="F76" s="1041"/>
      <c r="G76" s="385" t="str">
        <f>+'Plan de Accion apoyo transversa'!X66</f>
        <v>Jornada de divulgación del programa de mantenimiento realizada</v>
      </c>
      <c r="H76" s="961"/>
      <c r="J76" s="994"/>
      <c r="K76" s="931"/>
      <c r="L76" s="931"/>
      <c r="M76" s="931"/>
      <c r="N76" s="931"/>
      <c r="O76" s="931"/>
      <c r="P76" s="277"/>
      <c r="Q76" s="994"/>
      <c r="R76" s="982"/>
      <c r="S76" s="982"/>
      <c r="T76" s="982"/>
      <c r="U76" s="982"/>
      <c r="V76" s="988"/>
      <c r="W76" s="278"/>
      <c r="X76" s="994"/>
      <c r="Y76" s="982"/>
      <c r="Z76" s="982"/>
      <c r="AA76" s="985"/>
      <c r="AB76" s="985"/>
      <c r="AC76" s="1021"/>
      <c r="AD76" s="277"/>
      <c r="AE76" s="994"/>
      <c r="AF76" s="982"/>
      <c r="AG76" s="982"/>
      <c r="AH76" s="982"/>
      <c r="AI76" s="988"/>
      <c r="AJ76" s="310"/>
      <c r="AK76" s="302"/>
      <c r="AL76" s="308"/>
      <c r="AM76" s="307"/>
      <c r="AN76" s="309"/>
      <c r="AO76" s="308"/>
      <c r="AP76" s="307"/>
      <c r="AQ76" s="309"/>
      <c r="AR76" s="308"/>
      <c r="AS76" s="307"/>
      <c r="AT76" s="309"/>
      <c r="AU76" s="308"/>
      <c r="AV76" s="307"/>
      <c r="AW76" s="301"/>
      <c r="AX76" s="306"/>
      <c r="AY76" s="301"/>
      <c r="AZ76" s="308"/>
      <c r="BA76" s="307"/>
      <c r="BB76" s="309"/>
      <c r="BC76" s="308"/>
      <c r="BD76" s="307"/>
      <c r="BE76" s="309"/>
      <c r="BF76" s="308"/>
      <c r="BG76" s="307"/>
      <c r="BH76" s="309"/>
      <c r="BI76" s="308"/>
      <c r="BJ76" s="307"/>
      <c r="BK76" s="301"/>
      <c r="BL76" s="306"/>
      <c r="BN76" s="308"/>
      <c r="BO76" s="307"/>
      <c r="BP76" s="309"/>
      <c r="BQ76" s="308"/>
      <c r="BR76" s="307"/>
      <c r="BS76" s="309"/>
      <c r="BT76" s="308"/>
      <c r="BU76" s="307"/>
      <c r="BV76" s="309"/>
      <c r="BW76" s="308"/>
      <c r="BX76" s="307"/>
      <c r="BY76" s="301"/>
      <c r="BZ76" s="306"/>
      <c r="CB76" s="308"/>
      <c r="CC76" s="307"/>
      <c r="CD76" s="309"/>
      <c r="CE76" s="308"/>
      <c r="CF76" s="307"/>
      <c r="CG76" s="309"/>
      <c r="CH76" s="308"/>
      <c r="CI76" s="307"/>
      <c r="CJ76" s="309"/>
      <c r="CK76" s="308"/>
      <c r="CL76" s="307"/>
      <c r="CM76" s="301"/>
      <c r="CN76" s="306"/>
    </row>
    <row r="77" spans="2:92" ht="29.25" thickBot="1" x14ac:dyDescent="0.25">
      <c r="B77" s="1077"/>
      <c r="C77" s="973"/>
      <c r="D77" s="943"/>
      <c r="E77" s="952"/>
      <c r="F77" s="1041"/>
      <c r="G77" s="385" t="str">
        <f>+'Plan de Accion apoyo transversa'!X67</f>
        <v>Informes de resultado de la investigación</v>
      </c>
      <c r="H77" s="961"/>
      <c r="J77" s="994"/>
      <c r="K77" s="931"/>
      <c r="L77" s="931"/>
      <c r="M77" s="931"/>
      <c r="N77" s="931"/>
      <c r="O77" s="931"/>
      <c r="P77" s="277"/>
      <c r="Q77" s="994"/>
      <c r="R77" s="982"/>
      <c r="S77" s="982"/>
      <c r="T77" s="982"/>
      <c r="U77" s="982"/>
      <c r="V77" s="988"/>
      <c r="W77" s="278"/>
      <c r="X77" s="994"/>
      <c r="Y77" s="982"/>
      <c r="Z77" s="982"/>
      <c r="AA77" s="985"/>
      <c r="AB77" s="985"/>
      <c r="AC77" s="1021"/>
      <c r="AD77" s="277"/>
      <c r="AE77" s="994"/>
      <c r="AF77" s="982"/>
      <c r="AG77" s="982"/>
      <c r="AH77" s="982"/>
      <c r="AI77" s="988"/>
      <c r="AJ77" s="310"/>
      <c r="AK77" s="302"/>
      <c r="AL77" s="308"/>
      <c r="AM77" s="307"/>
      <c r="AN77" s="309"/>
      <c r="AO77" s="308"/>
      <c r="AP77" s="307"/>
      <c r="AQ77" s="309"/>
      <c r="AR77" s="308"/>
      <c r="AS77" s="307"/>
      <c r="AT77" s="309"/>
      <c r="AU77" s="308"/>
      <c r="AV77" s="307"/>
      <c r="AW77" s="301"/>
      <c r="AX77" s="306"/>
      <c r="AY77" s="301"/>
      <c r="AZ77" s="308"/>
      <c r="BA77" s="307"/>
      <c r="BB77" s="309"/>
      <c r="BC77" s="308"/>
      <c r="BD77" s="307"/>
      <c r="BE77" s="309"/>
      <c r="BF77" s="308"/>
      <c r="BG77" s="307"/>
      <c r="BH77" s="309"/>
      <c r="BI77" s="308"/>
      <c r="BJ77" s="307"/>
      <c r="BK77" s="301"/>
      <c r="BL77" s="306"/>
      <c r="BN77" s="308"/>
      <c r="BO77" s="307"/>
      <c r="BP77" s="309"/>
      <c r="BQ77" s="308"/>
      <c r="BR77" s="307"/>
      <c r="BS77" s="309"/>
      <c r="BT77" s="308"/>
      <c r="BU77" s="307"/>
      <c r="BV77" s="309"/>
      <c r="BW77" s="308"/>
      <c r="BX77" s="307"/>
      <c r="BY77" s="301"/>
      <c r="BZ77" s="306"/>
      <c r="CB77" s="308"/>
      <c r="CC77" s="307"/>
      <c r="CD77" s="309"/>
      <c r="CE77" s="308"/>
      <c r="CF77" s="307"/>
      <c r="CG77" s="309"/>
      <c r="CH77" s="308"/>
      <c r="CI77" s="307"/>
      <c r="CJ77" s="309"/>
      <c r="CK77" s="308"/>
      <c r="CL77" s="307"/>
      <c r="CM77" s="301"/>
      <c r="CN77" s="306"/>
    </row>
    <row r="78" spans="2:92" ht="86.25" thickBot="1" x14ac:dyDescent="0.25">
      <c r="B78" s="1077"/>
      <c r="C78" s="973"/>
      <c r="D78" s="943"/>
      <c r="E78" s="952"/>
      <c r="F78" s="1041"/>
      <c r="G78" s="385" t="str">
        <f>+'Plan de Accion apoyo transversa'!X68</f>
        <v>Reuniones - Inspecciones - Acompañamiento y seguimiento en el desarrollo del Comité paritario de seguridad y Salud en el trabajo</v>
      </c>
      <c r="H78" s="961"/>
      <c r="J78" s="994"/>
      <c r="K78" s="931"/>
      <c r="L78" s="931"/>
      <c r="M78" s="931"/>
      <c r="N78" s="931"/>
      <c r="O78" s="931"/>
      <c r="P78" s="277"/>
      <c r="Q78" s="994"/>
      <c r="R78" s="982"/>
      <c r="S78" s="982"/>
      <c r="T78" s="982"/>
      <c r="U78" s="982"/>
      <c r="V78" s="988"/>
      <c r="W78" s="278"/>
      <c r="X78" s="994"/>
      <c r="Y78" s="982"/>
      <c r="Z78" s="982"/>
      <c r="AA78" s="985"/>
      <c r="AB78" s="985"/>
      <c r="AC78" s="1021"/>
      <c r="AD78" s="277"/>
      <c r="AE78" s="994"/>
      <c r="AF78" s="982"/>
      <c r="AG78" s="982"/>
      <c r="AH78" s="982"/>
      <c r="AI78" s="988"/>
      <c r="AJ78" s="310"/>
      <c r="AK78" s="302"/>
      <c r="AL78" s="308"/>
      <c r="AM78" s="307"/>
      <c r="AN78" s="309"/>
      <c r="AO78" s="308"/>
      <c r="AP78" s="307"/>
      <c r="AQ78" s="309"/>
      <c r="AR78" s="308"/>
      <c r="AS78" s="307"/>
      <c r="AT78" s="309"/>
      <c r="AU78" s="308"/>
      <c r="AV78" s="307"/>
      <c r="AW78" s="301"/>
      <c r="AX78" s="306"/>
      <c r="AY78" s="301"/>
      <c r="AZ78" s="308"/>
      <c r="BA78" s="307"/>
      <c r="BB78" s="309"/>
      <c r="BC78" s="308"/>
      <c r="BD78" s="307"/>
      <c r="BE78" s="309"/>
      <c r="BF78" s="308"/>
      <c r="BG78" s="307"/>
      <c r="BH78" s="309"/>
      <c r="BI78" s="308"/>
      <c r="BJ78" s="307"/>
      <c r="BK78" s="301"/>
      <c r="BL78" s="306"/>
      <c r="BN78" s="308"/>
      <c r="BO78" s="307"/>
      <c r="BP78" s="309"/>
      <c r="BQ78" s="308"/>
      <c r="BR78" s="307"/>
      <c r="BS78" s="309"/>
      <c r="BT78" s="308"/>
      <c r="BU78" s="307"/>
      <c r="BV78" s="309"/>
      <c r="BW78" s="308"/>
      <c r="BX78" s="307"/>
      <c r="BY78" s="301"/>
      <c r="BZ78" s="306"/>
      <c r="CB78" s="308"/>
      <c r="CC78" s="307"/>
      <c r="CD78" s="309"/>
      <c r="CE78" s="308"/>
      <c r="CF78" s="307"/>
      <c r="CG78" s="309"/>
      <c r="CH78" s="308"/>
      <c r="CI78" s="307"/>
      <c r="CJ78" s="309"/>
      <c r="CK78" s="308"/>
      <c r="CL78" s="307"/>
      <c r="CM78" s="301"/>
      <c r="CN78" s="306"/>
    </row>
    <row r="79" spans="2:92" ht="36.75" customHeight="1" thickBot="1" x14ac:dyDescent="0.25">
      <c r="B79" s="1077"/>
      <c r="C79" s="973"/>
      <c r="D79" s="943"/>
      <c r="E79" s="952"/>
      <c r="F79" s="1041"/>
      <c r="G79" s="385" t="str">
        <f>+'Plan de Accion apoyo transversa'!X69</f>
        <v>Informe de la evaluación de cumplimiento del SG-SST de proveedores y contratistas "de personería jurídica"</v>
      </c>
      <c r="H79" s="961"/>
      <c r="J79" s="994"/>
      <c r="K79" s="931"/>
      <c r="L79" s="931"/>
      <c r="M79" s="931"/>
      <c r="N79" s="931"/>
      <c r="O79" s="931"/>
      <c r="P79" s="277"/>
      <c r="Q79" s="994"/>
      <c r="R79" s="982"/>
      <c r="S79" s="982"/>
      <c r="T79" s="982"/>
      <c r="U79" s="982"/>
      <c r="V79" s="988"/>
      <c r="W79" s="278"/>
      <c r="X79" s="994"/>
      <c r="Y79" s="982"/>
      <c r="Z79" s="982"/>
      <c r="AA79" s="985"/>
      <c r="AB79" s="985"/>
      <c r="AC79" s="1021"/>
      <c r="AD79" s="277"/>
      <c r="AE79" s="994"/>
      <c r="AF79" s="982"/>
      <c r="AG79" s="982"/>
      <c r="AH79" s="982"/>
      <c r="AI79" s="988"/>
      <c r="AJ79" s="310"/>
      <c r="AK79" s="302"/>
      <c r="AL79" s="308"/>
      <c r="AM79" s="307"/>
      <c r="AN79" s="309"/>
      <c r="AO79" s="308"/>
      <c r="AP79" s="307"/>
      <c r="AQ79" s="309"/>
      <c r="AR79" s="308"/>
      <c r="AS79" s="307"/>
      <c r="AT79" s="309"/>
      <c r="AU79" s="308"/>
      <c r="AV79" s="307"/>
      <c r="AW79" s="301"/>
      <c r="AX79" s="306"/>
      <c r="AY79" s="301"/>
      <c r="AZ79" s="308"/>
      <c r="BA79" s="307"/>
      <c r="BB79" s="309"/>
      <c r="BC79" s="308"/>
      <c r="BD79" s="307"/>
      <c r="BE79" s="309"/>
      <c r="BF79" s="308"/>
      <c r="BG79" s="307"/>
      <c r="BH79" s="309"/>
      <c r="BI79" s="308"/>
      <c r="BJ79" s="307"/>
      <c r="BK79" s="301"/>
      <c r="BL79" s="306"/>
      <c r="BN79" s="308"/>
      <c r="BO79" s="307"/>
      <c r="BP79" s="309"/>
      <c r="BQ79" s="308"/>
      <c r="BR79" s="307"/>
      <c r="BS79" s="309"/>
      <c r="BT79" s="308"/>
      <c r="BU79" s="307"/>
      <c r="BV79" s="309"/>
      <c r="BW79" s="308"/>
      <c r="BX79" s="307"/>
      <c r="BY79" s="301"/>
      <c r="BZ79" s="306"/>
      <c r="CB79" s="308"/>
      <c r="CC79" s="307"/>
      <c r="CD79" s="309"/>
      <c r="CE79" s="308"/>
      <c r="CF79" s="307"/>
      <c r="CG79" s="309"/>
      <c r="CH79" s="308"/>
      <c r="CI79" s="307"/>
      <c r="CJ79" s="309"/>
      <c r="CK79" s="308"/>
      <c r="CL79" s="307"/>
      <c r="CM79" s="301"/>
      <c r="CN79" s="306"/>
    </row>
    <row r="80" spans="2:92" ht="29.25" thickBot="1" x14ac:dyDescent="0.25">
      <c r="B80" s="1077"/>
      <c r="C80" s="973"/>
      <c r="D80" s="943"/>
      <c r="E80" s="952"/>
      <c r="F80" s="1041"/>
      <c r="G80" s="385" t="str">
        <f>+'Plan de Accion apoyo transversa'!X70</f>
        <v>Informe de la auditoria interna del SG-SST</v>
      </c>
      <c r="H80" s="961"/>
      <c r="J80" s="994"/>
      <c r="K80" s="931"/>
      <c r="L80" s="931"/>
      <c r="M80" s="931"/>
      <c r="N80" s="931"/>
      <c r="O80" s="931"/>
      <c r="P80" s="277"/>
      <c r="Q80" s="994"/>
      <c r="R80" s="982"/>
      <c r="S80" s="982"/>
      <c r="T80" s="982"/>
      <c r="U80" s="982"/>
      <c r="V80" s="988"/>
      <c r="W80" s="278"/>
      <c r="X80" s="994"/>
      <c r="Y80" s="982"/>
      <c r="Z80" s="982"/>
      <c r="AA80" s="985"/>
      <c r="AB80" s="985"/>
      <c r="AC80" s="1021"/>
      <c r="AD80" s="277"/>
      <c r="AE80" s="994"/>
      <c r="AF80" s="982"/>
      <c r="AG80" s="982"/>
      <c r="AH80" s="982"/>
      <c r="AI80" s="988"/>
      <c r="AJ80" s="310"/>
      <c r="AK80" s="302"/>
      <c r="AL80" s="308"/>
      <c r="AM80" s="307"/>
      <c r="AN80" s="309"/>
      <c r="AO80" s="308"/>
      <c r="AP80" s="307"/>
      <c r="AQ80" s="309"/>
      <c r="AR80" s="308"/>
      <c r="AS80" s="307"/>
      <c r="AT80" s="309"/>
      <c r="AU80" s="308"/>
      <c r="AV80" s="307"/>
      <c r="AW80" s="301"/>
      <c r="AX80" s="306"/>
      <c r="AY80" s="301"/>
      <c r="AZ80" s="308"/>
      <c r="BA80" s="307"/>
      <c r="BB80" s="309"/>
      <c r="BC80" s="308"/>
      <c r="BD80" s="307"/>
      <c r="BE80" s="309"/>
      <c r="BF80" s="308"/>
      <c r="BG80" s="307"/>
      <c r="BH80" s="309"/>
      <c r="BI80" s="308"/>
      <c r="BJ80" s="307"/>
      <c r="BK80" s="301"/>
      <c r="BL80" s="306"/>
      <c r="BN80" s="308"/>
      <c r="BO80" s="307"/>
      <c r="BP80" s="309"/>
      <c r="BQ80" s="308"/>
      <c r="BR80" s="307"/>
      <c r="BS80" s="309"/>
      <c r="BT80" s="308"/>
      <c r="BU80" s="307"/>
      <c r="BV80" s="309"/>
      <c r="BW80" s="308"/>
      <c r="BX80" s="307"/>
      <c r="BY80" s="301"/>
      <c r="BZ80" s="306"/>
      <c r="CB80" s="308"/>
      <c r="CC80" s="307"/>
      <c r="CD80" s="309"/>
      <c r="CE80" s="308"/>
      <c r="CF80" s="307"/>
      <c r="CG80" s="309"/>
      <c r="CH80" s="308"/>
      <c r="CI80" s="307"/>
      <c r="CJ80" s="309"/>
      <c r="CK80" s="308"/>
      <c r="CL80" s="307"/>
      <c r="CM80" s="301"/>
      <c r="CN80" s="306"/>
    </row>
    <row r="81" spans="2:92" ht="57.75" thickBot="1" x14ac:dyDescent="0.25">
      <c r="B81" s="1077"/>
      <c r="C81" s="973"/>
      <c r="D81" s="943"/>
      <c r="E81" s="952"/>
      <c r="F81" s="1041"/>
      <c r="G81" s="385" t="str">
        <f>+'Plan de Accion apoyo transversa'!X71</f>
        <v>Plan de acción de los hallazgos generados por auditoria interna o entes de control.</v>
      </c>
      <c r="H81" s="961"/>
      <c r="J81" s="995"/>
      <c r="K81" s="932"/>
      <c r="L81" s="932"/>
      <c r="M81" s="932"/>
      <c r="N81" s="932"/>
      <c r="O81" s="932"/>
      <c r="P81" s="277"/>
      <c r="Q81" s="995"/>
      <c r="R81" s="983"/>
      <c r="S81" s="983"/>
      <c r="T81" s="983"/>
      <c r="U81" s="983"/>
      <c r="V81" s="989"/>
      <c r="W81" s="278"/>
      <c r="X81" s="995"/>
      <c r="Y81" s="983"/>
      <c r="Z81" s="983"/>
      <c r="AA81" s="986"/>
      <c r="AB81" s="986"/>
      <c r="AC81" s="980"/>
      <c r="AD81" s="277"/>
      <c r="AE81" s="995"/>
      <c r="AF81" s="983"/>
      <c r="AG81" s="983"/>
      <c r="AH81" s="983"/>
      <c r="AI81" s="989"/>
      <c r="AJ81" s="310"/>
      <c r="AK81" s="302"/>
      <c r="AL81" s="308"/>
      <c r="AM81" s="307"/>
      <c r="AN81" s="309"/>
      <c r="AO81" s="308"/>
      <c r="AP81" s="307"/>
      <c r="AQ81" s="309"/>
      <c r="AR81" s="308"/>
      <c r="AS81" s="307"/>
      <c r="AT81" s="309"/>
      <c r="AU81" s="308"/>
      <c r="AV81" s="307"/>
      <c r="AW81" s="301"/>
      <c r="AX81" s="306"/>
      <c r="AY81" s="301"/>
      <c r="AZ81" s="308"/>
      <c r="BA81" s="307"/>
      <c r="BB81" s="309"/>
      <c r="BC81" s="308"/>
      <c r="BD81" s="307"/>
      <c r="BE81" s="309"/>
      <c r="BF81" s="308"/>
      <c r="BG81" s="307"/>
      <c r="BH81" s="309"/>
      <c r="BI81" s="308"/>
      <c r="BJ81" s="307"/>
      <c r="BK81" s="301"/>
      <c r="BL81" s="306"/>
      <c r="BN81" s="308"/>
      <c r="BO81" s="307"/>
      <c r="BP81" s="309"/>
      <c r="BQ81" s="308"/>
      <c r="BR81" s="307"/>
      <c r="BS81" s="309"/>
      <c r="BT81" s="308"/>
      <c r="BU81" s="307"/>
      <c r="BV81" s="309"/>
      <c r="BW81" s="308"/>
      <c r="BX81" s="307"/>
      <c r="BY81" s="301"/>
      <c r="BZ81" s="306"/>
      <c r="CB81" s="308"/>
      <c r="CC81" s="307"/>
      <c r="CD81" s="309"/>
      <c r="CE81" s="308"/>
      <c r="CF81" s="307"/>
      <c r="CG81" s="309"/>
      <c r="CH81" s="308"/>
      <c r="CI81" s="307"/>
      <c r="CJ81" s="309"/>
      <c r="CK81" s="308"/>
      <c r="CL81" s="307"/>
      <c r="CM81" s="301"/>
      <c r="CN81" s="306"/>
    </row>
    <row r="82" spans="2:92" ht="20.25" thickBot="1" x14ac:dyDescent="0.25">
      <c r="B82" s="1077"/>
      <c r="C82" s="973"/>
      <c r="D82" s="943"/>
      <c r="E82" s="952"/>
      <c r="F82" s="1041"/>
      <c r="G82" s="385" t="str">
        <f>+'Plan de Accion apoyo transversa'!X72</f>
        <v>Profesiograma elaborado</v>
      </c>
      <c r="H82" s="961"/>
      <c r="J82" s="279" t="e">
        <f>+'Plan de Accion apoyo transversa'!AW72</f>
        <v>#DIV/0!</v>
      </c>
      <c r="K82" s="615" t="str">
        <f>+'Plan de Accion apoyo transversa'!CF72</f>
        <v>No Prog ni Ejec</v>
      </c>
      <c r="L82" s="615" t="s">
        <v>206</v>
      </c>
      <c r="M82" s="615">
        <f>+'Plan de Accion apoyo transversa'!AY72</f>
        <v>0</v>
      </c>
      <c r="N82" s="615">
        <f>IF(M82&gt;100%,100%,M82)</f>
        <v>0</v>
      </c>
      <c r="O82" s="615" t="s">
        <v>206</v>
      </c>
      <c r="P82" s="277"/>
      <c r="Q82" s="279" t="e">
        <f>+'Plan de Accion apoyo transversa'!BG72</f>
        <v>#DIV/0!</v>
      </c>
      <c r="R82" s="315" t="str">
        <f>+'Plan de Accion apoyo transversa'!CH72</f>
        <v>No Prog ni Ejec</v>
      </c>
      <c r="S82" s="276" t="s">
        <v>206</v>
      </c>
      <c r="T82" s="373">
        <f>+'Plan de Accion apoyo transversa'!BI72</f>
        <v>0</v>
      </c>
      <c r="U82" s="373">
        <f t="shared" ref="U82:U120" si="24">IF(T82&gt;100%,100%,T82)</f>
        <v>0</v>
      </c>
      <c r="V82" s="275" t="s">
        <v>206</v>
      </c>
      <c r="W82" s="278"/>
      <c r="X82" s="279" t="e">
        <f>+'Plan de Accion apoyo transversa'!BQ72</f>
        <v>#DIV/0!</v>
      </c>
      <c r="Y82" s="315" t="str">
        <f>+'Plan de Accion apoyo transversa'!CJ72</f>
        <v>No Prog ni Ejec</v>
      </c>
      <c r="Z82" s="276" t="s">
        <v>206</v>
      </c>
      <c r="AA82" s="282">
        <f>+'Plan de Accion apoyo transversa'!BS72</f>
        <v>0</v>
      </c>
      <c r="AB82" s="282">
        <f t="shared" ref="AB82:AB120" si="25">IF(AA82&gt;100%,100%,AA82)</f>
        <v>0</v>
      </c>
      <c r="AC82" s="371" t="s">
        <v>206</v>
      </c>
      <c r="AD82" s="277"/>
      <c r="AE82" s="279">
        <f>+'Plan de Accion apoyo transversa'!CA72</f>
        <v>0</v>
      </c>
      <c r="AF82" s="315">
        <f>+'Plan de Accion apoyo transversa'!CL72</f>
        <v>0</v>
      </c>
      <c r="AG82" s="276">
        <f>IF(AF82&gt;100%,100%,AF82)</f>
        <v>0</v>
      </c>
      <c r="AH82" s="315">
        <f>+'Plan de Accion apoyo transversa'!CC72</f>
        <v>0</v>
      </c>
      <c r="AI82" s="275">
        <f t="shared" ref="AI82:AI120" si="26">IF(AH82&gt;100%,100%,AH82)</f>
        <v>0</v>
      </c>
      <c r="AJ82" s="310"/>
      <c r="AK82" s="302"/>
      <c r="AL82" s="308"/>
      <c r="AM82" s="307"/>
      <c r="AN82" s="309"/>
      <c r="AO82" s="308"/>
      <c r="AP82" s="307"/>
      <c r="AQ82" s="309"/>
      <c r="AR82" s="308"/>
      <c r="AS82" s="307"/>
      <c r="AT82" s="309"/>
      <c r="AU82" s="308"/>
      <c r="AV82" s="307"/>
      <c r="AW82" s="301"/>
      <c r="AX82" s="306"/>
      <c r="AY82" s="301"/>
      <c r="AZ82" s="308"/>
      <c r="BA82" s="307"/>
      <c r="BB82" s="309"/>
      <c r="BC82" s="308"/>
      <c r="BD82" s="307"/>
      <c r="BE82" s="309"/>
      <c r="BF82" s="308"/>
      <c r="BG82" s="307"/>
      <c r="BH82" s="309"/>
      <c r="BI82" s="308"/>
      <c r="BJ82" s="307"/>
      <c r="BK82" s="301"/>
      <c r="BL82" s="306"/>
      <c r="BN82" s="308"/>
      <c r="BO82" s="307"/>
      <c r="BP82" s="309"/>
      <c r="BQ82" s="308"/>
      <c r="BR82" s="307"/>
      <c r="BS82" s="309"/>
      <c r="BT82" s="308"/>
      <c r="BU82" s="307"/>
      <c r="BV82" s="309"/>
      <c r="BW82" s="308"/>
      <c r="BX82" s="307"/>
      <c r="BY82" s="301"/>
      <c r="BZ82" s="306"/>
      <c r="CB82" s="308"/>
      <c r="CC82" s="307"/>
      <c r="CD82" s="309"/>
      <c r="CE82" s="308"/>
      <c r="CF82" s="307"/>
      <c r="CG82" s="309"/>
      <c r="CH82" s="308"/>
      <c r="CI82" s="307"/>
      <c r="CJ82" s="309"/>
      <c r="CK82" s="308"/>
      <c r="CL82" s="307"/>
      <c r="CM82" s="301"/>
      <c r="CN82" s="306"/>
    </row>
    <row r="83" spans="2:92" ht="72" thickBot="1" x14ac:dyDescent="0.25">
      <c r="B83" s="1077"/>
      <c r="C83" s="973"/>
      <c r="D83" s="943"/>
      <c r="E83" s="952"/>
      <c r="F83" s="1041"/>
      <c r="G83" s="385" t="str">
        <f>+'Plan de Accion apoyo transversa'!X73</f>
        <v>Documento de estudios ambientales elaborado
Documento de estudios ergonómicos en salud ocupacional elaborado</v>
      </c>
      <c r="H83" s="961"/>
      <c r="J83" s="279" t="e">
        <f>+'Plan de Accion apoyo transversa'!AW73</f>
        <v>#DIV/0!</v>
      </c>
      <c r="K83" s="615" t="str">
        <f>+'Plan de Accion apoyo transversa'!CF73</f>
        <v>No Prog ni Ejec</v>
      </c>
      <c r="L83" s="615" t="s">
        <v>206</v>
      </c>
      <c r="M83" s="615">
        <f>+'Plan de Accion apoyo transversa'!AY73</f>
        <v>0</v>
      </c>
      <c r="N83" s="615">
        <f t="shared" ref="N83:N136" si="27">IF(M83&gt;100%,100%,M83)</f>
        <v>0</v>
      </c>
      <c r="O83" s="615" t="s">
        <v>206</v>
      </c>
      <c r="P83" s="277"/>
      <c r="Q83" s="279" t="e">
        <f>+'Plan de Accion apoyo transversa'!BG73</f>
        <v>#DIV/0!</v>
      </c>
      <c r="R83" s="315" t="str">
        <f>+'Plan de Accion apoyo transversa'!CH73</f>
        <v>No Prog ni Ejec</v>
      </c>
      <c r="S83" s="276" t="s">
        <v>206</v>
      </c>
      <c r="T83" s="373">
        <f>+'Plan de Accion apoyo transversa'!BI73</f>
        <v>0</v>
      </c>
      <c r="U83" s="373">
        <f t="shared" si="24"/>
        <v>0</v>
      </c>
      <c r="V83" s="275" t="s">
        <v>206</v>
      </c>
      <c r="W83" s="278"/>
      <c r="X83" s="279">
        <f>+'Plan de Accion apoyo transversa'!BQ73</f>
        <v>0</v>
      </c>
      <c r="Y83" s="315">
        <f>+'Plan de Accion apoyo transversa'!CJ73</f>
        <v>0</v>
      </c>
      <c r="Z83" s="276">
        <f>IF(Y83&gt;100%,100%,Y83)</f>
        <v>0</v>
      </c>
      <c r="AA83" s="282">
        <f>+'Plan de Accion apoyo transversa'!BS73</f>
        <v>0</v>
      </c>
      <c r="AB83" s="282">
        <f t="shared" si="25"/>
        <v>0</v>
      </c>
      <c r="AC83" s="371">
        <f>+AB83</f>
        <v>0</v>
      </c>
      <c r="AD83" s="277"/>
      <c r="AE83" s="279" t="e">
        <f>+'Plan de Accion apoyo transversa'!CA73</f>
        <v>#DIV/0!</v>
      </c>
      <c r="AF83" s="315" t="str">
        <f>+'Plan de Accion apoyo transversa'!CL73</f>
        <v>No Prog ni Ejec</v>
      </c>
      <c r="AG83" s="276" t="s">
        <v>206</v>
      </c>
      <c r="AH83" s="315">
        <f>+'Plan de Accion apoyo transversa'!CC73</f>
        <v>0</v>
      </c>
      <c r="AI83" s="275">
        <f t="shared" si="26"/>
        <v>0</v>
      </c>
      <c r="AJ83" s="310"/>
      <c r="AK83" s="302"/>
      <c r="AL83" s="308"/>
      <c r="AM83" s="307"/>
      <c r="AN83" s="309"/>
      <c r="AO83" s="308"/>
      <c r="AP83" s="307"/>
      <c r="AQ83" s="309"/>
      <c r="AR83" s="308"/>
      <c r="AS83" s="307"/>
      <c r="AT83" s="309"/>
      <c r="AU83" s="308"/>
      <c r="AV83" s="307"/>
      <c r="AW83" s="301"/>
      <c r="AX83" s="306"/>
      <c r="AY83" s="301"/>
      <c r="AZ83" s="308"/>
      <c r="BA83" s="307"/>
      <c r="BB83" s="309"/>
      <c r="BC83" s="308"/>
      <c r="BD83" s="307"/>
      <c r="BE83" s="309"/>
      <c r="BF83" s="308"/>
      <c r="BG83" s="307"/>
      <c r="BH83" s="309"/>
      <c r="BI83" s="308"/>
      <c r="BJ83" s="307"/>
      <c r="BK83" s="301"/>
      <c r="BL83" s="306"/>
      <c r="BN83" s="308"/>
      <c r="BO83" s="307"/>
      <c r="BP83" s="309"/>
      <c r="BQ83" s="308"/>
      <c r="BR83" s="307"/>
      <c r="BS83" s="309"/>
      <c r="BT83" s="308"/>
      <c r="BU83" s="307"/>
      <c r="BV83" s="309"/>
      <c r="BW83" s="308"/>
      <c r="BX83" s="307"/>
      <c r="BY83" s="301"/>
      <c r="BZ83" s="306"/>
      <c r="CB83" s="308"/>
      <c r="CC83" s="307"/>
      <c r="CD83" s="309"/>
      <c r="CE83" s="308"/>
      <c r="CF83" s="307"/>
      <c r="CG83" s="309"/>
      <c r="CH83" s="308"/>
      <c r="CI83" s="307"/>
      <c r="CJ83" s="309"/>
      <c r="CK83" s="308"/>
      <c r="CL83" s="307"/>
      <c r="CM83" s="301"/>
      <c r="CN83" s="306"/>
    </row>
    <row r="84" spans="2:92" ht="29.25" customHeight="1" thickBot="1" x14ac:dyDescent="0.25">
      <c r="B84" s="1077"/>
      <c r="C84" s="973"/>
      <c r="D84" s="943"/>
      <c r="E84" s="952"/>
      <c r="F84" s="1041"/>
      <c r="G84" s="385" t="str">
        <f>+'Plan de Accion apoyo transversa'!X74</f>
        <v>Elementos ergonómicos adquiridos</v>
      </c>
      <c r="H84" s="961"/>
      <c r="J84" s="279" t="e">
        <f>+'Plan de Accion apoyo transversa'!AW74</f>
        <v>#DIV/0!</v>
      </c>
      <c r="K84" s="615" t="str">
        <f>+'Plan de Accion apoyo transversa'!CF74</f>
        <v>No Prog ni Ejec</v>
      </c>
      <c r="L84" s="615" t="s">
        <v>206</v>
      </c>
      <c r="M84" s="615">
        <f>+'Plan de Accion apoyo transversa'!AY74</f>
        <v>0</v>
      </c>
      <c r="N84" s="615">
        <f t="shared" si="27"/>
        <v>0</v>
      </c>
      <c r="O84" s="615" t="s">
        <v>206</v>
      </c>
      <c r="P84" s="277"/>
      <c r="Q84" s="279" t="e">
        <f>+'Plan de Accion apoyo transversa'!BG74</f>
        <v>#DIV/0!</v>
      </c>
      <c r="R84" s="315" t="str">
        <f>+'Plan de Accion apoyo transversa'!CH74</f>
        <v>No Prog ni Ejec</v>
      </c>
      <c r="S84" s="276" t="s">
        <v>206</v>
      </c>
      <c r="T84" s="373">
        <f>+'Plan de Accion apoyo transversa'!BI74</f>
        <v>0</v>
      </c>
      <c r="U84" s="373">
        <f t="shared" si="24"/>
        <v>0</v>
      </c>
      <c r="V84" s="275" t="s">
        <v>206</v>
      </c>
      <c r="W84" s="278"/>
      <c r="X84" s="279" t="e">
        <f>+'Plan de Accion apoyo transversa'!BQ74</f>
        <v>#DIV/0!</v>
      </c>
      <c r="Y84" s="315" t="str">
        <f>+'Plan de Accion apoyo transversa'!CJ74</f>
        <v>No Prog ni Ejec</v>
      </c>
      <c r="Z84" s="276" t="s">
        <v>206</v>
      </c>
      <c r="AA84" s="282">
        <f>+'Plan de Accion apoyo transversa'!BS74</f>
        <v>0</v>
      </c>
      <c r="AB84" s="282">
        <f t="shared" si="25"/>
        <v>0</v>
      </c>
      <c r="AC84" s="371" t="s">
        <v>206</v>
      </c>
      <c r="AD84" s="277"/>
      <c r="AE84" s="279">
        <f>+'Plan de Accion apoyo transversa'!CA74</f>
        <v>0</v>
      </c>
      <c r="AF84" s="315">
        <f>+'Plan de Accion apoyo transversa'!CL74</f>
        <v>0</v>
      </c>
      <c r="AG84" s="276">
        <f>IF(AF84&gt;100%,100%,AF84)</f>
        <v>0</v>
      </c>
      <c r="AH84" s="315">
        <f>+'Plan de Accion apoyo transversa'!CC74</f>
        <v>0</v>
      </c>
      <c r="AI84" s="275">
        <f t="shared" si="26"/>
        <v>0</v>
      </c>
      <c r="AJ84" s="310"/>
      <c r="AK84" s="302"/>
      <c r="AL84" s="308"/>
      <c r="AM84" s="307"/>
      <c r="AN84" s="309"/>
      <c r="AO84" s="308"/>
      <c r="AP84" s="307"/>
      <c r="AQ84" s="309"/>
      <c r="AR84" s="308"/>
      <c r="AS84" s="307"/>
      <c r="AT84" s="309"/>
      <c r="AU84" s="308"/>
      <c r="AV84" s="307"/>
      <c r="AW84" s="301"/>
      <c r="AX84" s="306"/>
      <c r="AY84" s="301"/>
      <c r="AZ84" s="308"/>
      <c r="BA84" s="307"/>
      <c r="BB84" s="309"/>
      <c r="BC84" s="308"/>
      <c r="BD84" s="307"/>
      <c r="BE84" s="309"/>
      <c r="BF84" s="308"/>
      <c r="BG84" s="307"/>
      <c r="BH84" s="309"/>
      <c r="BI84" s="308"/>
      <c r="BJ84" s="307"/>
      <c r="BK84" s="301"/>
      <c r="BL84" s="306"/>
      <c r="BN84" s="308"/>
      <c r="BO84" s="307"/>
      <c r="BP84" s="309"/>
      <c r="BQ84" s="308"/>
      <c r="BR84" s="307"/>
      <c r="BS84" s="309"/>
      <c r="BT84" s="308"/>
      <c r="BU84" s="307"/>
      <c r="BV84" s="309"/>
      <c r="BW84" s="308"/>
      <c r="BX84" s="307"/>
      <c r="BY84" s="301"/>
      <c r="BZ84" s="306"/>
      <c r="CB84" s="308"/>
      <c r="CC84" s="307"/>
      <c r="CD84" s="309"/>
      <c r="CE84" s="308"/>
      <c r="CF84" s="307"/>
      <c r="CG84" s="309"/>
      <c r="CH84" s="308"/>
      <c r="CI84" s="307"/>
      <c r="CJ84" s="309"/>
      <c r="CK84" s="308"/>
      <c r="CL84" s="307"/>
      <c r="CM84" s="301"/>
      <c r="CN84" s="306"/>
    </row>
    <row r="85" spans="2:92" ht="29.25" thickBot="1" x14ac:dyDescent="0.25">
      <c r="B85" s="1077"/>
      <c r="C85" s="973"/>
      <c r="D85" s="943"/>
      <c r="E85" s="952"/>
      <c r="F85" s="1041" t="s">
        <v>530</v>
      </c>
      <c r="G85" s="385" t="str">
        <f>+'Plan de Accion apoyo transversa'!X75</f>
        <v>Capacitación de Sistema de Seguridad Social realizada</v>
      </c>
      <c r="H85" s="961"/>
      <c r="J85" s="279" t="e">
        <f>+'Plan de Accion apoyo transversa'!AW75</f>
        <v>#DIV/0!</v>
      </c>
      <c r="K85" s="615" t="str">
        <f>+'Plan de Accion apoyo transversa'!CF75</f>
        <v>No Prog ni Ejec</v>
      </c>
      <c r="L85" s="615" t="s">
        <v>206</v>
      </c>
      <c r="M85" s="615">
        <f>+'Plan de Accion apoyo transversa'!AY75</f>
        <v>0</v>
      </c>
      <c r="N85" s="615">
        <f t="shared" si="27"/>
        <v>0</v>
      </c>
      <c r="O85" s="615" t="s">
        <v>206</v>
      </c>
      <c r="P85" s="277"/>
      <c r="Q85" s="279">
        <f>+'Plan de Accion apoyo transversa'!BG75</f>
        <v>0</v>
      </c>
      <c r="R85" s="315">
        <f>+'Plan de Accion apoyo transversa'!CH75</f>
        <v>0</v>
      </c>
      <c r="S85" s="276">
        <f>IF(R85&gt;100%,100%,R85)</f>
        <v>0</v>
      </c>
      <c r="T85" s="373">
        <f>+'Plan de Accion apoyo transversa'!BI75</f>
        <v>0</v>
      </c>
      <c r="U85" s="373">
        <f t="shared" si="24"/>
        <v>0</v>
      </c>
      <c r="V85" s="275">
        <f>+U85</f>
        <v>0</v>
      </c>
      <c r="W85" s="278"/>
      <c r="X85" s="279" t="e">
        <f>+'Plan de Accion apoyo transversa'!BQ75</f>
        <v>#DIV/0!</v>
      </c>
      <c r="Y85" s="315" t="str">
        <f>+'Plan de Accion apoyo transversa'!CJ75</f>
        <v>No Prog ni Ejec</v>
      </c>
      <c r="Z85" s="276" t="s">
        <v>206</v>
      </c>
      <c r="AA85" s="282">
        <f>+'Plan de Accion apoyo transversa'!BS75</f>
        <v>0</v>
      </c>
      <c r="AB85" s="282">
        <f t="shared" si="25"/>
        <v>0</v>
      </c>
      <c r="AC85" s="371">
        <f>+AB85</f>
        <v>0</v>
      </c>
      <c r="AD85" s="277"/>
      <c r="AE85" s="279" t="e">
        <f>+'Plan de Accion apoyo transversa'!CA75</f>
        <v>#DIV/0!</v>
      </c>
      <c r="AF85" s="315" t="str">
        <f>+'Plan de Accion apoyo transversa'!CL75</f>
        <v>No Prog ni Ejec</v>
      </c>
      <c r="AG85" s="276" t="s">
        <v>206</v>
      </c>
      <c r="AH85" s="315">
        <f>+'Plan de Accion apoyo transversa'!CC75</f>
        <v>0</v>
      </c>
      <c r="AI85" s="275">
        <f t="shared" si="26"/>
        <v>0</v>
      </c>
      <c r="AJ85" s="310"/>
      <c r="AK85" s="302"/>
      <c r="AL85" s="308"/>
      <c r="AM85" s="307"/>
      <c r="AN85" s="309"/>
      <c r="AO85" s="308"/>
      <c r="AP85" s="307"/>
      <c r="AQ85" s="309"/>
      <c r="AR85" s="308"/>
      <c r="AS85" s="307"/>
      <c r="AT85" s="309"/>
      <c r="AU85" s="308"/>
      <c r="AV85" s="307"/>
      <c r="AW85" s="301"/>
      <c r="AX85" s="306"/>
      <c r="AY85" s="301"/>
      <c r="AZ85" s="308"/>
      <c r="BA85" s="307"/>
      <c r="BB85" s="309"/>
      <c r="BC85" s="308"/>
      <c r="BD85" s="307"/>
      <c r="BE85" s="309"/>
      <c r="BF85" s="308"/>
      <c r="BG85" s="307"/>
      <c r="BH85" s="309"/>
      <c r="BI85" s="308"/>
      <c r="BJ85" s="307"/>
      <c r="BK85" s="301"/>
      <c r="BL85" s="306"/>
      <c r="BN85" s="308"/>
      <c r="BO85" s="307"/>
      <c r="BP85" s="309"/>
      <c r="BQ85" s="308"/>
      <c r="BR85" s="307"/>
      <c r="BS85" s="309"/>
      <c r="BT85" s="308"/>
      <c r="BU85" s="307"/>
      <c r="BV85" s="309"/>
      <c r="BW85" s="308"/>
      <c r="BX85" s="307"/>
      <c r="BY85" s="301"/>
      <c r="BZ85" s="306"/>
      <c r="CB85" s="308"/>
      <c r="CC85" s="307"/>
      <c r="CD85" s="309"/>
      <c r="CE85" s="308"/>
      <c r="CF85" s="307"/>
      <c r="CG85" s="309"/>
      <c r="CH85" s="308"/>
      <c r="CI85" s="307"/>
      <c r="CJ85" s="309"/>
      <c r="CK85" s="308"/>
      <c r="CL85" s="307"/>
      <c r="CM85" s="301"/>
      <c r="CN85" s="306"/>
    </row>
    <row r="86" spans="2:92" ht="57.75" thickBot="1" x14ac:dyDescent="0.25">
      <c r="B86" s="1077"/>
      <c r="C86" s="973"/>
      <c r="D86" s="943"/>
      <c r="E86" s="952"/>
      <c r="F86" s="1041"/>
      <c r="G86" s="385" t="str">
        <f>+'Plan de Accion apoyo transversa'!X76</f>
        <v>Capacitación de Administración de personal sector publico y legislación laboral realizada</v>
      </c>
      <c r="H86" s="961"/>
      <c r="J86" s="279" t="e">
        <f>+'Plan de Accion apoyo transversa'!AW76</f>
        <v>#DIV/0!</v>
      </c>
      <c r="K86" s="615" t="str">
        <f>+'Plan de Accion apoyo transversa'!CF76</f>
        <v>No Prog ni Ejec</v>
      </c>
      <c r="L86" s="615" t="s">
        <v>206</v>
      </c>
      <c r="M86" s="615">
        <f>+'Plan de Accion apoyo transversa'!AY76</f>
        <v>0</v>
      </c>
      <c r="N86" s="615">
        <f t="shared" si="27"/>
        <v>0</v>
      </c>
      <c r="O86" s="615" t="s">
        <v>206</v>
      </c>
      <c r="P86" s="277"/>
      <c r="Q86" s="279" t="e">
        <f>+'Plan de Accion apoyo transversa'!BG76</f>
        <v>#DIV/0!</v>
      </c>
      <c r="R86" s="315" t="str">
        <f>+'Plan de Accion apoyo transversa'!CH76</f>
        <v>No Prog ni Ejec</v>
      </c>
      <c r="S86" s="276" t="s">
        <v>206</v>
      </c>
      <c r="T86" s="373">
        <f>+'Plan de Accion apoyo transversa'!BI76</f>
        <v>0</v>
      </c>
      <c r="U86" s="373">
        <f t="shared" si="24"/>
        <v>0</v>
      </c>
      <c r="V86" s="275" t="s">
        <v>206</v>
      </c>
      <c r="W86" s="278"/>
      <c r="X86" s="279">
        <f>+'Plan de Accion apoyo transversa'!BQ76</f>
        <v>0</v>
      </c>
      <c r="Y86" s="315">
        <f>+'Plan de Accion apoyo transversa'!CJ76</f>
        <v>0</v>
      </c>
      <c r="Z86" s="276">
        <f>IF(Y86&gt;100%,100%,Y86)</f>
        <v>0</v>
      </c>
      <c r="AA86" s="282">
        <f>+'Plan de Accion apoyo transversa'!BS76</f>
        <v>0</v>
      </c>
      <c r="AB86" s="282">
        <f t="shared" si="25"/>
        <v>0</v>
      </c>
      <c r="AC86" s="371">
        <f>+AB86</f>
        <v>0</v>
      </c>
      <c r="AD86" s="277"/>
      <c r="AE86" s="279" t="e">
        <f>+'Plan de Accion apoyo transversa'!CA76</f>
        <v>#DIV/0!</v>
      </c>
      <c r="AF86" s="315" t="str">
        <f>+'Plan de Accion apoyo transversa'!CL76</f>
        <v>No Prog ni Ejec</v>
      </c>
      <c r="AG86" s="276" t="s">
        <v>206</v>
      </c>
      <c r="AH86" s="315">
        <f>+'Plan de Accion apoyo transversa'!CC76</f>
        <v>0</v>
      </c>
      <c r="AI86" s="275">
        <f t="shared" si="26"/>
        <v>0</v>
      </c>
      <c r="AJ86" s="310"/>
      <c r="AK86" s="302"/>
      <c r="AL86" s="308"/>
      <c r="AM86" s="307"/>
      <c r="AN86" s="309"/>
      <c r="AO86" s="308"/>
      <c r="AP86" s="307"/>
      <c r="AQ86" s="309"/>
      <c r="AR86" s="308"/>
      <c r="AS86" s="307"/>
      <c r="AT86" s="309"/>
      <c r="AU86" s="308"/>
      <c r="AV86" s="307"/>
      <c r="AW86" s="301"/>
      <c r="AX86" s="306"/>
      <c r="AY86" s="301"/>
      <c r="AZ86" s="308"/>
      <c r="BA86" s="307"/>
      <c r="BB86" s="309"/>
      <c r="BC86" s="308"/>
      <c r="BD86" s="307"/>
      <c r="BE86" s="309"/>
      <c r="BF86" s="308"/>
      <c r="BG86" s="307"/>
      <c r="BH86" s="309"/>
      <c r="BI86" s="308"/>
      <c r="BJ86" s="307"/>
      <c r="BK86" s="301"/>
      <c r="BL86" s="306"/>
      <c r="BN86" s="308"/>
      <c r="BO86" s="307"/>
      <c r="BP86" s="309"/>
      <c r="BQ86" s="308"/>
      <c r="BR86" s="307"/>
      <c r="BS86" s="309"/>
      <c r="BT86" s="308"/>
      <c r="BU86" s="307"/>
      <c r="BV86" s="309"/>
      <c r="BW86" s="308"/>
      <c r="BX86" s="307"/>
      <c r="BY86" s="301"/>
      <c r="BZ86" s="306"/>
      <c r="CB86" s="308"/>
      <c r="CC86" s="307"/>
      <c r="CD86" s="309"/>
      <c r="CE86" s="308"/>
      <c r="CF86" s="307"/>
      <c r="CG86" s="309"/>
      <c r="CH86" s="308"/>
      <c r="CI86" s="307"/>
      <c r="CJ86" s="309"/>
      <c r="CK86" s="308"/>
      <c r="CL86" s="307"/>
      <c r="CM86" s="301"/>
      <c r="CN86" s="306"/>
    </row>
    <row r="87" spans="2:92" ht="29.25" thickBot="1" x14ac:dyDescent="0.25">
      <c r="B87" s="1077"/>
      <c r="C87" s="973"/>
      <c r="D87" s="943"/>
      <c r="E87" s="952"/>
      <c r="F87" s="1041"/>
      <c r="G87" s="385" t="str">
        <f>+'Plan de Accion apoyo transversa'!X77</f>
        <v>Capacitación de Big Data realizada</v>
      </c>
      <c r="H87" s="961"/>
      <c r="J87" s="279" t="e">
        <f>+'Plan de Accion apoyo transversa'!AW77</f>
        <v>#DIV/0!</v>
      </c>
      <c r="K87" s="615" t="str">
        <f>+'Plan de Accion apoyo transversa'!CF77</f>
        <v>No Prog ni Ejec</v>
      </c>
      <c r="L87" s="615" t="s">
        <v>206</v>
      </c>
      <c r="M87" s="615">
        <f>+'Plan de Accion apoyo transversa'!AY77</f>
        <v>0</v>
      </c>
      <c r="N87" s="615">
        <f t="shared" si="27"/>
        <v>0</v>
      </c>
      <c r="O87" s="615" t="s">
        <v>206</v>
      </c>
      <c r="P87" s="277"/>
      <c r="Q87" s="279">
        <f>+'Plan de Accion apoyo transversa'!BG77</f>
        <v>0</v>
      </c>
      <c r="R87" s="315">
        <f>+'Plan de Accion apoyo transversa'!CH77</f>
        <v>0</v>
      </c>
      <c r="S87" s="276">
        <f>IF(R87&gt;100%,100%,R87)</f>
        <v>0</v>
      </c>
      <c r="T87" s="373">
        <f>+'Plan de Accion apoyo transversa'!BI77</f>
        <v>0</v>
      </c>
      <c r="U87" s="373">
        <f t="shared" si="24"/>
        <v>0</v>
      </c>
      <c r="V87" s="275">
        <f>+U87</f>
        <v>0</v>
      </c>
      <c r="W87" s="278"/>
      <c r="X87" s="279" t="e">
        <f>+'Plan de Accion apoyo transversa'!BQ77</f>
        <v>#DIV/0!</v>
      </c>
      <c r="Y87" s="315" t="str">
        <f>+'Plan de Accion apoyo transversa'!CJ77</f>
        <v>No Prog ni Ejec</v>
      </c>
      <c r="Z87" s="276" t="s">
        <v>206</v>
      </c>
      <c r="AA87" s="282">
        <f>+'Plan de Accion apoyo transversa'!BS77</f>
        <v>0</v>
      </c>
      <c r="AB87" s="282">
        <f t="shared" si="25"/>
        <v>0</v>
      </c>
      <c r="AC87" s="371" t="s">
        <v>206</v>
      </c>
      <c r="AD87" s="277"/>
      <c r="AE87" s="279" t="e">
        <f>+'Plan de Accion apoyo transversa'!CA77</f>
        <v>#DIV/0!</v>
      </c>
      <c r="AF87" s="315" t="str">
        <f>+'Plan de Accion apoyo transversa'!CL77</f>
        <v>No Prog ni Ejec</v>
      </c>
      <c r="AG87" s="276" t="s">
        <v>206</v>
      </c>
      <c r="AH87" s="315">
        <f>+'Plan de Accion apoyo transversa'!CC77</f>
        <v>0</v>
      </c>
      <c r="AI87" s="275">
        <f t="shared" si="26"/>
        <v>0</v>
      </c>
      <c r="AJ87" s="310"/>
      <c r="AK87" s="302"/>
      <c r="AL87" s="308"/>
      <c r="AM87" s="307"/>
      <c r="AN87" s="309"/>
      <c r="AO87" s="308"/>
      <c r="AP87" s="307"/>
      <c r="AQ87" s="309"/>
      <c r="AR87" s="308"/>
      <c r="AS87" s="307"/>
      <c r="AT87" s="309"/>
      <c r="AU87" s="308"/>
      <c r="AV87" s="307"/>
      <c r="AW87" s="301"/>
      <c r="AX87" s="306"/>
      <c r="AY87" s="301"/>
      <c r="AZ87" s="308"/>
      <c r="BA87" s="307"/>
      <c r="BB87" s="309"/>
      <c r="BC87" s="308"/>
      <c r="BD87" s="307"/>
      <c r="BE87" s="309"/>
      <c r="BF87" s="308"/>
      <c r="BG87" s="307"/>
      <c r="BH87" s="309"/>
      <c r="BI87" s="308"/>
      <c r="BJ87" s="307"/>
      <c r="BK87" s="301"/>
      <c r="BL87" s="306"/>
      <c r="BN87" s="308"/>
      <c r="BO87" s="307"/>
      <c r="BP87" s="309"/>
      <c r="BQ87" s="308"/>
      <c r="BR87" s="307"/>
      <c r="BS87" s="309"/>
      <c r="BT87" s="308"/>
      <c r="BU87" s="307"/>
      <c r="BV87" s="309"/>
      <c r="BW87" s="308"/>
      <c r="BX87" s="307"/>
      <c r="BY87" s="301"/>
      <c r="BZ87" s="306"/>
      <c r="CB87" s="308"/>
      <c r="CC87" s="307"/>
      <c r="CD87" s="309"/>
      <c r="CE87" s="308"/>
      <c r="CF87" s="307"/>
      <c r="CG87" s="309"/>
      <c r="CH87" s="308"/>
      <c r="CI87" s="307"/>
      <c r="CJ87" s="309"/>
      <c r="CK87" s="308"/>
      <c r="CL87" s="307"/>
      <c r="CM87" s="301"/>
      <c r="CN87" s="306"/>
    </row>
    <row r="88" spans="2:92" ht="72" thickBot="1" x14ac:dyDescent="0.25">
      <c r="B88" s="1077"/>
      <c r="C88" s="973"/>
      <c r="D88" s="943"/>
      <c r="E88" s="952"/>
      <c r="F88" s="1041"/>
      <c r="G88" s="385" t="str">
        <f>+'Plan de Accion apoyo transversa'!X78</f>
        <v>Capacitación de Finanzas, contabilidad básicas, Presupuesto Público, Gestión Presupuestal EICE realizada</v>
      </c>
      <c r="H88" s="961"/>
      <c r="J88" s="279" t="e">
        <f>+'Plan de Accion apoyo transversa'!AW78</f>
        <v>#DIV/0!</v>
      </c>
      <c r="K88" s="615" t="str">
        <f>+'Plan de Accion apoyo transversa'!CF78</f>
        <v>No Prog ni Ejec</v>
      </c>
      <c r="L88" s="615" t="s">
        <v>206</v>
      </c>
      <c r="M88" s="615">
        <f>+'Plan de Accion apoyo transversa'!AY78</f>
        <v>0</v>
      </c>
      <c r="N88" s="615">
        <f t="shared" si="27"/>
        <v>0</v>
      </c>
      <c r="O88" s="615" t="s">
        <v>206</v>
      </c>
      <c r="P88" s="277"/>
      <c r="Q88" s="279" t="e">
        <f>+'Plan de Accion apoyo transversa'!BG78</f>
        <v>#DIV/0!</v>
      </c>
      <c r="R88" s="315" t="str">
        <f>+'Plan de Accion apoyo transversa'!CH78</f>
        <v>No Prog ni Ejec</v>
      </c>
      <c r="S88" s="276" t="s">
        <v>206</v>
      </c>
      <c r="T88" s="373">
        <f>+'Plan de Accion apoyo transversa'!BI78</f>
        <v>0</v>
      </c>
      <c r="U88" s="373">
        <f t="shared" si="24"/>
        <v>0</v>
      </c>
      <c r="V88" s="275" t="s">
        <v>206</v>
      </c>
      <c r="W88" s="278"/>
      <c r="X88" s="279">
        <f>+'Plan de Accion apoyo transversa'!BQ78</f>
        <v>0</v>
      </c>
      <c r="Y88" s="315">
        <f>+'Plan de Accion apoyo transversa'!CJ78</f>
        <v>0</v>
      </c>
      <c r="Z88" s="276">
        <f>IF(Y88&gt;100%,100%,Y88)</f>
        <v>0</v>
      </c>
      <c r="AA88" s="282">
        <f>+'Plan de Accion apoyo transversa'!BS78</f>
        <v>0</v>
      </c>
      <c r="AB88" s="282">
        <f t="shared" si="25"/>
        <v>0</v>
      </c>
      <c r="AC88" s="371">
        <f t="shared" ref="AC88:AC94" si="28">+AB88</f>
        <v>0</v>
      </c>
      <c r="AD88" s="277"/>
      <c r="AE88" s="279" t="e">
        <f>+'Plan de Accion apoyo transversa'!CA78</f>
        <v>#DIV/0!</v>
      </c>
      <c r="AF88" s="315" t="str">
        <f>+'Plan de Accion apoyo transversa'!CL78</f>
        <v>No Prog ni Ejec</v>
      </c>
      <c r="AG88" s="276" t="s">
        <v>206</v>
      </c>
      <c r="AH88" s="315">
        <f>+'Plan de Accion apoyo transversa'!CC78</f>
        <v>0</v>
      </c>
      <c r="AI88" s="275">
        <f t="shared" si="26"/>
        <v>0</v>
      </c>
      <c r="AJ88" s="310"/>
      <c r="AK88" s="302"/>
      <c r="AL88" s="308"/>
      <c r="AM88" s="307"/>
      <c r="AN88" s="309"/>
      <c r="AO88" s="308"/>
      <c r="AP88" s="307"/>
      <c r="AQ88" s="309"/>
      <c r="AR88" s="308"/>
      <c r="AS88" s="307"/>
      <c r="AT88" s="309"/>
      <c r="AU88" s="308"/>
      <c r="AV88" s="307"/>
      <c r="AW88" s="301"/>
      <c r="AX88" s="306"/>
      <c r="AY88" s="301"/>
      <c r="AZ88" s="308"/>
      <c r="BA88" s="307"/>
      <c r="BB88" s="309"/>
      <c r="BC88" s="308"/>
      <c r="BD88" s="307"/>
      <c r="BE88" s="309"/>
      <c r="BF88" s="308"/>
      <c r="BG88" s="307"/>
      <c r="BH88" s="309"/>
      <c r="BI88" s="308"/>
      <c r="BJ88" s="307"/>
      <c r="BK88" s="301"/>
      <c r="BL88" s="306"/>
      <c r="BN88" s="308"/>
      <c r="BO88" s="307"/>
      <c r="BP88" s="309"/>
      <c r="BQ88" s="308"/>
      <c r="BR88" s="307"/>
      <c r="BS88" s="309"/>
      <c r="BT88" s="308"/>
      <c r="BU88" s="307"/>
      <c r="BV88" s="309"/>
      <c r="BW88" s="308"/>
      <c r="BX88" s="307"/>
      <c r="BY88" s="301"/>
      <c r="BZ88" s="306"/>
      <c r="CB88" s="308"/>
      <c r="CC88" s="307"/>
      <c r="CD88" s="309"/>
      <c r="CE88" s="308"/>
      <c r="CF88" s="307"/>
      <c r="CG88" s="309"/>
      <c r="CH88" s="308"/>
      <c r="CI88" s="307"/>
      <c r="CJ88" s="309"/>
      <c r="CK88" s="308"/>
      <c r="CL88" s="307"/>
      <c r="CM88" s="301"/>
      <c r="CN88" s="306"/>
    </row>
    <row r="89" spans="2:92" ht="29.25" thickBot="1" x14ac:dyDescent="0.25">
      <c r="B89" s="1077"/>
      <c r="C89" s="973"/>
      <c r="D89" s="943"/>
      <c r="E89" s="952"/>
      <c r="F89" s="1041"/>
      <c r="G89" s="385" t="str">
        <f>+'Plan de Accion apoyo transversa'!X79</f>
        <v>Capacitación de Estadística realizada</v>
      </c>
      <c r="H89" s="961"/>
      <c r="J89" s="279" t="e">
        <f>+'Plan de Accion apoyo transversa'!AW79</f>
        <v>#DIV/0!</v>
      </c>
      <c r="K89" s="615" t="str">
        <f>+'Plan de Accion apoyo transversa'!CF79</f>
        <v>No Prog ni Ejec</v>
      </c>
      <c r="L89" s="615" t="s">
        <v>206</v>
      </c>
      <c r="M89" s="615">
        <f>+'Plan de Accion apoyo transversa'!AY79</f>
        <v>0</v>
      </c>
      <c r="N89" s="615">
        <f t="shared" si="27"/>
        <v>0</v>
      </c>
      <c r="O89" s="615" t="s">
        <v>206</v>
      </c>
      <c r="P89" s="277"/>
      <c r="Q89" s="279" t="e">
        <f>+'Plan de Accion apoyo transversa'!BG79</f>
        <v>#DIV/0!</v>
      </c>
      <c r="R89" s="315" t="str">
        <f>+'Plan de Accion apoyo transversa'!CH79</f>
        <v>No Prog ni Ejec</v>
      </c>
      <c r="S89" s="276" t="s">
        <v>206</v>
      </c>
      <c r="T89" s="373">
        <f>+'Plan de Accion apoyo transversa'!BI79</f>
        <v>0</v>
      </c>
      <c r="U89" s="373">
        <f t="shared" si="24"/>
        <v>0</v>
      </c>
      <c r="V89" s="275" t="s">
        <v>206</v>
      </c>
      <c r="W89" s="278"/>
      <c r="X89" s="279" t="e">
        <f>+'Plan de Accion apoyo transversa'!BQ79</f>
        <v>#DIV/0!</v>
      </c>
      <c r="Y89" s="315" t="str">
        <f>+'Plan de Accion apoyo transversa'!CJ79</f>
        <v>No Prog ni Ejec</v>
      </c>
      <c r="Z89" s="276" t="s">
        <v>206</v>
      </c>
      <c r="AA89" s="282">
        <f>+'Plan de Accion apoyo transversa'!BS79</f>
        <v>0</v>
      </c>
      <c r="AB89" s="282">
        <f t="shared" si="25"/>
        <v>0</v>
      </c>
      <c r="AC89" s="371" t="s">
        <v>206</v>
      </c>
      <c r="AD89" s="277"/>
      <c r="AE89" s="279">
        <f>+'Plan de Accion apoyo transversa'!CA79</f>
        <v>0</v>
      </c>
      <c r="AF89" s="315">
        <f>+'Plan de Accion apoyo transversa'!CL79</f>
        <v>0</v>
      </c>
      <c r="AG89" s="276">
        <f>IF(AF89&gt;100%,100%,AF89)</f>
        <v>0</v>
      </c>
      <c r="AH89" s="315">
        <f>+'Plan de Accion apoyo transversa'!CC79</f>
        <v>0</v>
      </c>
      <c r="AI89" s="275">
        <f t="shared" si="26"/>
        <v>0</v>
      </c>
      <c r="AJ89" s="310"/>
      <c r="AK89" s="302"/>
      <c r="AL89" s="308"/>
      <c r="AM89" s="307"/>
      <c r="AN89" s="309"/>
      <c r="AO89" s="308"/>
      <c r="AP89" s="307"/>
      <c r="AQ89" s="309"/>
      <c r="AR89" s="308"/>
      <c r="AS89" s="307"/>
      <c r="AT89" s="309"/>
      <c r="AU89" s="308"/>
      <c r="AV89" s="307"/>
      <c r="AW89" s="301"/>
      <c r="AX89" s="306"/>
      <c r="AY89" s="301"/>
      <c r="AZ89" s="308"/>
      <c r="BA89" s="307"/>
      <c r="BB89" s="309"/>
      <c r="BC89" s="308"/>
      <c r="BD89" s="307"/>
      <c r="BE89" s="309"/>
      <c r="BF89" s="308"/>
      <c r="BG89" s="307"/>
      <c r="BH89" s="309"/>
      <c r="BI89" s="308"/>
      <c r="BJ89" s="307"/>
      <c r="BK89" s="301"/>
      <c r="BL89" s="306"/>
      <c r="BN89" s="308"/>
      <c r="BO89" s="307"/>
      <c r="BP89" s="309"/>
      <c r="BQ89" s="308"/>
      <c r="BR89" s="307"/>
      <c r="BS89" s="309"/>
      <c r="BT89" s="308"/>
      <c r="BU89" s="307"/>
      <c r="BV89" s="309"/>
      <c r="BW89" s="308"/>
      <c r="BX89" s="307"/>
      <c r="BY89" s="301"/>
      <c r="BZ89" s="306"/>
      <c r="CB89" s="308"/>
      <c r="CC89" s="307"/>
      <c r="CD89" s="309"/>
      <c r="CE89" s="308"/>
      <c r="CF89" s="307"/>
      <c r="CG89" s="309"/>
      <c r="CH89" s="308"/>
      <c r="CI89" s="307"/>
      <c r="CJ89" s="309"/>
      <c r="CK89" s="308"/>
      <c r="CL89" s="307"/>
      <c r="CM89" s="301"/>
      <c r="CN89" s="306"/>
    </row>
    <row r="90" spans="2:92" ht="43.5" thickBot="1" x14ac:dyDescent="0.25">
      <c r="B90" s="1077"/>
      <c r="C90" s="973"/>
      <c r="D90" s="943"/>
      <c r="E90" s="952"/>
      <c r="F90" s="1041"/>
      <c r="G90" s="385" t="str">
        <f>+'Plan de Accion apoyo transversa'!X80</f>
        <v>Capacitación de Contratación estatal realizada</v>
      </c>
      <c r="H90" s="961"/>
      <c r="J90" s="279" t="e">
        <f>+'Plan de Accion apoyo transversa'!AW80</f>
        <v>#DIV/0!</v>
      </c>
      <c r="K90" s="615" t="str">
        <f>+'Plan de Accion apoyo transversa'!CF80</f>
        <v>No Prog ni Ejec</v>
      </c>
      <c r="L90" s="615" t="s">
        <v>206</v>
      </c>
      <c r="M90" s="615">
        <f>+'Plan de Accion apoyo transversa'!AY80</f>
        <v>0</v>
      </c>
      <c r="N90" s="615">
        <f t="shared" si="27"/>
        <v>0</v>
      </c>
      <c r="O90" s="615" t="s">
        <v>206</v>
      </c>
      <c r="P90" s="277"/>
      <c r="Q90" s="279" t="e">
        <f>+'Plan de Accion apoyo transversa'!BG80</f>
        <v>#DIV/0!</v>
      </c>
      <c r="R90" s="315" t="str">
        <f>+'Plan de Accion apoyo transversa'!CH80</f>
        <v>No Prog ni Ejec</v>
      </c>
      <c r="S90" s="276" t="s">
        <v>206</v>
      </c>
      <c r="T90" s="373">
        <f>+'Plan de Accion apoyo transversa'!BI80</f>
        <v>0</v>
      </c>
      <c r="U90" s="373">
        <f t="shared" si="24"/>
        <v>0</v>
      </c>
      <c r="V90" s="275" t="s">
        <v>206</v>
      </c>
      <c r="W90" s="278"/>
      <c r="X90" s="279">
        <f>+'Plan de Accion apoyo transversa'!BQ80</f>
        <v>0</v>
      </c>
      <c r="Y90" s="315">
        <f>+'Plan de Accion apoyo transversa'!CJ80</f>
        <v>0</v>
      </c>
      <c r="Z90" s="276">
        <f>IF(Y90&gt;100%,100%,Y90)</f>
        <v>0</v>
      </c>
      <c r="AA90" s="282">
        <f>+'Plan de Accion apoyo transversa'!BS80</f>
        <v>0</v>
      </c>
      <c r="AB90" s="282">
        <f t="shared" si="25"/>
        <v>0</v>
      </c>
      <c r="AC90" s="371">
        <f t="shared" si="28"/>
        <v>0</v>
      </c>
      <c r="AD90" s="277"/>
      <c r="AE90" s="279" t="e">
        <f>+'Plan de Accion apoyo transversa'!CA80</f>
        <v>#DIV/0!</v>
      </c>
      <c r="AF90" s="315" t="str">
        <f>+'Plan de Accion apoyo transversa'!CL80</f>
        <v>No Prog ni Ejec</v>
      </c>
      <c r="AG90" s="276" t="s">
        <v>206</v>
      </c>
      <c r="AH90" s="315">
        <f>+'Plan de Accion apoyo transversa'!CC80</f>
        <v>0</v>
      </c>
      <c r="AI90" s="275">
        <f t="shared" si="26"/>
        <v>0</v>
      </c>
      <c r="AJ90" s="310"/>
      <c r="AK90" s="302"/>
      <c r="AL90" s="308"/>
      <c r="AM90" s="307"/>
      <c r="AN90" s="309"/>
      <c r="AO90" s="308"/>
      <c r="AP90" s="307"/>
      <c r="AQ90" s="309"/>
      <c r="AR90" s="308"/>
      <c r="AS90" s="307"/>
      <c r="AT90" s="309"/>
      <c r="AU90" s="308"/>
      <c r="AV90" s="307"/>
      <c r="AW90" s="301"/>
      <c r="AX90" s="306"/>
      <c r="AY90" s="301"/>
      <c r="AZ90" s="308"/>
      <c r="BA90" s="307"/>
      <c r="BB90" s="309"/>
      <c r="BC90" s="308"/>
      <c r="BD90" s="307"/>
      <c r="BE90" s="309"/>
      <c r="BF90" s="308"/>
      <c r="BG90" s="307"/>
      <c r="BH90" s="309"/>
      <c r="BI90" s="308"/>
      <c r="BJ90" s="307"/>
      <c r="BK90" s="301"/>
      <c r="BL90" s="306"/>
      <c r="BN90" s="308"/>
      <c r="BO90" s="307"/>
      <c r="BP90" s="309"/>
      <c r="BQ90" s="308"/>
      <c r="BR90" s="307"/>
      <c r="BS90" s="309"/>
      <c r="BT90" s="308"/>
      <c r="BU90" s="307"/>
      <c r="BV90" s="309"/>
      <c r="BW90" s="308"/>
      <c r="BX90" s="307"/>
      <c r="BY90" s="301"/>
      <c r="BZ90" s="306"/>
      <c r="CB90" s="308"/>
      <c r="CC90" s="307"/>
      <c r="CD90" s="309"/>
      <c r="CE90" s="308"/>
      <c r="CF90" s="307"/>
      <c r="CG90" s="309"/>
      <c r="CH90" s="308"/>
      <c r="CI90" s="307"/>
      <c r="CJ90" s="309"/>
      <c r="CK90" s="308"/>
      <c r="CL90" s="307"/>
      <c r="CM90" s="301"/>
      <c r="CN90" s="306"/>
    </row>
    <row r="91" spans="2:92" ht="29.25" thickBot="1" x14ac:dyDescent="0.25">
      <c r="B91" s="1077"/>
      <c r="C91" s="973"/>
      <c r="D91" s="943"/>
      <c r="E91" s="952"/>
      <c r="F91" s="1041"/>
      <c r="G91" s="385" t="str">
        <f>+'Plan de Accion apoyo transversa'!X81</f>
        <v>Capacitación de Salud publica realizada</v>
      </c>
      <c r="H91" s="961"/>
      <c r="J91" s="279" t="e">
        <f>+'Plan de Accion apoyo transversa'!AW81</f>
        <v>#DIV/0!</v>
      </c>
      <c r="K91" s="615" t="str">
        <f>+'Plan de Accion apoyo transversa'!CF81</f>
        <v>No Prog ni Ejec</v>
      </c>
      <c r="L91" s="615" t="s">
        <v>206</v>
      </c>
      <c r="M91" s="615">
        <f>+'Plan de Accion apoyo transversa'!AY81</f>
        <v>0</v>
      </c>
      <c r="N91" s="615">
        <f t="shared" si="27"/>
        <v>0</v>
      </c>
      <c r="O91" s="615" t="s">
        <v>206</v>
      </c>
      <c r="P91" s="277"/>
      <c r="Q91" s="279" t="e">
        <f>+'Plan de Accion apoyo transversa'!BG81</f>
        <v>#DIV/0!</v>
      </c>
      <c r="R91" s="315" t="str">
        <f>+'Plan de Accion apoyo transversa'!CH81</f>
        <v>No Prog ni Ejec</v>
      </c>
      <c r="S91" s="276" t="s">
        <v>206</v>
      </c>
      <c r="T91" s="373">
        <f>+'Plan de Accion apoyo transversa'!BI81</f>
        <v>0</v>
      </c>
      <c r="U91" s="373">
        <f t="shared" si="24"/>
        <v>0</v>
      </c>
      <c r="V91" s="275" t="s">
        <v>206</v>
      </c>
      <c r="W91" s="278"/>
      <c r="X91" s="279" t="e">
        <f>+'Plan de Accion apoyo transversa'!BQ81</f>
        <v>#DIV/0!</v>
      </c>
      <c r="Y91" s="315" t="str">
        <f>+'Plan de Accion apoyo transversa'!CJ81</f>
        <v>No Prog ni Ejec</v>
      </c>
      <c r="Z91" s="276" t="s">
        <v>206</v>
      </c>
      <c r="AA91" s="282">
        <f>+'Plan de Accion apoyo transversa'!BS81</f>
        <v>0</v>
      </c>
      <c r="AB91" s="282">
        <f t="shared" si="25"/>
        <v>0</v>
      </c>
      <c r="AC91" s="371" t="s">
        <v>206</v>
      </c>
      <c r="AD91" s="277"/>
      <c r="AE91" s="279">
        <f>+'Plan de Accion apoyo transversa'!CA81</f>
        <v>0</v>
      </c>
      <c r="AF91" s="315">
        <f>+'Plan de Accion apoyo transversa'!CL81</f>
        <v>0</v>
      </c>
      <c r="AG91" s="276">
        <f>IF(AF91&gt;100%,100%,AF91)</f>
        <v>0</v>
      </c>
      <c r="AH91" s="315">
        <f>+'Plan de Accion apoyo transversa'!CC81</f>
        <v>0</v>
      </c>
      <c r="AI91" s="275">
        <f t="shared" si="26"/>
        <v>0</v>
      </c>
      <c r="AJ91" s="310"/>
      <c r="AK91" s="302"/>
      <c r="AL91" s="308"/>
      <c r="AM91" s="307"/>
      <c r="AN91" s="309"/>
      <c r="AO91" s="308"/>
      <c r="AP91" s="307"/>
      <c r="AQ91" s="309"/>
      <c r="AR91" s="308"/>
      <c r="AS91" s="307"/>
      <c r="AT91" s="309"/>
      <c r="AU91" s="308"/>
      <c r="AV91" s="307"/>
      <c r="AW91" s="301"/>
      <c r="AX91" s="306"/>
      <c r="AY91" s="301"/>
      <c r="AZ91" s="308"/>
      <c r="BA91" s="307"/>
      <c r="BB91" s="309"/>
      <c r="BC91" s="308"/>
      <c r="BD91" s="307"/>
      <c r="BE91" s="309"/>
      <c r="BF91" s="308"/>
      <c r="BG91" s="307"/>
      <c r="BH91" s="309"/>
      <c r="BI91" s="308"/>
      <c r="BJ91" s="307"/>
      <c r="BK91" s="301"/>
      <c r="BL91" s="306"/>
      <c r="BN91" s="308"/>
      <c r="BO91" s="307"/>
      <c r="BP91" s="309"/>
      <c r="BQ91" s="308"/>
      <c r="BR91" s="307"/>
      <c r="BS91" s="309"/>
      <c r="BT91" s="308"/>
      <c r="BU91" s="307"/>
      <c r="BV91" s="309"/>
      <c r="BW91" s="308"/>
      <c r="BX91" s="307"/>
      <c r="BY91" s="301"/>
      <c r="BZ91" s="306"/>
      <c r="CB91" s="308"/>
      <c r="CC91" s="307"/>
      <c r="CD91" s="309"/>
      <c r="CE91" s="308"/>
      <c r="CF91" s="307"/>
      <c r="CG91" s="309"/>
      <c r="CH91" s="308"/>
      <c r="CI91" s="307"/>
      <c r="CJ91" s="309"/>
      <c r="CK91" s="308"/>
      <c r="CL91" s="307"/>
      <c r="CM91" s="301"/>
      <c r="CN91" s="306"/>
    </row>
    <row r="92" spans="2:92" ht="43.5" thickBot="1" x14ac:dyDescent="0.25">
      <c r="B92" s="1077"/>
      <c r="C92" s="973"/>
      <c r="D92" s="943"/>
      <c r="E92" s="952"/>
      <c r="F92" s="1041"/>
      <c r="G92" s="385" t="str">
        <f>+'Plan de Accion apoyo transversa'!X82</f>
        <v>Capacitación de Trabajo en equipo, comunicación asertiva realizada.</v>
      </c>
      <c r="H92" s="961"/>
      <c r="J92" s="279" t="e">
        <f>+'Plan de Accion apoyo transversa'!AW82</f>
        <v>#DIV/0!</v>
      </c>
      <c r="K92" s="615" t="str">
        <f>+'Plan de Accion apoyo transversa'!CF82</f>
        <v>No Prog ni Ejec</v>
      </c>
      <c r="L92" s="615" t="s">
        <v>206</v>
      </c>
      <c r="M92" s="615">
        <f>+'Plan de Accion apoyo transversa'!AY82</f>
        <v>0</v>
      </c>
      <c r="N92" s="615">
        <f t="shared" si="27"/>
        <v>0</v>
      </c>
      <c r="O92" s="615" t="s">
        <v>206</v>
      </c>
      <c r="P92" s="277"/>
      <c r="Q92" s="279">
        <f>+'Plan de Accion apoyo transversa'!BG82</f>
        <v>0</v>
      </c>
      <c r="R92" s="315">
        <f>+'Plan de Accion apoyo transversa'!CH82</f>
        <v>0</v>
      </c>
      <c r="S92" s="276">
        <f>IF(R92&gt;100%,100%,R92)</f>
        <v>0</v>
      </c>
      <c r="T92" s="373">
        <f>+'Plan de Accion apoyo transversa'!BI82</f>
        <v>0</v>
      </c>
      <c r="U92" s="373">
        <f t="shared" si="24"/>
        <v>0</v>
      </c>
      <c r="V92" s="275">
        <f t="shared" ref="V92:V120" si="29">+U92</f>
        <v>0</v>
      </c>
      <c r="W92" s="278"/>
      <c r="X92" s="279" t="e">
        <f>+'Plan de Accion apoyo transversa'!BQ82</f>
        <v>#DIV/0!</v>
      </c>
      <c r="Y92" s="315" t="str">
        <f>+'Plan de Accion apoyo transversa'!CJ82</f>
        <v>No Prog ni Ejec</v>
      </c>
      <c r="Z92" s="276" t="s">
        <v>206</v>
      </c>
      <c r="AA92" s="282">
        <f>+'Plan de Accion apoyo transversa'!BS82</f>
        <v>0</v>
      </c>
      <c r="AB92" s="282">
        <f t="shared" si="25"/>
        <v>0</v>
      </c>
      <c r="AC92" s="371">
        <f t="shared" si="28"/>
        <v>0</v>
      </c>
      <c r="AD92" s="277"/>
      <c r="AE92" s="279" t="e">
        <f>+'Plan de Accion apoyo transversa'!CA82</f>
        <v>#DIV/0!</v>
      </c>
      <c r="AF92" s="315" t="str">
        <f>+'Plan de Accion apoyo transversa'!CL82</f>
        <v>No Prog ni Ejec</v>
      </c>
      <c r="AG92" s="276" t="s">
        <v>206</v>
      </c>
      <c r="AH92" s="315">
        <f>+'Plan de Accion apoyo transversa'!CC82</f>
        <v>0</v>
      </c>
      <c r="AI92" s="275">
        <f t="shared" si="26"/>
        <v>0</v>
      </c>
      <c r="AJ92" s="310"/>
      <c r="AK92" s="302"/>
      <c r="AL92" s="308"/>
      <c r="AM92" s="307"/>
      <c r="AN92" s="309"/>
      <c r="AO92" s="308"/>
      <c r="AP92" s="307"/>
      <c r="AQ92" s="309"/>
      <c r="AR92" s="308"/>
      <c r="AS92" s="307"/>
      <c r="AT92" s="309"/>
      <c r="AU92" s="308"/>
      <c r="AV92" s="307"/>
      <c r="AW92" s="301"/>
      <c r="AX92" s="306"/>
      <c r="AY92" s="301"/>
      <c r="AZ92" s="308"/>
      <c r="BA92" s="307"/>
      <c r="BB92" s="309"/>
      <c r="BC92" s="308"/>
      <c r="BD92" s="307"/>
      <c r="BE92" s="309"/>
      <c r="BF92" s="308"/>
      <c r="BG92" s="307"/>
      <c r="BH92" s="309"/>
      <c r="BI92" s="308"/>
      <c r="BJ92" s="307"/>
      <c r="BK92" s="301"/>
      <c r="BL92" s="306"/>
      <c r="BN92" s="308"/>
      <c r="BO92" s="307"/>
      <c r="BP92" s="309"/>
      <c r="BQ92" s="308"/>
      <c r="BR92" s="307"/>
      <c r="BS92" s="309"/>
      <c r="BT92" s="308"/>
      <c r="BU92" s="307"/>
      <c r="BV92" s="309"/>
      <c r="BW92" s="308"/>
      <c r="BX92" s="307"/>
      <c r="BY92" s="301"/>
      <c r="BZ92" s="306"/>
      <c r="CB92" s="308"/>
      <c r="CC92" s="307"/>
      <c r="CD92" s="309"/>
      <c r="CE92" s="308"/>
      <c r="CF92" s="307"/>
      <c r="CG92" s="309"/>
      <c r="CH92" s="308"/>
      <c r="CI92" s="307"/>
      <c r="CJ92" s="309"/>
      <c r="CK92" s="308"/>
      <c r="CL92" s="307"/>
      <c r="CM92" s="301"/>
      <c r="CN92" s="306"/>
    </row>
    <row r="93" spans="2:92" ht="29.25" thickBot="1" x14ac:dyDescent="0.25">
      <c r="B93" s="1077"/>
      <c r="C93" s="973"/>
      <c r="D93" s="943"/>
      <c r="E93" s="952"/>
      <c r="F93" s="1041"/>
      <c r="G93" s="385" t="str">
        <f>+'Plan de Accion apoyo transversa'!X83</f>
        <v>Capacitación de Redacción realizada</v>
      </c>
      <c r="H93" s="961"/>
      <c r="J93" s="279" t="e">
        <f>+'Plan de Accion apoyo transversa'!AW83</f>
        <v>#DIV/0!</v>
      </c>
      <c r="K93" s="615" t="str">
        <f>+'Plan de Accion apoyo transversa'!CF83</f>
        <v>No Prog ni Ejec</v>
      </c>
      <c r="L93" s="615" t="s">
        <v>206</v>
      </c>
      <c r="M93" s="615">
        <f>+'Plan de Accion apoyo transversa'!AY83</f>
        <v>0</v>
      </c>
      <c r="N93" s="615">
        <f t="shared" si="27"/>
        <v>0</v>
      </c>
      <c r="O93" s="615" t="s">
        <v>206</v>
      </c>
      <c r="P93" s="277"/>
      <c r="Q93" s="279">
        <f>+'Plan de Accion apoyo transversa'!BG83</f>
        <v>0</v>
      </c>
      <c r="R93" s="315">
        <f>+'Plan de Accion apoyo transversa'!CH83</f>
        <v>0</v>
      </c>
      <c r="S93" s="276">
        <f>IF(R93&gt;100%,100%,R93)</f>
        <v>0</v>
      </c>
      <c r="T93" s="373">
        <f>+'Plan de Accion apoyo transversa'!BI83</f>
        <v>0</v>
      </c>
      <c r="U93" s="373">
        <f t="shared" si="24"/>
        <v>0</v>
      </c>
      <c r="V93" s="275">
        <f t="shared" si="29"/>
        <v>0</v>
      </c>
      <c r="W93" s="278"/>
      <c r="X93" s="279" t="e">
        <f>+'Plan de Accion apoyo transversa'!BQ83</f>
        <v>#DIV/0!</v>
      </c>
      <c r="Y93" s="315" t="str">
        <f>+'Plan de Accion apoyo transversa'!CJ83</f>
        <v>No Prog ni Ejec</v>
      </c>
      <c r="Z93" s="276" t="s">
        <v>206</v>
      </c>
      <c r="AA93" s="282">
        <f>+'Plan de Accion apoyo transversa'!BS83</f>
        <v>0</v>
      </c>
      <c r="AB93" s="282">
        <f t="shared" si="25"/>
        <v>0</v>
      </c>
      <c r="AC93" s="371">
        <f t="shared" si="28"/>
        <v>0</v>
      </c>
      <c r="AD93" s="277"/>
      <c r="AE93" s="279" t="e">
        <f>+'Plan de Accion apoyo transversa'!CA83</f>
        <v>#DIV/0!</v>
      </c>
      <c r="AF93" s="315" t="str">
        <f>+'Plan de Accion apoyo transversa'!CL83</f>
        <v>No Prog ni Ejec</v>
      </c>
      <c r="AG93" s="276" t="s">
        <v>206</v>
      </c>
      <c r="AH93" s="315">
        <f>+'Plan de Accion apoyo transversa'!CC83</f>
        <v>0</v>
      </c>
      <c r="AI93" s="275">
        <f t="shared" si="26"/>
        <v>0</v>
      </c>
      <c r="AJ93" s="310"/>
      <c r="AK93" s="302"/>
      <c r="AL93" s="308"/>
      <c r="AM93" s="307"/>
      <c r="AN93" s="309"/>
      <c r="AO93" s="308"/>
      <c r="AP93" s="307"/>
      <c r="AQ93" s="309"/>
      <c r="AR93" s="308"/>
      <c r="AS93" s="307"/>
      <c r="AT93" s="309"/>
      <c r="AU93" s="308"/>
      <c r="AV93" s="307"/>
      <c r="AW93" s="301"/>
      <c r="AX93" s="306"/>
      <c r="AY93" s="301"/>
      <c r="AZ93" s="308"/>
      <c r="BA93" s="307"/>
      <c r="BB93" s="309"/>
      <c r="BC93" s="308"/>
      <c r="BD93" s="307"/>
      <c r="BE93" s="309"/>
      <c r="BF93" s="308"/>
      <c r="BG93" s="307"/>
      <c r="BH93" s="309"/>
      <c r="BI93" s="308"/>
      <c r="BJ93" s="307"/>
      <c r="BK93" s="301"/>
      <c r="BL93" s="306"/>
      <c r="BN93" s="308"/>
      <c r="BO93" s="307"/>
      <c r="BP93" s="309"/>
      <c r="BQ93" s="308"/>
      <c r="BR93" s="307"/>
      <c r="BS93" s="309"/>
      <c r="BT93" s="308"/>
      <c r="BU93" s="307"/>
      <c r="BV93" s="309"/>
      <c r="BW93" s="308"/>
      <c r="BX93" s="307"/>
      <c r="BY93" s="301"/>
      <c r="BZ93" s="306"/>
      <c r="CB93" s="308"/>
      <c r="CC93" s="307"/>
      <c r="CD93" s="309"/>
      <c r="CE93" s="308"/>
      <c r="CF93" s="307"/>
      <c r="CG93" s="309"/>
      <c r="CH93" s="308"/>
      <c r="CI93" s="307"/>
      <c r="CJ93" s="309"/>
      <c r="CK93" s="308"/>
      <c r="CL93" s="307"/>
      <c r="CM93" s="301"/>
      <c r="CN93" s="306"/>
    </row>
    <row r="94" spans="2:92" ht="29.25" thickBot="1" x14ac:dyDescent="0.25">
      <c r="B94" s="1077"/>
      <c r="C94" s="973"/>
      <c r="D94" s="943"/>
      <c r="E94" s="952"/>
      <c r="F94" s="1041"/>
      <c r="G94" s="385" t="str">
        <f>+'Plan de Accion apoyo transversa'!X84</f>
        <v>Capacitación de Código de Integridad realizada</v>
      </c>
      <c r="H94" s="961"/>
      <c r="J94" s="279" t="e">
        <f>+'Plan de Accion apoyo transversa'!AW84</f>
        <v>#DIV/0!</v>
      </c>
      <c r="K94" s="615" t="str">
        <f>+'Plan de Accion apoyo transversa'!CF84</f>
        <v>No Prog ni Ejec</v>
      </c>
      <c r="L94" s="615" t="s">
        <v>206</v>
      </c>
      <c r="M94" s="615">
        <f>+'Plan de Accion apoyo transversa'!AY84</f>
        <v>0</v>
      </c>
      <c r="N94" s="615">
        <f t="shared" si="27"/>
        <v>0</v>
      </c>
      <c r="O94" s="615" t="s">
        <v>206</v>
      </c>
      <c r="P94" s="277"/>
      <c r="Q94" s="279">
        <f>+'Plan de Accion apoyo transversa'!BG84</f>
        <v>0</v>
      </c>
      <c r="R94" s="315">
        <f>+'Plan de Accion apoyo transversa'!CH84</f>
        <v>0</v>
      </c>
      <c r="S94" s="276">
        <f>IF(R94&gt;100%,100%,R94)</f>
        <v>0</v>
      </c>
      <c r="T94" s="373">
        <f>+'Plan de Accion apoyo transversa'!BI84</f>
        <v>0</v>
      </c>
      <c r="U94" s="373">
        <f t="shared" si="24"/>
        <v>0</v>
      </c>
      <c r="V94" s="275">
        <f t="shared" si="29"/>
        <v>0</v>
      </c>
      <c r="W94" s="278"/>
      <c r="X94" s="279" t="e">
        <f>+'Plan de Accion apoyo transversa'!BQ84</f>
        <v>#DIV/0!</v>
      </c>
      <c r="Y94" s="315" t="str">
        <f>+'Plan de Accion apoyo transversa'!CJ84</f>
        <v>No Prog ni Ejec</v>
      </c>
      <c r="Z94" s="276" t="s">
        <v>206</v>
      </c>
      <c r="AA94" s="282">
        <f>+'Plan de Accion apoyo transversa'!BS84</f>
        <v>0</v>
      </c>
      <c r="AB94" s="282">
        <f t="shared" si="25"/>
        <v>0</v>
      </c>
      <c r="AC94" s="371">
        <f t="shared" si="28"/>
        <v>0</v>
      </c>
      <c r="AD94" s="277"/>
      <c r="AE94" s="279" t="e">
        <f>+'Plan de Accion apoyo transversa'!CA84</f>
        <v>#DIV/0!</v>
      </c>
      <c r="AF94" s="315" t="str">
        <f>+'Plan de Accion apoyo transversa'!CL84</f>
        <v>No Prog ni Ejec</v>
      </c>
      <c r="AG94" s="276" t="s">
        <v>206</v>
      </c>
      <c r="AH94" s="315">
        <f>+'Plan de Accion apoyo transversa'!CC84</f>
        <v>0</v>
      </c>
      <c r="AI94" s="275">
        <f t="shared" si="26"/>
        <v>0</v>
      </c>
      <c r="AJ94" s="310"/>
      <c r="AK94" s="302"/>
      <c r="AL94" s="308"/>
      <c r="AM94" s="307"/>
      <c r="AN94" s="309"/>
      <c r="AO94" s="308"/>
      <c r="AP94" s="307"/>
      <c r="AQ94" s="309"/>
      <c r="AR94" s="308"/>
      <c r="AS94" s="307"/>
      <c r="AT94" s="309"/>
      <c r="AU94" s="308"/>
      <c r="AV94" s="307"/>
      <c r="AW94" s="301"/>
      <c r="AX94" s="306"/>
      <c r="AY94" s="301"/>
      <c r="AZ94" s="308"/>
      <c r="BA94" s="307"/>
      <c r="BB94" s="309"/>
      <c r="BC94" s="308"/>
      <c r="BD94" s="307"/>
      <c r="BE94" s="309"/>
      <c r="BF94" s="308"/>
      <c r="BG94" s="307"/>
      <c r="BH94" s="309"/>
      <c r="BI94" s="308"/>
      <c r="BJ94" s="307"/>
      <c r="BK94" s="301"/>
      <c r="BL94" s="306"/>
      <c r="BN94" s="308"/>
      <c r="BO94" s="307"/>
      <c r="BP94" s="309"/>
      <c r="BQ94" s="308"/>
      <c r="BR94" s="307"/>
      <c r="BS94" s="309"/>
      <c r="BT94" s="308"/>
      <c r="BU94" s="307"/>
      <c r="BV94" s="309"/>
      <c r="BW94" s="308"/>
      <c r="BX94" s="307"/>
      <c r="BY94" s="301"/>
      <c r="BZ94" s="306"/>
      <c r="CB94" s="308"/>
      <c r="CC94" s="307"/>
      <c r="CD94" s="309"/>
      <c r="CE94" s="308"/>
      <c r="CF94" s="307"/>
      <c r="CG94" s="309"/>
      <c r="CH94" s="308"/>
      <c r="CI94" s="307"/>
      <c r="CJ94" s="309"/>
      <c r="CK94" s="308"/>
      <c r="CL94" s="307"/>
      <c r="CM94" s="301"/>
      <c r="CN94" s="306"/>
    </row>
    <row r="95" spans="2:92" ht="21" customHeight="1" thickBot="1" x14ac:dyDescent="0.25">
      <c r="B95" s="1077"/>
      <c r="C95" s="973"/>
      <c r="D95" s="943"/>
      <c r="E95" s="952"/>
      <c r="F95" s="1041" t="s">
        <v>1295</v>
      </c>
      <c r="G95" s="385" t="str">
        <f>+'Plan de Accion apoyo transversa'!X93</f>
        <v>Olimpiada deportiva de Microfútbol</v>
      </c>
      <c r="H95" s="961"/>
      <c r="J95" s="279" t="e">
        <f>+'Plan de Accion apoyo transversa'!AW93</f>
        <v>#DIV/0!</v>
      </c>
      <c r="K95" s="615" t="str">
        <f>+'Plan de Accion apoyo transversa'!CF93</f>
        <v>No Prog ni Ejec</v>
      </c>
      <c r="L95" s="615" t="s">
        <v>206</v>
      </c>
      <c r="M95" s="615">
        <f>+'Plan de Accion apoyo transversa'!AY93</f>
        <v>0</v>
      </c>
      <c r="N95" s="615">
        <f t="shared" si="27"/>
        <v>0</v>
      </c>
      <c r="O95" s="615" t="s">
        <v>206</v>
      </c>
      <c r="P95" s="277"/>
      <c r="Q95" s="279">
        <f>+'Plan de Accion apoyo transversa'!BG93</f>
        <v>0</v>
      </c>
      <c r="R95" s="315">
        <f>+'Plan de Accion apoyo transversa'!CH93</f>
        <v>0</v>
      </c>
      <c r="S95" s="276">
        <f>IF(R95&gt;100%,100%,R95)</f>
        <v>0</v>
      </c>
      <c r="T95" s="373">
        <f>+'Plan de Accion apoyo transversa'!BI93</f>
        <v>0</v>
      </c>
      <c r="U95" s="373">
        <f t="shared" si="24"/>
        <v>0</v>
      </c>
      <c r="V95" s="275">
        <f t="shared" si="29"/>
        <v>0</v>
      </c>
      <c r="W95" s="278"/>
      <c r="X95" s="279" t="e">
        <f>+'Plan de Accion apoyo transversa'!BQ93</f>
        <v>#DIV/0!</v>
      </c>
      <c r="Y95" s="315" t="str">
        <f>+'Plan de Accion apoyo transversa'!CJ93</f>
        <v>No Prog ni Ejec</v>
      </c>
      <c r="Z95" s="276" t="s">
        <v>206</v>
      </c>
      <c r="AA95" s="282">
        <f>+'Plan de Accion apoyo transversa'!BS93</f>
        <v>0</v>
      </c>
      <c r="AB95" s="282">
        <f t="shared" si="25"/>
        <v>0</v>
      </c>
      <c r="AC95" s="371">
        <f>+AB95</f>
        <v>0</v>
      </c>
      <c r="AD95" s="277"/>
      <c r="AE95" s="279" t="e">
        <f>+'Plan de Accion apoyo transversa'!CA93</f>
        <v>#DIV/0!</v>
      </c>
      <c r="AF95" s="315" t="str">
        <f>+'Plan de Accion apoyo transversa'!CL93</f>
        <v>No Prog ni Ejec</v>
      </c>
      <c r="AG95" s="276" t="s">
        <v>206</v>
      </c>
      <c r="AH95" s="315">
        <f>+'Plan de Accion apoyo transversa'!CC93</f>
        <v>0</v>
      </c>
      <c r="AI95" s="275">
        <f t="shared" si="26"/>
        <v>0</v>
      </c>
      <c r="AJ95" s="310"/>
      <c r="AK95" s="302"/>
      <c r="AL95" s="308"/>
      <c r="AM95" s="307"/>
      <c r="AN95" s="309"/>
      <c r="AO95" s="308"/>
      <c r="AP95" s="307"/>
      <c r="AQ95" s="309"/>
      <c r="AR95" s="308"/>
      <c r="AS95" s="307"/>
      <c r="AT95" s="309"/>
      <c r="AU95" s="308"/>
      <c r="AV95" s="307"/>
      <c r="AW95" s="301"/>
      <c r="AX95" s="306"/>
      <c r="AY95" s="301"/>
      <c r="AZ95" s="308"/>
      <c r="BA95" s="307"/>
      <c r="BB95" s="309"/>
      <c r="BC95" s="308"/>
      <c r="BD95" s="307"/>
      <c r="BE95" s="309"/>
      <c r="BF95" s="308"/>
      <c r="BG95" s="307"/>
      <c r="BH95" s="309"/>
      <c r="BI95" s="308"/>
      <c r="BJ95" s="307"/>
      <c r="BK95" s="301"/>
      <c r="BL95" s="306"/>
      <c r="BN95" s="308"/>
      <c r="BO95" s="307"/>
      <c r="BP95" s="309"/>
      <c r="BQ95" s="308"/>
      <c r="BR95" s="307"/>
      <c r="BS95" s="309"/>
      <c r="BT95" s="308"/>
      <c r="BU95" s="307"/>
      <c r="BV95" s="309"/>
      <c r="BW95" s="308"/>
      <c r="BX95" s="307"/>
      <c r="BY95" s="301"/>
      <c r="BZ95" s="306"/>
      <c r="CB95" s="308"/>
      <c r="CC95" s="307"/>
      <c r="CD95" s="309"/>
      <c r="CE95" s="308"/>
      <c r="CF95" s="307"/>
      <c r="CG95" s="309"/>
      <c r="CH95" s="308"/>
      <c r="CI95" s="307"/>
      <c r="CJ95" s="309"/>
      <c r="CK95" s="308"/>
      <c r="CL95" s="307"/>
      <c r="CM95" s="301"/>
      <c r="CN95" s="306"/>
    </row>
    <row r="96" spans="2:92" ht="21" customHeight="1" thickBot="1" x14ac:dyDescent="0.25">
      <c r="B96" s="1077"/>
      <c r="C96" s="973"/>
      <c r="D96" s="943"/>
      <c r="E96" s="952"/>
      <c r="F96" s="1041"/>
      <c r="G96" s="385" t="str">
        <f>+'Plan de Accion apoyo transversa'!X94</f>
        <v>Olimpiada deportiva de Voleibol</v>
      </c>
      <c r="H96" s="961"/>
      <c r="J96" s="279" t="e">
        <f>+'Plan de Accion apoyo transversa'!AW94</f>
        <v>#DIV/0!</v>
      </c>
      <c r="K96" s="615" t="str">
        <f>+'Plan de Accion apoyo transversa'!CF94</f>
        <v>No Prog ni Ejec</v>
      </c>
      <c r="L96" s="615" t="s">
        <v>206</v>
      </c>
      <c r="M96" s="615">
        <f>+'Plan de Accion apoyo transversa'!AY94</f>
        <v>0</v>
      </c>
      <c r="N96" s="615">
        <f t="shared" si="27"/>
        <v>0</v>
      </c>
      <c r="O96" s="615" t="s">
        <v>206</v>
      </c>
      <c r="P96" s="277"/>
      <c r="Q96" s="279">
        <f>+'Plan de Accion apoyo transversa'!BG94</f>
        <v>0</v>
      </c>
      <c r="R96" s="315">
        <f>+'Plan de Accion apoyo transversa'!CH94</f>
        <v>0</v>
      </c>
      <c r="S96" s="276">
        <f>IF(R96&gt;100%,100%,R96)</f>
        <v>0</v>
      </c>
      <c r="T96" s="373">
        <f>+'Plan de Accion apoyo transversa'!BI94</f>
        <v>0</v>
      </c>
      <c r="U96" s="373">
        <f t="shared" si="24"/>
        <v>0</v>
      </c>
      <c r="V96" s="275">
        <f t="shared" si="29"/>
        <v>0</v>
      </c>
      <c r="W96" s="278"/>
      <c r="X96" s="279" t="e">
        <f>+'Plan de Accion apoyo transversa'!BQ94</f>
        <v>#DIV/0!</v>
      </c>
      <c r="Y96" s="315" t="str">
        <f>+'Plan de Accion apoyo transversa'!CJ94</f>
        <v>No Prog ni Ejec</v>
      </c>
      <c r="Z96" s="276" t="s">
        <v>206</v>
      </c>
      <c r="AA96" s="282">
        <f>+'Plan de Accion apoyo transversa'!BS94</f>
        <v>0</v>
      </c>
      <c r="AB96" s="282">
        <f t="shared" si="25"/>
        <v>0</v>
      </c>
      <c r="AC96" s="371">
        <f t="shared" ref="AC96:AC118" si="30">+AB96</f>
        <v>0</v>
      </c>
      <c r="AD96" s="277"/>
      <c r="AE96" s="279" t="e">
        <f>+'Plan de Accion apoyo transversa'!CA94</f>
        <v>#DIV/0!</v>
      </c>
      <c r="AF96" s="315" t="str">
        <f>+'Plan de Accion apoyo transversa'!CL94</f>
        <v>No Prog ni Ejec</v>
      </c>
      <c r="AG96" s="276" t="s">
        <v>206</v>
      </c>
      <c r="AH96" s="315">
        <f>+'Plan de Accion apoyo transversa'!CC94</f>
        <v>0</v>
      </c>
      <c r="AI96" s="275">
        <f t="shared" si="26"/>
        <v>0</v>
      </c>
      <c r="AJ96" s="310"/>
      <c r="AK96" s="302"/>
      <c r="AL96" s="308"/>
      <c r="AM96" s="307"/>
      <c r="AN96" s="309"/>
      <c r="AO96" s="308"/>
      <c r="AP96" s="307"/>
      <c r="AQ96" s="309"/>
      <c r="AR96" s="308"/>
      <c r="AS96" s="307"/>
      <c r="AT96" s="309"/>
      <c r="AU96" s="308"/>
      <c r="AV96" s="307"/>
      <c r="AW96" s="301"/>
      <c r="AX96" s="306"/>
      <c r="AY96" s="301"/>
      <c r="AZ96" s="308"/>
      <c r="BA96" s="307"/>
      <c r="BB96" s="309"/>
      <c r="BC96" s="308"/>
      <c r="BD96" s="307"/>
      <c r="BE96" s="309"/>
      <c r="BF96" s="308"/>
      <c r="BG96" s="307"/>
      <c r="BH96" s="309"/>
      <c r="BI96" s="308"/>
      <c r="BJ96" s="307"/>
      <c r="BK96" s="301"/>
      <c r="BL96" s="306"/>
      <c r="BN96" s="308"/>
      <c r="BO96" s="307"/>
      <c r="BP96" s="309"/>
      <c r="BQ96" s="308"/>
      <c r="BR96" s="307"/>
      <c r="BS96" s="309"/>
      <c r="BT96" s="308"/>
      <c r="BU96" s="307"/>
      <c r="BV96" s="309"/>
      <c r="BW96" s="308"/>
      <c r="BX96" s="307"/>
      <c r="BY96" s="301"/>
      <c r="BZ96" s="306"/>
      <c r="CB96" s="308"/>
      <c r="CC96" s="307"/>
      <c r="CD96" s="309"/>
      <c r="CE96" s="308"/>
      <c r="CF96" s="307"/>
      <c r="CG96" s="309"/>
      <c r="CH96" s="308"/>
      <c r="CI96" s="307"/>
      <c r="CJ96" s="309"/>
      <c r="CK96" s="308"/>
      <c r="CL96" s="307"/>
      <c r="CM96" s="301"/>
      <c r="CN96" s="306"/>
    </row>
    <row r="97" spans="2:96" ht="29.25" thickBot="1" x14ac:dyDescent="0.25">
      <c r="B97" s="1077"/>
      <c r="C97" s="973"/>
      <c r="D97" s="943"/>
      <c r="E97" s="952"/>
      <c r="F97" s="1041"/>
      <c r="G97" s="385" t="str">
        <f>+'Plan de Accion apoyo transversa'!X95</f>
        <v>Olimpiada deportiva de Tenis de mesa</v>
      </c>
      <c r="H97" s="961"/>
      <c r="J97" s="279" t="e">
        <f>+'Plan de Accion apoyo transversa'!AW95</f>
        <v>#DIV/0!</v>
      </c>
      <c r="K97" s="615" t="str">
        <f>+'Plan de Accion apoyo transversa'!CF95</f>
        <v>No Prog ni Ejec</v>
      </c>
      <c r="L97" s="615" t="s">
        <v>206</v>
      </c>
      <c r="M97" s="615">
        <f>+'Plan de Accion apoyo transversa'!AY95</f>
        <v>0</v>
      </c>
      <c r="N97" s="615">
        <f t="shared" si="27"/>
        <v>0</v>
      </c>
      <c r="O97" s="615" t="s">
        <v>206</v>
      </c>
      <c r="P97" s="277"/>
      <c r="Q97" s="279" t="e">
        <f>+'Plan de Accion apoyo transversa'!BG95</f>
        <v>#DIV/0!</v>
      </c>
      <c r="R97" s="315" t="str">
        <f>+'Plan de Accion apoyo transversa'!CH95</f>
        <v>No Prog ni Ejec</v>
      </c>
      <c r="S97" s="276" t="s">
        <v>206</v>
      </c>
      <c r="T97" s="373">
        <f>+'Plan de Accion apoyo transversa'!BI95</f>
        <v>0</v>
      </c>
      <c r="U97" s="373">
        <f t="shared" si="24"/>
        <v>0</v>
      </c>
      <c r="V97" s="275" t="s">
        <v>206</v>
      </c>
      <c r="W97" s="278"/>
      <c r="X97" s="279">
        <f>+'Plan de Accion apoyo transversa'!BQ95</f>
        <v>0</v>
      </c>
      <c r="Y97" s="315">
        <f>+'Plan de Accion apoyo transversa'!CJ95</f>
        <v>0</v>
      </c>
      <c r="Z97" s="276">
        <f>IF(Y97&gt;100%,100%,Y97)</f>
        <v>0</v>
      </c>
      <c r="AA97" s="282">
        <f>+'Plan de Accion apoyo transversa'!BS95</f>
        <v>0</v>
      </c>
      <c r="AB97" s="282">
        <f t="shared" si="25"/>
        <v>0</v>
      </c>
      <c r="AC97" s="371">
        <f t="shared" si="30"/>
        <v>0</v>
      </c>
      <c r="AD97" s="277"/>
      <c r="AE97" s="279" t="e">
        <f>+'Plan de Accion apoyo transversa'!CA95</f>
        <v>#DIV/0!</v>
      </c>
      <c r="AF97" s="315" t="str">
        <f>+'Plan de Accion apoyo transversa'!CL95</f>
        <v>No Prog ni Ejec</v>
      </c>
      <c r="AG97" s="276" t="s">
        <v>206</v>
      </c>
      <c r="AH97" s="315">
        <f>+'Plan de Accion apoyo transversa'!CC95</f>
        <v>0</v>
      </c>
      <c r="AI97" s="275">
        <f t="shared" si="26"/>
        <v>0</v>
      </c>
      <c r="AJ97" s="310"/>
      <c r="AK97" s="302"/>
      <c r="AL97" s="308"/>
      <c r="AM97" s="307"/>
      <c r="AN97" s="309"/>
      <c r="AO97" s="308"/>
      <c r="AP97" s="307"/>
      <c r="AQ97" s="309"/>
      <c r="AR97" s="308"/>
      <c r="AS97" s="307"/>
      <c r="AT97" s="309"/>
      <c r="AU97" s="308"/>
      <c r="AV97" s="307"/>
      <c r="AW97" s="301"/>
      <c r="AX97" s="306"/>
      <c r="AY97" s="301"/>
      <c r="AZ97" s="308"/>
      <c r="BA97" s="307"/>
      <c r="BB97" s="309"/>
      <c r="BC97" s="308"/>
      <c r="BD97" s="307"/>
      <c r="BE97" s="309"/>
      <c r="BF97" s="308"/>
      <c r="BG97" s="307"/>
      <c r="BH97" s="309"/>
      <c r="BI97" s="308"/>
      <c r="BJ97" s="307"/>
      <c r="BK97" s="301"/>
      <c r="BL97" s="306"/>
      <c r="BN97" s="308"/>
      <c r="BO97" s="307"/>
      <c r="BP97" s="309"/>
      <c r="BQ97" s="308"/>
      <c r="BR97" s="307"/>
      <c r="BS97" s="309"/>
      <c r="BT97" s="308"/>
      <c r="BU97" s="307"/>
      <c r="BV97" s="309"/>
      <c r="BW97" s="308"/>
      <c r="BX97" s="307"/>
      <c r="BY97" s="301"/>
      <c r="BZ97" s="306"/>
      <c r="CB97" s="308"/>
      <c r="CC97" s="307"/>
      <c r="CD97" s="309"/>
      <c r="CE97" s="308"/>
      <c r="CF97" s="307"/>
      <c r="CG97" s="309"/>
      <c r="CH97" s="308"/>
      <c r="CI97" s="307"/>
      <c r="CJ97" s="309"/>
      <c r="CK97" s="308"/>
      <c r="CL97" s="307"/>
      <c r="CM97" s="301"/>
      <c r="CN97" s="306"/>
    </row>
    <row r="98" spans="2:96" ht="29.25" thickBot="1" x14ac:dyDescent="0.25">
      <c r="B98" s="1077"/>
      <c r="C98" s="973"/>
      <c r="D98" s="943"/>
      <c r="E98" s="952"/>
      <c r="F98" s="1041"/>
      <c r="G98" s="385" t="str">
        <f>+'Plan de Accion apoyo transversa'!X96</f>
        <v>Olimpiada deportiva de Bolos</v>
      </c>
      <c r="H98" s="961"/>
      <c r="J98" s="279" t="e">
        <f>+'Plan de Accion apoyo transversa'!AW96</f>
        <v>#DIV/0!</v>
      </c>
      <c r="K98" s="615" t="str">
        <f>+'Plan de Accion apoyo transversa'!CF96</f>
        <v>No Prog ni Ejec</v>
      </c>
      <c r="L98" s="615" t="s">
        <v>206</v>
      </c>
      <c r="M98" s="615">
        <f>+'Plan de Accion apoyo transversa'!AY96</f>
        <v>0</v>
      </c>
      <c r="N98" s="615">
        <f t="shared" si="27"/>
        <v>0</v>
      </c>
      <c r="O98" s="615" t="s">
        <v>206</v>
      </c>
      <c r="P98" s="277"/>
      <c r="Q98" s="279" t="e">
        <f>+'Plan de Accion apoyo transversa'!BG96</f>
        <v>#DIV/0!</v>
      </c>
      <c r="R98" s="315" t="str">
        <f>+'Plan de Accion apoyo transversa'!CH96</f>
        <v>No Prog ni Ejec</v>
      </c>
      <c r="S98" s="276" t="s">
        <v>206</v>
      </c>
      <c r="T98" s="373">
        <f>+'Plan de Accion apoyo transversa'!BI96</f>
        <v>0</v>
      </c>
      <c r="U98" s="373">
        <f t="shared" si="24"/>
        <v>0</v>
      </c>
      <c r="V98" s="275" t="s">
        <v>206</v>
      </c>
      <c r="W98" s="278"/>
      <c r="X98" s="279">
        <f>+'Plan de Accion apoyo transversa'!BQ96</f>
        <v>0</v>
      </c>
      <c r="Y98" s="315">
        <f>+'Plan de Accion apoyo transversa'!CJ96</f>
        <v>0</v>
      </c>
      <c r="Z98" s="276">
        <f>IF(Y98&gt;100%,100%,Y98)</f>
        <v>0</v>
      </c>
      <c r="AA98" s="282">
        <f>+'Plan de Accion apoyo transversa'!BS96</f>
        <v>0</v>
      </c>
      <c r="AB98" s="282">
        <f t="shared" si="25"/>
        <v>0</v>
      </c>
      <c r="AC98" s="371">
        <f t="shared" si="30"/>
        <v>0</v>
      </c>
      <c r="AD98" s="277"/>
      <c r="AE98" s="279" t="e">
        <f>+'Plan de Accion apoyo transversa'!CA96</f>
        <v>#DIV/0!</v>
      </c>
      <c r="AF98" s="315" t="str">
        <f>+'Plan de Accion apoyo transversa'!CL96</f>
        <v>No Prog ni Ejec</v>
      </c>
      <c r="AG98" s="276" t="s">
        <v>206</v>
      </c>
      <c r="AH98" s="315">
        <f>+'Plan de Accion apoyo transversa'!CC96</f>
        <v>0</v>
      </c>
      <c r="AI98" s="275">
        <f t="shared" si="26"/>
        <v>0</v>
      </c>
      <c r="AJ98" s="310"/>
      <c r="AK98" s="302"/>
      <c r="AL98" s="308"/>
      <c r="AM98" s="307"/>
      <c r="AN98" s="309"/>
      <c r="AO98" s="308"/>
      <c r="AP98" s="307"/>
      <c r="AQ98" s="309"/>
      <c r="AR98" s="308"/>
      <c r="AS98" s="307"/>
      <c r="AT98" s="309"/>
      <c r="AU98" s="308"/>
      <c r="AV98" s="307"/>
      <c r="AW98" s="301"/>
      <c r="AX98" s="306"/>
      <c r="AY98" s="301"/>
      <c r="AZ98" s="308"/>
      <c r="BA98" s="307"/>
      <c r="BB98" s="309"/>
      <c r="BC98" s="308"/>
      <c r="BD98" s="307"/>
      <c r="BE98" s="309"/>
      <c r="BF98" s="308"/>
      <c r="BG98" s="307"/>
      <c r="BH98" s="309"/>
      <c r="BI98" s="308"/>
      <c r="BJ98" s="307"/>
      <c r="BK98" s="301"/>
      <c r="BL98" s="306"/>
      <c r="BN98" s="308"/>
      <c r="BO98" s="307"/>
      <c r="BP98" s="309"/>
      <c r="BQ98" s="308"/>
      <c r="BR98" s="307"/>
      <c r="BS98" s="309"/>
      <c r="BT98" s="308"/>
      <c r="BU98" s="307"/>
      <c r="BV98" s="309"/>
      <c r="BW98" s="308"/>
      <c r="BX98" s="307"/>
      <c r="BY98" s="301"/>
      <c r="BZ98" s="306"/>
      <c r="CB98" s="308"/>
      <c r="CC98" s="307"/>
      <c r="CD98" s="309"/>
      <c r="CE98" s="308"/>
      <c r="CF98" s="307"/>
      <c r="CG98" s="309"/>
      <c r="CH98" s="308"/>
      <c r="CI98" s="307"/>
      <c r="CJ98" s="309"/>
      <c r="CK98" s="308"/>
      <c r="CL98" s="307"/>
      <c r="CM98" s="301"/>
      <c r="CN98" s="306"/>
    </row>
    <row r="99" spans="2:96" ht="20.25" thickBot="1" x14ac:dyDescent="0.25">
      <c r="B99" s="1077"/>
      <c r="C99" s="973"/>
      <c r="D99" s="943"/>
      <c r="E99" s="952"/>
      <c r="F99" s="1041"/>
      <c r="G99" s="385" t="str">
        <f>+'Plan de Accion apoyo transversa'!X97</f>
        <v>Olimpiada deportiva de Billar</v>
      </c>
      <c r="H99" s="961"/>
      <c r="J99" s="279" t="e">
        <f>+'Plan de Accion apoyo transversa'!AW97</f>
        <v>#DIV/0!</v>
      </c>
      <c r="K99" s="615" t="str">
        <f>+'Plan de Accion apoyo transversa'!CF97</f>
        <v>No Prog ni Ejec</v>
      </c>
      <c r="L99" s="615" t="s">
        <v>206</v>
      </c>
      <c r="M99" s="615">
        <f>+'Plan de Accion apoyo transversa'!AY97</f>
        <v>0</v>
      </c>
      <c r="N99" s="615">
        <f t="shared" si="27"/>
        <v>0</v>
      </c>
      <c r="O99" s="615" t="s">
        <v>206</v>
      </c>
      <c r="P99" s="277"/>
      <c r="Q99" s="279" t="e">
        <f>+'Plan de Accion apoyo transversa'!BG97</f>
        <v>#DIV/0!</v>
      </c>
      <c r="R99" s="315" t="str">
        <f>+'Plan de Accion apoyo transversa'!CH97</f>
        <v>No Prog ni Ejec</v>
      </c>
      <c r="S99" s="276" t="s">
        <v>206</v>
      </c>
      <c r="T99" s="373">
        <f>+'Plan de Accion apoyo transversa'!BI97</f>
        <v>0</v>
      </c>
      <c r="U99" s="373">
        <f t="shared" si="24"/>
        <v>0</v>
      </c>
      <c r="V99" s="275" t="s">
        <v>206</v>
      </c>
      <c r="W99" s="278"/>
      <c r="X99" s="279" t="e">
        <f>+'Plan de Accion apoyo transversa'!BQ97</f>
        <v>#DIV/0!</v>
      </c>
      <c r="Y99" s="315" t="str">
        <f>+'Plan de Accion apoyo transversa'!CJ97</f>
        <v>No Prog ni Ejec</v>
      </c>
      <c r="Z99" s="276" t="s">
        <v>206</v>
      </c>
      <c r="AA99" s="282">
        <f>+'Plan de Accion apoyo transversa'!BS97</f>
        <v>0</v>
      </c>
      <c r="AB99" s="282">
        <f t="shared" si="25"/>
        <v>0</v>
      </c>
      <c r="AC99" s="371" t="s">
        <v>206</v>
      </c>
      <c r="AD99" s="277"/>
      <c r="AE99" s="279">
        <f>+'Plan de Accion apoyo transversa'!CA97</f>
        <v>0</v>
      </c>
      <c r="AF99" s="315">
        <f>+'Plan de Accion apoyo transversa'!CL97</f>
        <v>0</v>
      </c>
      <c r="AG99" s="276">
        <f>IF(AF99&gt;100%,100%,AF99)</f>
        <v>0</v>
      </c>
      <c r="AH99" s="315">
        <f>+'Plan de Accion apoyo transversa'!CC97</f>
        <v>0</v>
      </c>
      <c r="AI99" s="275">
        <f t="shared" si="26"/>
        <v>0</v>
      </c>
      <c r="AJ99" s="310"/>
      <c r="AK99" s="302"/>
      <c r="AL99" s="308"/>
      <c r="AM99" s="307"/>
      <c r="AN99" s="309"/>
      <c r="AO99" s="308"/>
      <c r="AP99" s="307"/>
      <c r="AQ99" s="309"/>
      <c r="AR99" s="308"/>
      <c r="AS99" s="307"/>
      <c r="AT99" s="309"/>
      <c r="AU99" s="308"/>
      <c r="AV99" s="307"/>
      <c r="AW99" s="301"/>
      <c r="AX99" s="306"/>
      <c r="AY99" s="301"/>
      <c r="AZ99" s="308"/>
      <c r="BA99" s="307"/>
      <c r="BB99" s="309"/>
      <c r="BC99" s="308"/>
      <c r="BD99" s="307"/>
      <c r="BE99" s="309"/>
      <c r="BF99" s="308"/>
      <c r="BG99" s="307"/>
      <c r="BH99" s="309"/>
      <c r="BI99" s="308"/>
      <c r="BJ99" s="307"/>
      <c r="BK99" s="301"/>
      <c r="BL99" s="306"/>
      <c r="BN99" s="308"/>
      <c r="BO99" s="307"/>
      <c r="BP99" s="309"/>
      <c r="BQ99" s="308"/>
      <c r="BR99" s="307"/>
      <c r="BS99" s="309"/>
      <c r="BT99" s="308"/>
      <c r="BU99" s="307"/>
      <c r="BV99" s="309"/>
      <c r="BW99" s="308"/>
      <c r="BX99" s="307"/>
      <c r="BY99" s="301"/>
      <c r="BZ99" s="306"/>
      <c r="CB99" s="308"/>
      <c r="CC99" s="307"/>
      <c r="CD99" s="309"/>
      <c r="CE99" s="308"/>
      <c r="CF99" s="307"/>
      <c r="CG99" s="309"/>
      <c r="CH99" s="308"/>
      <c r="CI99" s="307"/>
      <c r="CJ99" s="309"/>
      <c r="CK99" s="308"/>
      <c r="CL99" s="307"/>
      <c r="CM99" s="301"/>
      <c r="CN99" s="306"/>
    </row>
    <row r="100" spans="2:96" ht="29.25" thickBot="1" x14ac:dyDescent="0.25">
      <c r="B100" s="1077"/>
      <c r="C100" s="973"/>
      <c r="D100" s="943"/>
      <c r="E100" s="952"/>
      <c r="F100" s="1041"/>
      <c r="G100" s="385" t="str">
        <f>+'Plan de Accion apoyo transversa'!X98</f>
        <v>Caminata ecológica realizada</v>
      </c>
      <c r="H100" s="961"/>
      <c r="J100" s="279" t="e">
        <f>+'Plan de Accion apoyo transversa'!AW98</f>
        <v>#DIV/0!</v>
      </c>
      <c r="K100" s="615" t="str">
        <f>+'Plan de Accion apoyo transversa'!CF98</f>
        <v>No Prog ni Ejec</v>
      </c>
      <c r="L100" s="615" t="s">
        <v>206</v>
      </c>
      <c r="M100" s="615">
        <f>+'Plan de Accion apoyo transversa'!AY98</f>
        <v>0</v>
      </c>
      <c r="N100" s="615">
        <f t="shared" si="27"/>
        <v>0</v>
      </c>
      <c r="O100" s="615" t="s">
        <v>206</v>
      </c>
      <c r="P100" s="277"/>
      <c r="Q100" s="279" t="e">
        <f>+'Plan de Accion apoyo transversa'!BG98</f>
        <v>#DIV/0!</v>
      </c>
      <c r="R100" s="315" t="str">
        <f>+'Plan de Accion apoyo transversa'!CH98</f>
        <v>No Prog ni Ejec</v>
      </c>
      <c r="S100" s="276" t="s">
        <v>206</v>
      </c>
      <c r="T100" s="373">
        <f>+'Plan de Accion apoyo transversa'!BI98</f>
        <v>0</v>
      </c>
      <c r="U100" s="373">
        <f t="shared" si="24"/>
        <v>0</v>
      </c>
      <c r="V100" s="275" t="s">
        <v>206</v>
      </c>
      <c r="W100" s="278"/>
      <c r="X100" s="279">
        <f>+'Plan de Accion apoyo transversa'!BQ98</f>
        <v>0</v>
      </c>
      <c r="Y100" s="315">
        <f>+'Plan de Accion apoyo transversa'!CJ98</f>
        <v>0</v>
      </c>
      <c r="Z100" s="276">
        <f>IF(Y100&gt;100%,100%,Y100)</f>
        <v>0</v>
      </c>
      <c r="AA100" s="282">
        <f>+'Plan de Accion apoyo transversa'!BS98</f>
        <v>0</v>
      </c>
      <c r="AB100" s="282">
        <f t="shared" si="25"/>
        <v>0</v>
      </c>
      <c r="AC100" s="371">
        <f t="shared" si="30"/>
        <v>0</v>
      </c>
      <c r="AD100" s="277"/>
      <c r="AE100" s="279" t="e">
        <f>+'Plan de Accion apoyo transversa'!CA98</f>
        <v>#DIV/0!</v>
      </c>
      <c r="AF100" s="315" t="str">
        <f>+'Plan de Accion apoyo transversa'!CL98</f>
        <v>No Prog ni Ejec</v>
      </c>
      <c r="AG100" s="276" t="s">
        <v>206</v>
      </c>
      <c r="AH100" s="315">
        <f>+'Plan de Accion apoyo transversa'!CC98</f>
        <v>0</v>
      </c>
      <c r="AI100" s="275">
        <f t="shared" si="26"/>
        <v>0</v>
      </c>
      <c r="AJ100" s="310"/>
      <c r="AK100" s="302"/>
      <c r="AL100" s="308"/>
      <c r="AM100" s="307"/>
      <c r="AN100" s="309"/>
      <c r="AO100" s="308"/>
      <c r="AP100" s="307"/>
      <c r="AQ100" s="309"/>
      <c r="AR100" s="308"/>
      <c r="AS100" s="307"/>
      <c r="AT100" s="309"/>
      <c r="AU100" s="308"/>
      <c r="AV100" s="307"/>
      <c r="AW100" s="301"/>
      <c r="AX100" s="306"/>
      <c r="AY100" s="301"/>
      <c r="AZ100" s="308"/>
      <c r="BA100" s="307"/>
      <c r="BB100" s="309"/>
      <c r="BC100" s="308"/>
      <c r="BD100" s="307"/>
      <c r="BE100" s="309"/>
      <c r="BF100" s="308"/>
      <c r="BG100" s="307"/>
      <c r="BH100" s="309"/>
      <c r="BI100" s="308"/>
      <c r="BJ100" s="307"/>
      <c r="BK100" s="301"/>
      <c r="BL100" s="306"/>
      <c r="BN100" s="308"/>
      <c r="BO100" s="307"/>
      <c r="BP100" s="309"/>
      <c r="BQ100" s="308"/>
      <c r="BR100" s="307"/>
      <c r="BS100" s="309"/>
      <c r="BT100" s="308"/>
      <c r="BU100" s="307"/>
      <c r="BV100" s="309"/>
      <c r="BW100" s="308"/>
      <c r="BX100" s="307"/>
      <c r="BY100" s="301"/>
      <c r="BZ100" s="306"/>
      <c r="CB100" s="308"/>
      <c r="CC100" s="307"/>
      <c r="CD100" s="309"/>
      <c r="CE100" s="308"/>
      <c r="CF100" s="307"/>
      <c r="CG100" s="309"/>
      <c r="CH100" s="308"/>
      <c r="CI100" s="307"/>
      <c r="CJ100" s="309"/>
      <c r="CK100" s="308"/>
      <c r="CL100" s="307"/>
      <c r="CM100" s="301"/>
      <c r="CN100" s="306"/>
    </row>
    <row r="101" spans="2:96" ht="29.25" thickBot="1" x14ac:dyDescent="0.25">
      <c r="B101" s="1077"/>
      <c r="C101" s="973"/>
      <c r="D101" s="943"/>
      <c r="E101" s="952"/>
      <c r="F101" s="1041"/>
      <c r="G101" s="385" t="str">
        <f>+'Plan de Accion apoyo transversa'!X99</f>
        <v>Vacaciones recreativas realizadas</v>
      </c>
      <c r="H101" s="961"/>
      <c r="J101" s="279" t="e">
        <f>+'Plan de Accion apoyo transversa'!AW99</f>
        <v>#DIV/0!</v>
      </c>
      <c r="K101" s="615" t="str">
        <f>+'Plan de Accion apoyo transversa'!CF99</f>
        <v>No Prog ni Ejec</v>
      </c>
      <c r="L101" s="615" t="s">
        <v>206</v>
      </c>
      <c r="M101" s="615">
        <f>+'Plan de Accion apoyo transversa'!AY99</f>
        <v>0</v>
      </c>
      <c r="N101" s="615">
        <f t="shared" si="27"/>
        <v>0</v>
      </c>
      <c r="O101" s="615" t="s">
        <v>206</v>
      </c>
      <c r="P101" s="277"/>
      <c r="Q101" s="279" t="e">
        <f>+'Plan de Accion apoyo transversa'!BG99</f>
        <v>#DIV/0!</v>
      </c>
      <c r="R101" s="315" t="str">
        <f>+'Plan de Accion apoyo transversa'!CH99</f>
        <v>No Prog ni Ejec</v>
      </c>
      <c r="S101" s="276" t="s">
        <v>206</v>
      </c>
      <c r="T101" s="373">
        <f>+'Plan de Accion apoyo transversa'!BI99</f>
        <v>0</v>
      </c>
      <c r="U101" s="373">
        <f t="shared" si="24"/>
        <v>0</v>
      </c>
      <c r="V101" s="275" t="s">
        <v>206</v>
      </c>
      <c r="W101" s="278"/>
      <c r="X101" s="279" t="e">
        <f>+'Plan de Accion apoyo transversa'!BQ99</f>
        <v>#DIV/0!</v>
      </c>
      <c r="Y101" s="315" t="str">
        <f>+'Plan de Accion apoyo transversa'!CJ99</f>
        <v>No Prog ni Ejec</v>
      </c>
      <c r="Z101" s="276" t="s">
        <v>206</v>
      </c>
      <c r="AA101" s="282">
        <f>+'Plan de Accion apoyo transversa'!BS99</f>
        <v>0</v>
      </c>
      <c r="AB101" s="282">
        <f t="shared" si="25"/>
        <v>0</v>
      </c>
      <c r="AC101" s="371" t="s">
        <v>206</v>
      </c>
      <c r="AD101" s="277"/>
      <c r="AE101" s="279">
        <f>+'Plan de Accion apoyo transversa'!CA99</f>
        <v>0</v>
      </c>
      <c r="AF101" s="315">
        <f>+'Plan de Accion apoyo transversa'!CL99</f>
        <v>0</v>
      </c>
      <c r="AG101" s="276">
        <f>IF(AF101&gt;100%,100%,AF101)</f>
        <v>0</v>
      </c>
      <c r="AH101" s="315">
        <f>+'Plan de Accion apoyo transversa'!CC99</f>
        <v>0</v>
      </c>
      <c r="AI101" s="275">
        <f t="shared" si="26"/>
        <v>0</v>
      </c>
      <c r="AJ101" s="310"/>
      <c r="AK101" s="302"/>
      <c r="AL101" s="308"/>
      <c r="AM101" s="307"/>
      <c r="AN101" s="309"/>
      <c r="AO101" s="308"/>
      <c r="AP101" s="307"/>
      <c r="AQ101" s="309"/>
      <c r="AR101" s="308"/>
      <c r="AS101" s="307"/>
      <c r="AT101" s="309"/>
      <c r="AU101" s="308"/>
      <c r="AV101" s="307"/>
      <c r="AW101" s="301"/>
      <c r="AX101" s="306"/>
      <c r="AY101" s="301"/>
      <c r="AZ101" s="308"/>
      <c r="BA101" s="307"/>
      <c r="BB101" s="309"/>
      <c r="BC101" s="308"/>
      <c r="BD101" s="307"/>
      <c r="BE101" s="309"/>
      <c r="BF101" s="308"/>
      <c r="BG101" s="307"/>
      <c r="BH101" s="309"/>
      <c r="BI101" s="308"/>
      <c r="BJ101" s="307"/>
      <c r="BK101" s="301"/>
      <c r="BL101" s="306"/>
      <c r="BN101" s="308"/>
      <c r="BO101" s="307"/>
      <c r="BP101" s="309"/>
      <c r="BQ101" s="308"/>
      <c r="BR101" s="307"/>
      <c r="BS101" s="309"/>
      <c r="BT101" s="308"/>
      <c r="BU101" s="307"/>
      <c r="BV101" s="309"/>
      <c r="BW101" s="308"/>
      <c r="BX101" s="307"/>
      <c r="BY101" s="301"/>
      <c r="BZ101" s="306"/>
      <c r="CB101" s="308"/>
      <c r="CC101" s="307"/>
      <c r="CD101" s="309"/>
      <c r="CE101" s="308"/>
      <c r="CF101" s="307"/>
      <c r="CG101" s="309"/>
      <c r="CH101" s="308"/>
      <c r="CI101" s="307"/>
      <c r="CJ101" s="309"/>
      <c r="CK101" s="308"/>
      <c r="CL101" s="307"/>
      <c r="CM101" s="301"/>
      <c r="CN101" s="306"/>
    </row>
    <row r="102" spans="2:96" ht="29.25" thickBot="1" x14ac:dyDescent="0.25">
      <c r="B102" s="1077"/>
      <c r="C102" s="973"/>
      <c r="D102" s="943"/>
      <c r="E102" s="952"/>
      <c r="F102" s="1041"/>
      <c r="G102" s="385" t="str">
        <f>+'Plan de Accion apoyo transversa'!X100</f>
        <v>Actividad día del niño realizada</v>
      </c>
      <c r="H102" s="961"/>
      <c r="J102" s="279" t="e">
        <f>+'Plan de Accion apoyo transversa'!AW100</f>
        <v>#DIV/0!</v>
      </c>
      <c r="K102" s="615" t="str">
        <f>+'Plan de Accion apoyo transversa'!CF100</f>
        <v>No Prog ni Ejec</v>
      </c>
      <c r="L102" s="615" t="s">
        <v>206</v>
      </c>
      <c r="M102" s="615">
        <f>+'Plan de Accion apoyo transversa'!AY100</f>
        <v>0</v>
      </c>
      <c r="N102" s="615">
        <f t="shared" si="27"/>
        <v>0</v>
      </c>
      <c r="O102" s="615" t="s">
        <v>206</v>
      </c>
      <c r="P102" s="277"/>
      <c r="Q102" s="279" t="e">
        <f>+'Plan de Accion apoyo transversa'!BG100</f>
        <v>#DIV/0!</v>
      </c>
      <c r="R102" s="315" t="str">
        <f>+'Plan de Accion apoyo transversa'!CH100</f>
        <v>No Prog ni Ejec</v>
      </c>
      <c r="S102" s="276" t="s">
        <v>206</v>
      </c>
      <c r="T102" s="373">
        <f>+'Plan de Accion apoyo transversa'!BI100</f>
        <v>0</v>
      </c>
      <c r="U102" s="373">
        <f t="shared" si="24"/>
        <v>0</v>
      </c>
      <c r="V102" s="275" t="s">
        <v>206</v>
      </c>
      <c r="W102" s="278"/>
      <c r="X102" s="279" t="e">
        <f>+'Plan de Accion apoyo transversa'!BQ100</f>
        <v>#DIV/0!</v>
      </c>
      <c r="Y102" s="315" t="str">
        <f>+'Plan de Accion apoyo transversa'!CJ100</f>
        <v>No Prog ni Ejec</v>
      </c>
      <c r="Z102" s="276" t="s">
        <v>206</v>
      </c>
      <c r="AA102" s="282">
        <f>+'Plan de Accion apoyo transversa'!BS100</f>
        <v>0</v>
      </c>
      <c r="AB102" s="282">
        <f t="shared" si="25"/>
        <v>0</v>
      </c>
      <c r="AC102" s="371" t="s">
        <v>206</v>
      </c>
      <c r="AD102" s="277"/>
      <c r="AE102" s="279">
        <f>+'Plan de Accion apoyo transversa'!CA100</f>
        <v>0</v>
      </c>
      <c r="AF102" s="315">
        <f>+'Plan de Accion apoyo transversa'!CL100</f>
        <v>0</v>
      </c>
      <c r="AG102" s="276">
        <f>IF(AF102&gt;100%,100%,AF102)</f>
        <v>0</v>
      </c>
      <c r="AH102" s="315">
        <f>+'Plan de Accion apoyo transversa'!CC100</f>
        <v>0</v>
      </c>
      <c r="AI102" s="275">
        <f t="shared" si="26"/>
        <v>0</v>
      </c>
      <c r="AJ102" s="310"/>
      <c r="AK102" s="302"/>
      <c r="AL102" s="308"/>
      <c r="AM102" s="307"/>
      <c r="AN102" s="309"/>
      <c r="AO102" s="308"/>
      <c r="AP102" s="307"/>
      <c r="AQ102" s="309"/>
      <c r="AR102" s="308"/>
      <c r="AS102" s="307"/>
      <c r="AT102" s="309"/>
      <c r="AU102" s="308"/>
      <c r="AV102" s="307"/>
      <c r="AW102" s="301"/>
      <c r="AX102" s="306"/>
      <c r="AY102" s="301"/>
      <c r="AZ102" s="308"/>
      <c r="BA102" s="307"/>
      <c r="BB102" s="309"/>
      <c r="BC102" s="308"/>
      <c r="BD102" s="307"/>
      <c r="BE102" s="309"/>
      <c r="BF102" s="308"/>
      <c r="BG102" s="307"/>
      <c r="BH102" s="309"/>
      <c r="BI102" s="308"/>
      <c r="BJ102" s="307"/>
      <c r="BK102" s="301"/>
      <c r="BL102" s="306"/>
      <c r="BN102" s="308"/>
      <c r="BO102" s="307"/>
      <c r="BP102" s="309"/>
      <c r="BQ102" s="308"/>
      <c r="BR102" s="307"/>
      <c r="BS102" s="309"/>
      <c r="BT102" s="308"/>
      <c r="BU102" s="307"/>
      <c r="BV102" s="309"/>
      <c r="BW102" s="308"/>
      <c r="BX102" s="307"/>
      <c r="BY102" s="301"/>
      <c r="BZ102" s="306"/>
      <c r="CB102" s="308"/>
      <c r="CC102" s="307"/>
      <c r="CD102" s="309"/>
      <c r="CE102" s="308"/>
      <c r="CF102" s="307"/>
      <c r="CG102" s="309"/>
      <c r="CH102" s="308"/>
      <c r="CI102" s="307"/>
      <c r="CJ102" s="309"/>
      <c r="CK102" s="308"/>
      <c r="CL102" s="307"/>
      <c r="CM102" s="301"/>
      <c r="CN102" s="306"/>
    </row>
    <row r="103" spans="2:96" ht="29.25" thickBot="1" x14ac:dyDescent="0.25">
      <c r="B103" s="1077"/>
      <c r="C103" s="973"/>
      <c r="D103" s="943"/>
      <c r="E103" s="952"/>
      <c r="F103" s="1041"/>
      <c r="G103" s="385" t="str">
        <f>+'Plan de Accion apoyo transversa'!X101</f>
        <v>Actividad cultural y artística de Cine realizada</v>
      </c>
      <c r="H103" s="961"/>
      <c r="J103" s="279" t="e">
        <f>+'Plan de Accion apoyo transversa'!AW101</f>
        <v>#DIV/0!</v>
      </c>
      <c r="K103" s="615" t="str">
        <f>+'Plan de Accion apoyo transversa'!CF101</f>
        <v>No Prog ni Ejec</v>
      </c>
      <c r="L103" s="615" t="s">
        <v>206</v>
      </c>
      <c r="M103" s="615">
        <f>+'Plan de Accion apoyo transversa'!AY101</f>
        <v>0</v>
      </c>
      <c r="N103" s="615">
        <f t="shared" si="27"/>
        <v>0</v>
      </c>
      <c r="O103" s="615" t="s">
        <v>206</v>
      </c>
      <c r="P103" s="277"/>
      <c r="Q103" s="279" t="e">
        <f>+'Plan de Accion apoyo transversa'!BG101</f>
        <v>#DIV/0!</v>
      </c>
      <c r="R103" s="315" t="str">
        <f>+'Plan de Accion apoyo transversa'!CH101</f>
        <v>No Prog ni Ejec</v>
      </c>
      <c r="S103" s="276" t="s">
        <v>206</v>
      </c>
      <c r="T103" s="373">
        <f>+'Plan de Accion apoyo transversa'!BI101</f>
        <v>0</v>
      </c>
      <c r="U103" s="373">
        <f t="shared" si="24"/>
        <v>0</v>
      </c>
      <c r="V103" s="275" t="s">
        <v>206</v>
      </c>
      <c r="W103" s="278"/>
      <c r="X103" s="279">
        <f>+'Plan de Accion apoyo transversa'!BQ101</f>
        <v>0</v>
      </c>
      <c r="Y103" s="315">
        <f>+'Plan de Accion apoyo transversa'!CJ101</f>
        <v>0</v>
      </c>
      <c r="Z103" s="276">
        <f>IF(Y103&gt;100%,100%,Y103)</f>
        <v>0</v>
      </c>
      <c r="AA103" s="282">
        <f>+'Plan de Accion apoyo transversa'!BS101</f>
        <v>0</v>
      </c>
      <c r="AB103" s="282">
        <f t="shared" si="25"/>
        <v>0</v>
      </c>
      <c r="AC103" s="371">
        <f t="shared" si="30"/>
        <v>0</v>
      </c>
      <c r="AD103" s="277"/>
      <c r="AE103" s="279" t="e">
        <f>+'Plan de Accion apoyo transversa'!CA101</f>
        <v>#DIV/0!</v>
      </c>
      <c r="AF103" s="315" t="str">
        <f>+'Plan de Accion apoyo transversa'!CL101</f>
        <v>No Prog ni Ejec</v>
      </c>
      <c r="AG103" s="276" t="s">
        <v>206</v>
      </c>
      <c r="AH103" s="315">
        <f>+'Plan de Accion apoyo transversa'!CC101</f>
        <v>0</v>
      </c>
      <c r="AI103" s="275">
        <f t="shared" si="26"/>
        <v>0</v>
      </c>
      <c r="AJ103" s="310"/>
      <c r="AK103" s="302"/>
      <c r="AL103" s="308"/>
      <c r="AM103" s="307"/>
      <c r="AN103" s="309"/>
      <c r="AO103" s="308"/>
      <c r="AP103" s="307"/>
      <c r="AQ103" s="309"/>
      <c r="AR103" s="308"/>
      <c r="AS103" s="307"/>
      <c r="AT103" s="309"/>
      <c r="AU103" s="308"/>
      <c r="AV103" s="307"/>
      <c r="AW103" s="301"/>
      <c r="AX103" s="306"/>
      <c r="AY103" s="301"/>
      <c r="AZ103" s="308"/>
      <c r="BA103" s="307"/>
      <c r="BB103" s="309"/>
      <c r="BC103" s="308"/>
      <c r="BD103" s="307"/>
      <c r="BE103" s="309"/>
      <c r="BF103" s="308"/>
      <c r="BG103" s="307"/>
      <c r="BH103" s="309"/>
      <c r="BI103" s="308"/>
      <c r="BJ103" s="307"/>
      <c r="BK103" s="301"/>
      <c r="BL103" s="306"/>
      <c r="BN103" s="308"/>
      <c r="BO103" s="307"/>
      <c r="BP103" s="309"/>
      <c r="BQ103" s="308"/>
      <c r="BR103" s="307"/>
      <c r="BS103" s="309"/>
      <c r="BT103" s="308"/>
      <c r="BU103" s="307"/>
      <c r="BV103" s="309"/>
      <c r="BW103" s="308"/>
      <c r="BX103" s="307"/>
      <c r="BY103" s="301"/>
      <c r="BZ103" s="306"/>
      <c r="CB103" s="308"/>
      <c r="CC103" s="307"/>
      <c r="CD103" s="309"/>
      <c r="CE103" s="308"/>
      <c r="CF103" s="307"/>
      <c r="CG103" s="309"/>
      <c r="CH103" s="308"/>
      <c r="CI103" s="307"/>
      <c r="CJ103" s="309"/>
      <c r="CK103" s="308"/>
      <c r="CL103" s="307"/>
      <c r="CM103" s="301"/>
      <c r="CN103" s="306"/>
    </row>
    <row r="104" spans="2:96" ht="61.5" customHeight="1" thickBot="1" x14ac:dyDescent="0.25">
      <c r="B104" s="1077"/>
      <c r="C104" s="973"/>
      <c r="D104" s="943"/>
      <c r="E104" s="952"/>
      <c r="F104" s="1041"/>
      <c r="G104" s="385" t="str">
        <f>+'Plan de Accion apoyo transversa'!X102</f>
        <v>Actividad cultural y artística de Taller de cocina realizada</v>
      </c>
      <c r="H104" s="961"/>
      <c r="J104" s="279" t="e">
        <f>+'Plan de Accion apoyo transversa'!AW102</f>
        <v>#DIV/0!</v>
      </c>
      <c r="K104" s="615" t="str">
        <f>+'Plan de Accion apoyo transversa'!CF102</f>
        <v>No Prog ni Ejec</v>
      </c>
      <c r="L104" s="615" t="s">
        <v>206</v>
      </c>
      <c r="M104" s="615">
        <f>+'Plan de Accion apoyo transversa'!AY102</f>
        <v>0</v>
      </c>
      <c r="N104" s="615">
        <f t="shared" si="27"/>
        <v>0</v>
      </c>
      <c r="O104" s="615" t="s">
        <v>206</v>
      </c>
      <c r="P104" s="277"/>
      <c r="Q104" s="279">
        <f>+'Plan de Accion apoyo transversa'!BG102</f>
        <v>0</v>
      </c>
      <c r="R104" s="315">
        <f>+'Plan de Accion apoyo transversa'!CH102</f>
        <v>0</v>
      </c>
      <c r="S104" s="276">
        <f>IF(R104&gt;100%,100%,R104)</f>
        <v>0</v>
      </c>
      <c r="T104" s="373">
        <f>+'Plan de Accion apoyo transversa'!BI102</f>
        <v>0</v>
      </c>
      <c r="U104" s="373">
        <f t="shared" si="24"/>
        <v>0</v>
      </c>
      <c r="V104" s="275">
        <f t="shared" si="29"/>
        <v>0</v>
      </c>
      <c r="W104" s="278"/>
      <c r="X104" s="279" t="e">
        <f>+'Plan de Accion apoyo transversa'!BQ102</f>
        <v>#DIV/0!</v>
      </c>
      <c r="Y104" s="315" t="str">
        <f>+'Plan de Accion apoyo transversa'!CJ102</f>
        <v>No Prog ni Ejec</v>
      </c>
      <c r="Z104" s="276" t="s">
        <v>206</v>
      </c>
      <c r="AA104" s="282">
        <f>+'Plan de Accion apoyo transversa'!BS102</f>
        <v>0</v>
      </c>
      <c r="AB104" s="282">
        <f t="shared" si="25"/>
        <v>0</v>
      </c>
      <c r="AC104" s="371">
        <f t="shared" si="30"/>
        <v>0</v>
      </c>
      <c r="AD104" s="277"/>
      <c r="AE104" s="279">
        <f>+'Plan de Accion apoyo transversa'!CA102</f>
        <v>0</v>
      </c>
      <c r="AF104" s="315">
        <f>+'Plan de Accion apoyo transversa'!CL102</f>
        <v>0</v>
      </c>
      <c r="AG104" s="276">
        <f>IF(AF104&gt;100%,100%,AF104)</f>
        <v>0</v>
      </c>
      <c r="AH104" s="315">
        <f>+'Plan de Accion apoyo transversa'!CC102</f>
        <v>0</v>
      </c>
      <c r="AI104" s="275">
        <f t="shared" si="26"/>
        <v>0</v>
      </c>
      <c r="AJ104" s="310"/>
      <c r="AK104" s="302"/>
      <c r="AL104" s="308"/>
      <c r="AM104" s="307"/>
      <c r="AN104" s="309"/>
      <c r="AO104" s="308"/>
      <c r="AP104" s="307"/>
      <c r="AQ104" s="309"/>
      <c r="AR104" s="308"/>
      <c r="AS104" s="307"/>
      <c r="AT104" s="309"/>
      <c r="AU104" s="308"/>
      <c r="AV104" s="307"/>
      <c r="AW104" s="301"/>
      <c r="AX104" s="306"/>
      <c r="AY104" s="301"/>
      <c r="AZ104" s="308"/>
      <c r="BA104" s="307"/>
      <c r="BB104" s="309"/>
      <c r="BC104" s="308"/>
      <c r="BD104" s="307"/>
      <c r="BE104" s="309"/>
      <c r="BF104" s="308"/>
      <c r="BG104" s="307"/>
      <c r="BH104" s="309"/>
      <c r="BI104" s="308"/>
      <c r="BJ104" s="307"/>
      <c r="BK104" s="301"/>
      <c r="BL104" s="306"/>
      <c r="BN104" s="308"/>
      <c r="BO104" s="307"/>
      <c r="BP104" s="309"/>
      <c r="BQ104" s="308"/>
      <c r="BR104" s="307"/>
      <c r="BS104" s="309"/>
      <c r="BT104" s="308"/>
      <c r="BU104" s="307"/>
      <c r="BV104" s="309"/>
      <c r="BW104" s="308"/>
      <c r="BX104" s="307"/>
      <c r="BY104" s="301"/>
      <c r="BZ104" s="306"/>
      <c r="CB104" s="308"/>
      <c r="CC104" s="307"/>
      <c r="CD104" s="309"/>
      <c r="CE104" s="308"/>
      <c r="CF104" s="307"/>
      <c r="CG104" s="309"/>
      <c r="CH104" s="308"/>
      <c r="CI104" s="307"/>
      <c r="CJ104" s="309"/>
      <c r="CK104" s="308"/>
      <c r="CL104" s="307"/>
      <c r="CM104" s="301"/>
      <c r="CN104" s="306"/>
    </row>
    <row r="105" spans="2:96" ht="29.25" thickBot="1" x14ac:dyDescent="0.25">
      <c r="B105" s="1077"/>
      <c r="C105" s="973"/>
      <c r="D105" s="943"/>
      <c r="E105" s="952"/>
      <c r="F105" s="1041"/>
      <c r="G105" s="385" t="str">
        <f>+'Plan de Accion apoyo transversa'!X103</f>
        <v>Actividad social de Dia de la familia realizada</v>
      </c>
      <c r="H105" s="961"/>
      <c r="J105" s="279" t="e">
        <f>+'Plan de Accion apoyo transversa'!AW103</f>
        <v>#DIV/0!</v>
      </c>
      <c r="K105" s="615" t="str">
        <f>+'Plan de Accion apoyo transversa'!CF103</f>
        <v>No Prog ni Ejec</v>
      </c>
      <c r="L105" s="615" t="s">
        <v>206</v>
      </c>
      <c r="M105" s="615">
        <f>+'Plan de Accion apoyo transversa'!AY103</f>
        <v>0</v>
      </c>
      <c r="N105" s="615">
        <f t="shared" si="27"/>
        <v>0</v>
      </c>
      <c r="O105" s="615" t="s">
        <v>206</v>
      </c>
      <c r="P105" s="277"/>
      <c r="Q105" s="279">
        <f>+'Plan de Accion apoyo transversa'!BG103</f>
        <v>0</v>
      </c>
      <c r="R105" s="315">
        <f>+'Plan de Accion apoyo transversa'!CH103</f>
        <v>0</v>
      </c>
      <c r="S105" s="276">
        <f>IF(R105&gt;100%,100%,R105)</f>
        <v>0</v>
      </c>
      <c r="T105" s="373">
        <f>+'Plan de Accion apoyo transversa'!BI103</f>
        <v>0</v>
      </c>
      <c r="U105" s="373">
        <f t="shared" si="24"/>
        <v>0</v>
      </c>
      <c r="V105" s="275">
        <f t="shared" si="29"/>
        <v>0</v>
      </c>
      <c r="W105" s="278"/>
      <c r="X105" s="279">
        <f>+'Plan de Accion apoyo transversa'!BQ103</f>
        <v>0</v>
      </c>
      <c r="Y105" s="315">
        <f>+'Plan de Accion apoyo transversa'!CJ103</f>
        <v>0</v>
      </c>
      <c r="Z105" s="276">
        <f>IF(Y105&gt;100%,100%,Y105)</f>
        <v>0</v>
      </c>
      <c r="AA105" s="282">
        <f>+'Plan de Accion apoyo transversa'!BS103</f>
        <v>0</v>
      </c>
      <c r="AB105" s="282">
        <f t="shared" si="25"/>
        <v>0</v>
      </c>
      <c r="AC105" s="371">
        <f t="shared" si="30"/>
        <v>0</v>
      </c>
      <c r="AD105" s="277"/>
      <c r="AE105" s="279" t="e">
        <f>+'Plan de Accion apoyo transversa'!CA103</f>
        <v>#DIV/0!</v>
      </c>
      <c r="AF105" s="315" t="str">
        <f>+'Plan de Accion apoyo transversa'!CL103</f>
        <v>No Prog ni Ejec</v>
      </c>
      <c r="AG105" s="276" t="s">
        <v>206</v>
      </c>
      <c r="AH105" s="315">
        <f>+'Plan de Accion apoyo transversa'!CC103</f>
        <v>0</v>
      </c>
      <c r="AI105" s="275">
        <f t="shared" si="26"/>
        <v>0</v>
      </c>
      <c r="AJ105" s="310"/>
      <c r="AK105" s="302"/>
      <c r="AL105" s="308"/>
      <c r="AM105" s="307"/>
      <c r="AN105" s="309"/>
      <c r="AO105" s="308"/>
      <c r="AP105" s="307"/>
      <c r="AQ105" s="309"/>
      <c r="AR105" s="308"/>
      <c r="AS105" s="307"/>
      <c r="AT105" s="309"/>
      <c r="AU105" s="308"/>
      <c r="AV105" s="307"/>
      <c r="AW105" s="301"/>
      <c r="AX105" s="306"/>
      <c r="AY105" s="301"/>
      <c r="AZ105" s="308"/>
      <c r="BA105" s="307"/>
      <c r="BB105" s="309"/>
      <c r="BC105" s="308"/>
      <c r="BD105" s="307"/>
      <c r="BE105" s="309"/>
      <c r="BF105" s="308"/>
      <c r="BG105" s="307"/>
      <c r="BH105" s="309"/>
      <c r="BI105" s="308"/>
      <c r="BJ105" s="307"/>
      <c r="BK105" s="301"/>
      <c r="BL105" s="306"/>
      <c r="BN105" s="308"/>
      <c r="BO105" s="307"/>
      <c r="BP105" s="309"/>
      <c r="BQ105" s="308"/>
      <c r="BR105" s="307"/>
      <c r="BS105" s="309"/>
      <c r="BT105" s="308"/>
      <c r="BU105" s="307"/>
      <c r="BV105" s="309"/>
      <c r="BW105" s="308"/>
      <c r="BX105" s="307"/>
      <c r="BY105" s="301"/>
      <c r="BZ105" s="306"/>
      <c r="CB105" s="308"/>
      <c r="CC105" s="307"/>
      <c r="CD105" s="309"/>
      <c r="CE105" s="308"/>
      <c r="CF105" s="307"/>
      <c r="CG105" s="309"/>
      <c r="CH105" s="308"/>
      <c r="CI105" s="307"/>
      <c r="CJ105" s="309"/>
      <c r="CK105" s="308"/>
      <c r="CL105" s="307"/>
      <c r="CM105" s="301"/>
      <c r="CN105" s="306"/>
    </row>
    <row r="106" spans="2:96" ht="43.5" thickBot="1" x14ac:dyDescent="0.25">
      <c r="B106" s="1077"/>
      <c r="C106" s="973"/>
      <c r="D106" s="943"/>
      <c r="E106" s="952"/>
      <c r="F106" s="1041"/>
      <c r="G106" s="385" t="str">
        <f>+'Plan de Accion apoyo transversa'!X104</f>
        <v>Actividad social de Dia Internacional de la Mujer realizada</v>
      </c>
      <c r="H106" s="961"/>
      <c r="J106" s="279">
        <f>+'Plan de Accion apoyo transversa'!AW104</f>
        <v>0</v>
      </c>
      <c r="K106" s="615">
        <f>+'Plan de Accion apoyo transversa'!CF104</f>
        <v>0</v>
      </c>
      <c r="L106" s="615">
        <f>IF(K106&gt;100%,100%,K106)</f>
        <v>0</v>
      </c>
      <c r="M106" s="615">
        <f>+'Plan de Accion apoyo transversa'!AY104</f>
        <v>0</v>
      </c>
      <c r="N106" s="615">
        <f t="shared" si="27"/>
        <v>0</v>
      </c>
      <c r="O106" s="615">
        <f>+N106</f>
        <v>0</v>
      </c>
      <c r="P106" s="277"/>
      <c r="Q106" s="279" t="e">
        <f>+'Plan de Accion apoyo transversa'!BG104</f>
        <v>#DIV/0!</v>
      </c>
      <c r="R106" s="315" t="str">
        <f>+'Plan de Accion apoyo transversa'!CH104</f>
        <v>No Prog ni Ejec</v>
      </c>
      <c r="S106" s="276" t="s">
        <v>206</v>
      </c>
      <c r="T106" s="373">
        <f>+'Plan de Accion apoyo transversa'!BI104</f>
        <v>0</v>
      </c>
      <c r="U106" s="373">
        <f t="shared" si="24"/>
        <v>0</v>
      </c>
      <c r="V106" s="275">
        <f t="shared" si="29"/>
        <v>0</v>
      </c>
      <c r="W106" s="278"/>
      <c r="X106" s="279" t="e">
        <f>+'Plan de Accion apoyo transversa'!BQ104</f>
        <v>#DIV/0!</v>
      </c>
      <c r="Y106" s="315" t="str">
        <f>+'Plan de Accion apoyo transversa'!CJ104</f>
        <v>No Prog ni Ejec</v>
      </c>
      <c r="Z106" s="276" t="s">
        <v>206</v>
      </c>
      <c r="AA106" s="282">
        <f>+'Plan de Accion apoyo transversa'!BS104</f>
        <v>0</v>
      </c>
      <c r="AB106" s="282">
        <f t="shared" si="25"/>
        <v>0</v>
      </c>
      <c r="AC106" s="371">
        <f t="shared" si="30"/>
        <v>0</v>
      </c>
      <c r="AD106" s="277"/>
      <c r="AE106" s="279" t="e">
        <f>+'Plan de Accion apoyo transversa'!CA104</f>
        <v>#DIV/0!</v>
      </c>
      <c r="AF106" s="315" t="str">
        <f>+'Plan de Accion apoyo transversa'!CL104</f>
        <v>No Prog ni Ejec</v>
      </c>
      <c r="AG106" s="276" t="s">
        <v>206</v>
      </c>
      <c r="AH106" s="315">
        <f>+'Plan de Accion apoyo transversa'!CC104</f>
        <v>0</v>
      </c>
      <c r="AI106" s="275">
        <f t="shared" si="26"/>
        <v>0</v>
      </c>
      <c r="AJ106" s="310"/>
      <c r="AK106" s="302"/>
      <c r="AL106" s="308"/>
      <c r="AM106" s="307"/>
      <c r="AN106" s="309"/>
      <c r="AO106" s="308"/>
      <c r="AP106" s="307"/>
      <c r="AQ106" s="309"/>
      <c r="AR106" s="308"/>
      <c r="AS106" s="307"/>
      <c r="AT106" s="309"/>
      <c r="AU106" s="308"/>
      <c r="AV106" s="307"/>
      <c r="AW106" s="301"/>
      <c r="AX106" s="306"/>
      <c r="AY106" s="301"/>
      <c r="AZ106" s="308"/>
      <c r="BA106" s="307"/>
      <c r="BB106" s="309"/>
      <c r="BC106" s="308"/>
      <c r="BD106" s="307"/>
      <c r="BE106" s="309"/>
      <c r="BF106" s="308"/>
      <c r="BG106" s="307"/>
      <c r="BH106" s="309"/>
      <c r="BI106" s="308"/>
      <c r="BJ106" s="307"/>
      <c r="BK106" s="301"/>
      <c r="BL106" s="306"/>
      <c r="BN106" s="308"/>
      <c r="BO106" s="307"/>
      <c r="BP106" s="309"/>
      <c r="BQ106" s="308"/>
      <c r="BR106" s="307"/>
      <c r="BS106" s="309"/>
      <c r="BT106" s="308"/>
      <c r="BU106" s="307"/>
      <c r="BV106" s="309"/>
      <c r="BW106" s="308"/>
      <c r="BX106" s="307"/>
      <c r="BY106" s="301"/>
      <c r="BZ106" s="306"/>
      <c r="CB106" s="308"/>
      <c r="CC106" s="307"/>
      <c r="CD106" s="309"/>
      <c r="CE106" s="308"/>
      <c r="CF106" s="307"/>
      <c r="CG106" s="309"/>
      <c r="CH106" s="308"/>
      <c r="CI106" s="307"/>
      <c r="CJ106" s="309"/>
      <c r="CK106" s="308"/>
      <c r="CL106" s="307"/>
      <c r="CM106" s="301"/>
      <c r="CN106" s="306"/>
      <c r="CR106" s="231" t="s">
        <v>1273</v>
      </c>
    </row>
    <row r="107" spans="2:96" s="234" customFormat="1" ht="20.25" customHeight="1" thickBot="1" x14ac:dyDescent="0.25">
      <c r="B107" s="1077"/>
      <c r="C107" s="973"/>
      <c r="D107" s="943"/>
      <c r="E107" s="952"/>
      <c r="F107" s="1041"/>
      <c r="G107" s="385" t="str">
        <f>+'Plan de Accion apoyo transversa'!X105</f>
        <v>Actividades de navidad (novenas del 16 al 20 de diciembre de 2019) realizadas</v>
      </c>
      <c r="H107" s="961"/>
      <c r="I107" s="235"/>
      <c r="J107" s="279" t="e">
        <f>+'Plan de Accion apoyo transversa'!AW105</f>
        <v>#DIV/0!</v>
      </c>
      <c r="K107" s="615" t="str">
        <f>+'Plan de Accion apoyo transversa'!CF105</f>
        <v>No Prog ni Ejec</v>
      </c>
      <c r="L107" s="615" t="s">
        <v>206</v>
      </c>
      <c r="M107" s="615">
        <f>+'Plan de Accion apoyo transversa'!AY105</f>
        <v>0</v>
      </c>
      <c r="N107" s="615">
        <f t="shared" si="27"/>
        <v>0</v>
      </c>
      <c r="O107" s="615" t="s">
        <v>206</v>
      </c>
      <c r="P107" s="277"/>
      <c r="Q107" s="279" t="e">
        <f>+'Plan de Accion apoyo transversa'!BG105</f>
        <v>#DIV/0!</v>
      </c>
      <c r="R107" s="315" t="str">
        <f>+'Plan de Accion apoyo transversa'!CH105</f>
        <v>No Prog ni Ejec</v>
      </c>
      <c r="S107" s="276" t="s">
        <v>206</v>
      </c>
      <c r="T107" s="373">
        <f>+'Plan de Accion apoyo transversa'!BI105</f>
        <v>0</v>
      </c>
      <c r="U107" s="373">
        <f t="shared" si="24"/>
        <v>0</v>
      </c>
      <c r="V107" s="275" t="s">
        <v>206</v>
      </c>
      <c r="W107" s="278"/>
      <c r="X107" s="279" t="e">
        <f>+'Plan de Accion apoyo transversa'!BQ105</f>
        <v>#DIV/0!</v>
      </c>
      <c r="Y107" s="315" t="str">
        <f>+'Plan de Accion apoyo transversa'!CJ105</f>
        <v>No Prog ni Ejec</v>
      </c>
      <c r="Z107" s="276" t="s">
        <v>206</v>
      </c>
      <c r="AA107" s="282">
        <f>+'Plan de Accion apoyo transversa'!BS105</f>
        <v>0</v>
      </c>
      <c r="AB107" s="282">
        <f t="shared" si="25"/>
        <v>0</v>
      </c>
      <c r="AC107" s="371" t="s">
        <v>206</v>
      </c>
      <c r="AD107" s="277"/>
      <c r="AE107" s="279">
        <f>+'Plan de Accion apoyo transversa'!CA105</f>
        <v>0</v>
      </c>
      <c r="AF107" s="315">
        <f>+'Plan de Accion apoyo transversa'!CL105</f>
        <v>0</v>
      </c>
      <c r="AG107" s="276">
        <f>IF(AF107&gt;100%,100%,AF107)</f>
        <v>0</v>
      </c>
      <c r="AH107" s="315">
        <f>+'Plan de Accion apoyo transversa'!CC105</f>
        <v>0</v>
      </c>
      <c r="AI107" s="275">
        <f t="shared" si="26"/>
        <v>0</v>
      </c>
      <c r="AJ107" s="314"/>
      <c r="AK107" s="299"/>
      <c r="AL107" s="313"/>
      <c r="AM107" s="312"/>
      <c r="AN107" s="298"/>
      <c r="AO107" s="313"/>
      <c r="AP107" s="312"/>
      <c r="AQ107" s="298"/>
      <c r="AR107" s="313"/>
      <c r="AS107" s="312"/>
      <c r="AT107" s="298"/>
      <c r="AU107" s="313"/>
      <c r="AV107" s="312"/>
      <c r="AW107" s="298"/>
      <c r="AX107" s="311"/>
      <c r="AY107" s="298"/>
      <c r="AZ107" s="313"/>
      <c r="BA107" s="312"/>
      <c r="BB107" s="298"/>
      <c r="BC107" s="313"/>
      <c r="BD107" s="312"/>
      <c r="BE107" s="298"/>
      <c r="BF107" s="313"/>
      <c r="BG107" s="312"/>
      <c r="BH107" s="298"/>
      <c r="BI107" s="313"/>
      <c r="BJ107" s="312"/>
      <c r="BK107" s="298"/>
      <c r="BL107" s="311"/>
      <c r="BN107" s="313"/>
      <c r="BO107" s="312"/>
      <c r="BP107" s="298"/>
      <c r="BQ107" s="313"/>
      <c r="BR107" s="312"/>
      <c r="BS107" s="298"/>
      <c r="BT107" s="313"/>
      <c r="BU107" s="312"/>
      <c r="BV107" s="298"/>
      <c r="BW107" s="313"/>
      <c r="BX107" s="312"/>
      <c r="BY107" s="298"/>
      <c r="BZ107" s="311"/>
      <c r="CB107" s="313"/>
      <c r="CC107" s="312"/>
      <c r="CD107" s="298"/>
      <c r="CE107" s="313"/>
      <c r="CF107" s="312"/>
      <c r="CG107" s="298"/>
      <c r="CH107" s="313"/>
      <c r="CI107" s="312"/>
      <c r="CJ107" s="298"/>
      <c r="CK107" s="313"/>
      <c r="CL107" s="312"/>
      <c r="CM107" s="298"/>
      <c r="CN107" s="311"/>
    </row>
    <row r="108" spans="2:96" s="234" customFormat="1" ht="29.25" thickBot="1" x14ac:dyDescent="0.25">
      <c r="B108" s="1077"/>
      <c r="C108" s="973"/>
      <c r="D108" s="943"/>
      <c r="E108" s="952"/>
      <c r="F108" s="1041"/>
      <c r="G108" s="385" t="str">
        <f>+'Plan de Accion apoyo transversa'!X106</f>
        <v>Actividad social de Dia del servidor público realizada</v>
      </c>
      <c r="H108" s="961"/>
      <c r="I108" s="235"/>
      <c r="J108" s="279" t="e">
        <f>+'Plan de Accion apoyo transversa'!AW106</f>
        <v>#DIV/0!</v>
      </c>
      <c r="K108" s="615" t="str">
        <f>+'Plan de Accion apoyo transversa'!CF106</f>
        <v>No Prog ni Ejec</v>
      </c>
      <c r="L108" s="615" t="s">
        <v>206</v>
      </c>
      <c r="M108" s="615">
        <f>+'Plan de Accion apoyo transversa'!AY106</f>
        <v>0</v>
      </c>
      <c r="N108" s="615">
        <f t="shared" si="27"/>
        <v>0</v>
      </c>
      <c r="O108" s="615" t="s">
        <v>206</v>
      </c>
      <c r="P108" s="277"/>
      <c r="Q108" s="279">
        <f>+'Plan de Accion apoyo transversa'!BG106</f>
        <v>0</v>
      </c>
      <c r="R108" s="315">
        <f>+'Plan de Accion apoyo transversa'!CH106</f>
        <v>0</v>
      </c>
      <c r="S108" s="276">
        <f>IF(R108&gt;100%,100%,R108)</f>
        <v>0</v>
      </c>
      <c r="T108" s="373">
        <f>+'Plan de Accion apoyo transversa'!BI106</f>
        <v>0</v>
      </c>
      <c r="U108" s="373">
        <f t="shared" si="24"/>
        <v>0</v>
      </c>
      <c r="V108" s="275">
        <f t="shared" si="29"/>
        <v>0</v>
      </c>
      <c r="W108" s="278"/>
      <c r="X108" s="279">
        <f>+'Plan de Accion apoyo transversa'!BQ106</f>
        <v>0</v>
      </c>
      <c r="Y108" s="315">
        <f>+'Plan de Accion apoyo transversa'!CJ106</f>
        <v>0</v>
      </c>
      <c r="Z108" s="276">
        <f>IF(Y108&gt;100%,100%,Y108)</f>
        <v>0</v>
      </c>
      <c r="AA108" s="282">
        <f>+'Plan de Accion apoyo transversa'!BS106</f>
        <v>0</v>
      </c>
      <c r="AB108" s="282">
        <f t="shared" si="25"/>
        <v>0</v>
      </c>
      <c r="AC108" s="371">
        <f t="shared" si="30"/>
        <v>0</v>
      </c>
      <c r="AD108" s="277"/>
      <c r="AE108" s="279" t="e">
        <f>+'Plan de Accion apoyo transversa'!CA106</f>
        <v>#DIV/0!</v>
      </c>
      <c r="AF108" s="315" t="str">
        <f>+'Plan de Accion apoyo transversa'!CL106</f>
        <v>No Prog ni Ejec</v>
      </c>
      <c r="AG108" s="276" t="s">
        <v>206</v>
      </c>
      <c r="AH108" s="315">
        <f>+'Plan de Accion apoyo transversa'!CC106</f>
        <v>0</v>
      </c>
      <c r="AI108" s="275">
        <f t="shared" si="26"/>
        <v>0</v>
      </c>
      <c r="AJ108" s="314"/>
      <c r="AK108" s="299"/>
      <c r="AL108" s="313"/>
      <c r="AM108" s="312"/>
      <c r="AN108" s="298"/>
      <c r="AO108" s="313"/>
      <c r="AP108" s="312"/>
      <c r="AQ108" s="298"/>
      <c r="AR108" s="313"/>
      <c r="AS108" s="312"/>
      <c r="AT108" s="298"/>
      <c r="AU108" s="313"/>
      <c r="AV108" s="312"/>
      <c r="AW108" s="298"/>
      <c r="AX108" s="311"/>
      <c r="AY108" s="298"/>
      <c r="AZ108" s="313"/>
      <c r="BA108" s="312"/>
      <c r="BB108" s="298"/>
      <c r="BC108" s="313"/>
      <c r="BD108" s="312"/>
      <c r="BE108" s="298"/>
      <c r="BF108" s="313"/>
      <c r="BG108" s="312"/>
      <c r="BH108" s="298"/>
      <c r="BI108" s="313"/>
      <c r="BJ108" s="312"/>
      <c r="BK108" s="298"/>
      <c r="BL108" s="311"/>
      <c r="BN108" s="313"/>
      <c r="BO108" s="312"/>
      <c r="BP108" s="298"/>
      <c r="BQ108" s="313"/>
      <c r="BR108" s="312"/>
      <c r="BS108" s="298"/>
      <c r="BT108" s="313"/>
      <c r="BU108" s="312"/>
      <c r="BV108" s="298"/>
      <c r="BW108" s="313"/>
      <c r="BX108" s="312"/>
      <c r="BY108" s="298"/>
      <c r="BZ108" s="311"/>
      <c r="CB108" s="313"/>
      <c r="CC108" s="312"/>
      <c r="CD108" s="298"/>
      <c r="CE108" s="313"/>
      <c r="CF108" s="312"/>
      <c r="CG108" s="298"/>
      <c r="CH108" s="313"/>
      <c r="CI108" s="312"/>
      <c r="CJ108" s="298"/>
      <c r="CK108" s="313"/>
      <c r="CL108" s="312"/>
      <c r="CM108" s="298"/>
      <c r="CN108" s="311"/>
    </row>
    <row r="109" spans="2:96" s="234" customFormat="1" ht="29.25" thickBot="1" x14ac:dyDescent="0.25">
      <c r="B109" s="1077"/>
      <c r="C109" s="973"/>
      <c r="D109" s="943"/>
      <c r="E109" s="952"/>
      <c r="F109" s="1041"/>
      <c r="G109" s="385" t="str">
        <f>+'Plan de Accion apoyo transversa'!X107</f>
        <v>Plan prepensionados realizado</v>
      </c>
      <c r="H109" s="961"/>
      <c r="I109" s="235"/>
      <c r="J109" s="279" t="e">
        <f>+'Plan de Accion apoyo transversa'!AW107</f>
        <v>#DIV/0!</v>
      </c>
      <c r="K109" s="615" t="str">
        <f>+'Plan de Accion apoyo transversa'!CF107</f>
        <v>No Prog ni Ejec</v>
      </c>
      <c r="L109" s="615" t="s">
        <v>206</v>
      </c>
      <c r="M109" s="615">
        <f>+'Plan de Accion apoyo transversa'!AY107</f>
        <v>0</v>
      </c>
      <c r="N109" s="615">
        <f t="shared" si="27"/>
        <v>0</v>
      </c>
      <c r="O109" s="615" t="s">
        <v>206</v>
      </c>
      <c r="P109" s="277"/>
      <c r="Q109" s="279" t="e">
        <f>+'Plan de Accion apoyo transversa'!BG107</f>
        <v>#DIV/0!</v>
      </c>
      <c r="R109" s="315" t="str">
        <f>+'Plan de Accion apoyo transversa'!CH107</f>
        <v>No Prog ni Ejec</v>
      </c>
      <c r="S109" s="276" t="s">
        <v>206</v>
      </c>
      <c r="T109" s="373">
        <f>+'Plan de Accion apoyo transversa'!BI107</f>
        <v>0</v>
      </c>
      <c r="U109" s="373">
        <f t="shared" si="24"/>
        <v>0</v>
      </c>
      <c r="V109" s="275" t="s">
        <v>206</v>
      </c>
      <c r="W109" s="278"/>
      <c r="X109" s="279">
        <f>+'Plan de Accion apoyo transversa'!BQ107</f>
        <v>0</v>
      </c>
      <c r="Y109" s="315">
        <f>+'Plan de Accion apoyo transversa'!CJ107</f>
        <v>0</v>
      </c>
      <c r="Z109" s="276">
        <f>IF(Y109&gt;100%,100%,Y109)</f>
        <v>0</v>
      </c>
      <c r="AA109" s="282">
        <f>+'Plan de Accion apoyo transversa'!BS107</f>
        <v>0</v>
      </c>
      <c r="AB109" s="282">
        <f t="shared" si="25"/>
        <v>0</v>
      </c>
      <c r="AC109" s="371">
        <f t="shared" si="30"/>
        <v>0</v>
      </c>
      <c r="AD109" s="277"/>
      <c r="AE109" s="279" t="e">
        <f>+'Plan de Accion apoyo transversa'!CA107</f>
        <v>#DIV/0!</v>
      </c>
      <c r="AF109" s="315" t="str">
        <f>+'Plan de Accion apoyo transversa'!CL107</f>
        <v>No Prog ni Ejec</v>
      </c>
      <c r="AG109" s="276" t="s">
        <v>206</v>
      </c>
      <c r="AH109" s="315">
        <f>+'Plan de Accion apoyo transversa'!CC107</f>
        <v>0</v>
      </c>
      <c r="AI109" s="275">
        <f t="shared" si="26"/>
        <v>0</v>
      </c>
      <c r="AJ109" s="314"/>
      <c r="AK109" s="299"/>
      <c r="AL109" s="313"/>
      <c r="AM109" s="312"/>
      <c r="AN109" s="298"/>
      <c r="AO109" s="313"/>
      <c r="AP109" s="312"/>
      <c r="AQ109" s="298"/>
      <c r="AR109" s="313"/>
      <c r="AS109" s="312"/>
      <c r="AT109" s="298"/>
      <c r="AU109" s="313"/>
      <c r="AV109" s="312"/>
      <c r="AW109" s="298"/>
      <c r="AX109" s="311"/>
      <c r="AY109" s="298"/>
      <c r="AZ109" s="313"/>
      <c r="BA109" s="312"/>
      <c r="BB109" s="298"/>
      <c r="BC109" s="313"/>
      <c r="BD109" s="312"/>
      <c r="BE109" s="298"/>
      <c r="BF109" s="313"/>
      <c r="BG109" s="312"/>
      <c r="BH109" s="298"/>
      <c r="BI109" s="313"/>
      <c r="BJ109" s="312"/>
      <c r="BK109" s="298"/>
      <c r="BL109" s="311"/>
      <c r="BN109" s="313"/>
      <c r="BO109" s="312"/>
      <c r="BP109" s="298"/>
      <c r="BQ109" s="313"/>
      <c r="BR109" s="312"/>
      <c r="BS109" s="298"/>
      <c r="BT109" s="313"/>
      <c r="BU109" s="312"/>
      <c r="BV109" s="298"/>
      <c r="BW109" s="313"/>
      <c r="BX109" s="312"/>
      <c r="BY109" s="298"/>
      <c r="BZ109" s="311"/>
      <c r="CB109" s="313"/>
      <c r="CC109" s="312"/>
      <c r="CD109" s="298"/>
      <c r="CE109" s="313"/>
      <c r="CF109" s="312"/>
      <c r="CG109" s="298"/>
      <c r="CH109" s="313"/>
      <c r="CI109" s="312"/>
      <c r="CJ109" s="298"/>
      <c r="CK109" s="313"/>
      <c r="CL109" s="312"/>
      <c r="CM109" s="298"/>
      <c r="CN109" s="311"/>
    </row>
    <row r="110" spans="2:96" s="234" customFormat="1" ht="29.25" thickBot="1" x14ac:dyDescent="0.25">
      <c r="B110" s="1077"/>
      <c r="C110" s="973"/>
      <c r="D110" s="943"/>
      <c r="E110" s="952"/>
      <c r="F110" s="1041"/>
      <c r="G110" s="385" t="str">
        <f>+'Plan de Accion apoyo transversa'!X108</f>
        <v>Medición del clima laboral realizada</v>
      </c>
      <c r="H110" s="961"/>
      <c r="I110" s="235"/>
      <c r="J110" s="279" t="e">
        <f>+'Plan de Accion apoyo transversa'!AW108</f>
        <v>#DIV/0!</v>
      </c>
      <c r="K110" s="615" t="str">
        <f>+'Plan de Accion apoyo transversa'!CF108</f>
        <v>No Prog ni Ejec</v>
      </c>
      <c r="L110" s="615" t="s">
        <v>206</v>
      </c>
      <c r="M110" s="615">
        <f>+'Plan de Accion apoyo transversa'!AY108</f>
        <v>0</v>
      </c>
      <c r="N110" s="615">
        <f t="shared" si="27"/>
        <v>0</v>
      </c>
      <c r="O110" s="615" t="s">
        <v>206</v>
      </c>
      <c r="P110" s="277"/>
      <c r="Q110" s="279" t="e">
        <f>+'Plan de Accion apoyo transversa'!BG108</f>
        <v>#DIV/0!</v>
      </c>
      <c r="R110" s="315" t="str">
        <f>+'Plan de Accion apoyo transversa'!CH108</f>
        <v>No Prog ni Ejec</v>
      </c>
      <c r="S110" s="276" t="s">
        <v>206</v>
      </c>
      <c r="T110" s="373">
        <f>+'Plan de Accion apoyo transversa'!BI108</f>
        <v>0</v>
      </c>
      <c r="U110" s="373">
        <f t="shared" si="24"/>
        <v>0</v>
      </c>
      <c r="V110" s="275" t="s">
        <v>206</v>
      </c>
      <c r="W110" s="278"/>
      <c r="X110" s="279">
        <f>+'Plan de Accion apoyo transversa'!BQ108</f>
        <v>0</v>
      </c>
      <c r="Y110" s="315">
        <f>+'Plan de Accion apoyo transversa'!CJ108</f>
        <v>0</v>
      </c>
      <c r="Z110" s="276">
        <f>IF(Y110&gt;100%,100%,Y110)</f>
        <v>0</v>
      </c>
      <c r="AA110" s="282">
        <f>+'Plan de Accion apoyo transversa'!BS108</f>
        <v>0</v>
      </c>
      <c r="AB110" s="282">
        <f t="shared" si="25"/>
        <v>0</v>
      </c>
      <c r="AC110" s="371">
        <f t="shared" si="30"/>
        <v>0</v>
      </c>
      <c r="AD110" s="277"/>
      <c r="AE110" s="279" t="e">
        <f>+'Plan de Accion apoyo transversa'!CA108</f>
        <v>#DIV/0!</v>
      </c>
      <c r="AF110" s="315" t="str">
        <f>+'Plan de Accion apoyo transversa'!CL108</f>
        <v>No Prog ni Ejec</v>
      </c>
      <c r="AG110" s="276" t="s">
        <v>206</v>
      </c>
      <c r="AH110" s="315">
        <f>+'Plan de Accion apoyo transversa'!CC108</f>
        <v>0</v>
      </c>
      <c r="AI110" s="275">
        <f t="shared" si="26"/>
        <v>0</v>
      </c>
      <c r="AJ110" s="314"/>
      <c r="AK110" s="299"/>
      <c r="AL110" s="313"/>
      <c r="AM110" s="312"/>
      <c r="AN110" s="298"/>
      <c r="AO110" s="313"/>
      <c r="AP110" s="312"/>
      <c r="AQ110" s="298"/>
      <c r="AR110" s="313"/>
      <c r="AS110" s="312"/>
      <c r="AT110" s="298"/>
      <c r="AU110" s="313"/>
      <c r="AV110" s="312"/>
      <c r="AW110" s="298"/>
      <c r="AX110" s="311"/>
      <c r="AY110" s="298"/>
      <c r="AZ110" s="313"/>
      <c r="BA110" s="312"/>
      <c r="BB110" s="298"/>
      <c r="BC110" s="313"/>
      <c r="BD110" s="312"/>
      <c r="BE110" s="298"/>
      <c r="BF110" s="313"/>
      <c r="BG110" s="312"/>
      <c r="BH110" s="298"/>
      <c r="BI110" s="313"/>
      <c r="BJ110" s="312"/>
      <c r="BK110" s="298"/>
      <c r="BL110" s="311"/>
      <c r="BN110" s="313"/>
      <c r="BO110" s="312"/>
      <c r="BP110" s="298"/>
      <c r="BQ110" s="313"/>
      <c r="BR110" s="312"/>
      <c r="BS110" s="298"/>
      <c r="BT110" s="313"/>
      <c r="BU110" s="312"/>
      <c r="BV110" s="298"/>
      <c r="BW110" s="313"/>
      <c r="BX110" s="312"/>
      <c r="BY110" s="298"/>
      <c r="BZ110" s="311"/>
      <c r="CB110" s="313"/>
      <c r="CC110" s="312"/>
      <c r="CD110" s="298"/>
      <c r="CE110" s="313"/>
      <c r="CF110" s="312"/>
      <c r="CG110" s="298"/>
      <c r="CH110" s="313"/>
      <c r="CI110" s="312"/>
      <c r="CJ110" s="298"/>
      <c r="CK110" s="313"/>
      <c r="CL110" s="312"/>
      <c r="CM110" s="298"/>
      <c r="CN110" s="311"/>
    </row>
    <row r="111" spans="2:96" s="234" customFormat="1" ht="29.25" thickBot="1" x14ac:dyDescent="0.25">
      <c r="B111" s="1077"/>
      <c r="C111" s="973"/>
      <c r="D111" s="943"/>
      <c r="E111" s="952"/>
      <c r="F111" s="1041"/>
      <c r="G111" s="385" t="str">
        <f>+'Plan de Accion apoyo transversa'!X109</f>
        <v>Jornada de salud sobre: Salud visual realizada</v>
      </c>
      <c r="H111" s="961"/>
      <c r="I111" s="235"/>
      <c r="J111" s="279" t="e">
        <f>+'Plan de Accion apoyo transversa'!AW109</f>
        <v>#DIV/0!</v>
      </c>
      <c r="K111" s="615" t="str">
        <f>+'Plan de Accion apoyo transversa'!CF109</f>
        <v>No Prog ni Ejec</v>
      </c>
      <c r="L111" s="615" t="s">
        <v>206</v>
      </c>
      <c r="M111" s="615">
        <f>+'Plan de Accion apoyo transversa'!AY109</f>
        <v>0</v>
      </c>
      <c r="N111" s="615">
        <f t="shared" si="27"/>
        <v>0</v>
      </c>
      <c r="O111" s="615" t="s">
        <v>206</v>
      </c>
      <c r="P111" s="277"/>
      <c r="Q111" s="279">
        <f>+'Plan de Accion apoyo transversa'!BG109</f>
        <v>0</v>
      </c>
      <c r="R111" s="315">
        <f>+'Plan de Accion apoyo transversa'!CH109</f>
        <v>0</v>
      </c>
      <c r="S111" s="276">
        <f>IF(R111&gt;100%,100%,R111)</f>
        <v>0</v>
      </c>
      <c r="T111" s="373">
        <f>+'Plan de Accion apoyo transversa'!BI109</f>
        <v>0</v>
      </c>
      <c r="U111" s="373">
        <f t="shared" si="24"/>
        <v>0</v>
      </c>
      <c r="V111" s="275">
        <f t="shared" si="29"/>
        <v>0</v>
      </c>
      <c r="W111" s="278"/>
      <c r="X111" s="279" t="e">
        <f>+'Plan de Accion apoyo transversa'!BQ109</f>
        <v>#DIV/0!</v>
      </c>
      <c r="Y111" s="315" t="str">
        <f>+'Plan de Accion apoyo transversa'!CJ109</f>
        <v>No Prog ni Ejec</v>
      </c>
      <c r="Z111" s="276" t="s">
        <v>206</v>
      </c>
      <c r="AA111" s="282">
        <f>+'Plan de Accion apoyo transversa'!BS109</f>
        <v>0</v>
      </c>
      <c r="AB111" s="282">
        <f t="shared" si="25"/>
        <v>0</v>
      </c>
      <c r="AC111" s="371">
        <f t="shared" si="30"/>
        <v>0</v>
      </c>
      <c r="AD111" s="277"/>
      <c r="AE111" s="279">
        <f>+'Plan de Accion apoyo transversa'!CA109</f>
        <v>0</v>
      </c>
      <c r="AF111" s="315">
        <f>+'Plan de Accion apoyo transversa'!CL109</f>
        <v>0</v>
      </c>
      <c r="AG111" s="276">
        <f>IF(AF111&gt;100%,100%,AF111)</f>
        <v>0</v>
      </c>
      <c r="AH111" s="315">
        <f>+'Plan de Accion apoyo transversa'!CC109</f>
        <v>0</v>
      </c>
      <c r="AI111" s="275">
        <f t="shared" si="26"/>
        <v>0</v>
      </c>
      <c r="AJ111" s="314"/>
      <c r="AK111" s="299"/>
      <c r="AL111" s="313"/>
      <c r="AM111" s="312"/>
      <c r="AN111" s="298"/>
      <c r="AO111" s="313"/>
      <c r="AP111" s="312"/>
      <c r="AQ111" s="298"/>
      <c r="AR111" s="313"/>
      <c r="AS111" s="312"/>
      <c r="AT111" s="298"/>
      <c r="AU111" s="313"/>
      <c r="AV111" s="312"/>
      <c r="AW111" s="298"/>
      <c r="AX111" s="311"/>
      <c r="AY111" s="298"/>
      <c r="AZ111" s="313"/>
      <c r="BA111" s="312"/>
      <c r="BB111" s="298"/>
      <c r="BC111" s="313"/>
      <c r="BD111" s="312"/>
      <c r="BE111" s="298"/>
      <c r="BF111" s="313"/>
      <c r="BG111" s="312"/>
      <c r="BH111" s="298"/>
      <c r="BI111" s="313"/>
      <c r="BJ111" s="312"/>
      <c r="BK111" s="298"/>
      <c r="BL111" s="311"/>
      <c r="BN111" s="313"/>
      <c r="BO111" s="312"/>
      <c r="BP111" s="298"/>
      <c r="BQ111" s="313"/>
      <c r="BR111" s="312"/>
      <c r="BS111" s="298"/>
      <c r="BT111" s="313"/>
      <c r="BU111" s="312"/>
      <c r="BV111" s="298"/>
      <c r="BW111" s="313"/>
      <c r="BX111" s="312"/>
      <c r="BY111" s="298"/>
      <c r="BZ111" s="311"/>
      <c r="CB111" s="313"/>
      <c r="CC111" s="312"/>
      <c r="CD111" s="298"/>
      <c r="CE111" s="313"/>
      <c r="CF111" s="312"/>
      <c r="CG111" s="298"/>
      <c r="CH111" s="313"/>
      <c r="CI111" s="312"/>
      <c r="CJ111" s="298"/>
      <c r="CK111" s="313"/>
      <c r="CL111" s="312"/>
      <c r="CM111" s="298"/>
      <c r="CN111" s="311"/>
    </row>
    <row r="112" spans="2:96" s="234" customFormat="1" ht="33.75" customHeight="1" thickBot="1" x14ac:dyDescent="0.25">
      <c r="B112" s="1077"/>
      <c r="C112" s="973"/>
      <c r="D112" s="943"/>
      <c r="E112" s="952"/>
      <c r="F112" s="1041"/>
      <c r="G112" s="385" t="str">
        <f>+'Plan de Accion apoyo transversa'!X110</f>
        <v>Jornada de salud sobre: Salud Oral realizada</v>
      </c>
      <c r="H112" s="961"/>
      <c r="I112" s="235"/>
      <c r="J112" s="279" t="e">
        <f>+'Plan de Accion apoyo transversa'!AW110</f>
        <v>#DIV/0!</v>
      </c>
      <c r="K112" s="615" t="str">
        <f>+'Plan de Accion apoyo transversa'!CF110</f>
        <v>No Prog ni Ejec</v>
      </c>
      <c r="L112" s="615" t="s">
        <v>206</v>
      </c>
      <c r="M112" s="615">
        <f>+'Plan de Accion apoyo transversa'!AY110</f>
        <v>0</v>
      </c>
      <c r="N112" s="615">
        <f t="shared" si="27"/>
        <v>0</v>
      </c>
      <c r="O112" s="615" t="s">
        <v>206</v>
      </c>
      <c r="P112" s="277"/>
      <c r="Q112" s="279" t="e">
        <f>+'Plan de Accion apoyo transversa'!BG110</f>
        <v>#DIV/0!</v>
      </c>
      <c r="R112" s="315" t="str">
        <f>+'Plan de Accion apoyo transversa'!CH110</f>
        <v>No Prog ni Ejec</v>
      </c>
      <c r="S112" s="276" t="s">
        <v>206</v>
      </c>
      <c r="T112" s="373">
        <f>+'Plan de Accion apoyo transversa'!BI110</f>
        <v>0</v>
      </c>
      <c r="U112" s="373">
        <f t="shared" si="24"/>
        <v>0</v>
      </c>
      <c r="V112" s="275" t="s">
        <v>206</v>
      </c>
      <c r="W112" s="278"/>
      <c r="X112" s="279" t="e">
        <f>+'Plan de Accion apoyo transversa'!BQ110</f>
        <v>#DIV/0!</v>
      </c>
      <c r="Y112" s="315" t="str">
        <f>+'Plan de Accion apoyo transversa'!CJ110</f>
        <v>No Prog ni Ejec</v>
      </c>
      <c r="Z112" s="276" t="s">
        <v>206</v>
      </c>
      <c r="AA112" s="282">
        <f>+'Plan de Accion apoyo transversa'!BS110</f>
        <v>0</v>
      </c>
      <c r="AB112" s="282">
        <f t="shared" si="25"/>
        <v>0</v>
      </c>
      <c r="AC112" s="371" t="s">
        <v>206</v>
      </c>
      <c r="AD112" s="277"/>
      <c r="AE112" s="279" t="e">
        <f>+'Plan de Accion apoyo transversa'!CA110</f>
        <v>#DIV/0!</v>
      </c>
      <c r="AF112" s="315" t="str">
        <f>+'Plan de Accion apoyo transversa'!CL110</f>
        <v>No Prog ni Ejec</v>
      </c>
      <c r="AG112" s="276" t="s">
        <v>206</v>
      </c>
      <c r="AH112" s="315">
        <f>+'Plan de Accion apoyo transversa'!CC110</f>
        <v>0</v>
      </c>
      <c r="AI112" s="275">
        <f t="shared" si="26"/>
        <v>0</v>
      </c>
      <c r="AJ112" s="314"/>
      <c r="AK112" s="299"/>
      <c r="AL112" s="313"/>
      <c r="AM112" s="312"/>
      <c r="AN112" s="298"/>
      <c r="AO112" s="313"/>
      <c r="AP112" s="312"/>
      <c r="AQ112" s="298"/>
      <c r="AR112" s="313"/>
      <c r="AS112" s="312"/>
      <c r="AT112" s="298"/>
      <c r="AU112" s="313"/>
      <c r="AV112" s="312"/>
      <c r="AW112" s="298"/>
      <c r="AX112" s="311"/>
      <c r="AY112" s="298"/>
      <c r="AZ112" s="313"/>
      <c r="BA112" s="312"/>
      <c r="BB112" s="298"/>
      <c r="BC112" s="313"/>
      <c r="BD112" s="312"/>
      <c r="BE112" s="298"/>
      <c r="BF112" s="313"/>
      <c r="BG112" s="312"/>
      <c r="BH112" s="298"/>
      <c r="BI112" s="313"/>
      <c r="BJ112" s="312"/>
      <c r="BK112" s="298"/>
      <c r="BL112" s="311"/>
      <c r="BN112" s="313"/>
      <c r="BO112" s="312"/>
      <c r="BP112" s="298"/>
      <c r="BQ112" s="313"/>
      <c r="BR112" s="312"/>
      <c r="BS112" s="298"/>
      <c r="BT112" s="313"/>
      <c r="BU112" s="312"/>
      <c r="BV112" s="298"/>
      <c r="BW112" s="313"/>
      <c r="BX112" s="312"/>
      <c r="BY112" s="298"/>
      <c r="BZ112" s="311"/>
      <c r="CB112" s="313"/>
      <c r="CC112" s="312"/>
      <c r="CD112" s="298"/>
      <c r="CE112" s="313"/>
      <c r="CF112" s="312"/>
      <c r="CG112" s="298"/>
      <c r="CH112" s="313"/>
      <c r="CI112" s="312"/>
      <c r="CJ112" s="298"/>
      <c r="CK112" s="313"/>
      <c r="CL112" s="312"/>
      <c r="CM112" s="298"/>
      <c r="CN112" s="311"/>
    </row>
    <row r="113" spans="2:92" s="234" customFormat="1" ht="57.75" customHeight="1" thickBot="1" x14ac:dyDescent="0.25">
      <c r="B113" s="1077"/>
      <c r="C113" s="973"/>
      <c r="D113" s="943"/>
      <c r="E113" s="952"/>
      <c r="F113" s="1041"/>
      <c r="G113" s="385" t="str">
        <f>+'Plan de Accion apoyo transversa'!X111</f>
        <v>Jornada de salud sobre: Prevención cardiovascular realizada</v>
      </c>
      <c r="H113" s="961"/>
      <c r="I113" s="235"/>
      <c r="J113" s="279" t="e">
        <f>+'Plan de Accion apoyo transversa'!AW111</f>
        <v>#DIV/0!</v>
      </c>
      <c r="K113" s="615" t="str">
        <f>+'Plan de Accion apoyo transversa'!CF111</f>
        <v>No Prog ni Ejec</v>
      </c>
      <c r="L113" s="615" t="s">
        <v>206</v>
      </c>
      <c r="M113" s="615">
        <f>+'Plan de Accion apoyo transversa'!AY111</f>
        <v>0</v>
      </c>
      <c r="N113" s="615">
        <f t="shared" si="27"/>
        <v>0</v>
      </c>
      <c r="O113" s="615" t="s">
        <v>206</v>
      </c>
      <c r="P113" s="277"/>
      <c r="Q113" s="279" t="e">
        <f>+'Plan de Accion apoyo transversa'!BG111</f>
        <v>#DIV/0!</v>
      </c>
      <c r="R113" s="315" t="str">
        <f>+'Plan de Accion apoyo transversa'!CH111</f>
        <v>No Prog ni Ejec</v>
      </c>
      <c r="S113" s="276" t="s">
        <v>206</v>
      </c>
      <c r="T113" s="373">
        <f>+'Plan de Accion apoyo transversa'!BI111</f>
        <v>0</v>
      </c>
      <c r="U113" s="373">
        <f t="shared" si="24"/>
        <v>0</v>
      </c>
      <c r="V113" s="275" t="s">
        <v>206</v>
      </c>
      <c r="W113" s="278"/>
      <c r="X113" s="279" t="e">
        <f>+'Plan de Accion apoyo transversa'!BQ111</f>
        <v>#DIV/0!</v>
      </c>
      <c r="Y113" s="315" t="str">
        <f>+'Plan de Accion apoyo transversa'!CJ111</f>
        <v>No Prog ni Ejec</v>
      </c>
      <c r="Z113" s="276" t="s">
        <v>206</v>
      </c>
      <c r="AA113" s="282">
        <f>+'Plan de Accion apoyo transversa'!BS111</f>
        <v>0</v>
      </c>
      <c r="AB113" s="282">
        <f t="shared" si="25"/>
        <v>0</v>
      </c>
      <c r="AC113" s="371" t="s">
        <v>206</v>
      </c>
      <c r="AD113" s="277"/>
      <c r="AE113" s="279" t="e">
        <f>+'Plan de Accion apoyo transversa'!CA111</f>
        <v>#DIV/0!</v>
      </c>
      <c r="AF113" s="315" t="str">
        <f>+'Plan de Accion apoyo transversa'!CL111</f>
        <v>No Prog ni Ejec</v>
      </c>
      <c r="AG113" s="276" t="s">
        <v>206</v>
      </c>
      <c r="AH113" s="315">
        <f>+'Plan de Accion apoyo transversa'!CC111</f>
        <v>0</v>
      </c>
      <c r="AI113" s="275">
        <f t="shared" si="26"/>
        <v>0</v>
      </c>
      <c r="AJ113" s="314"/>
      <c r="AK113" s="299"/>
      <c r="AL113" s="313"/>
      <c r="AM113" s="312"/>
      <c r="AN113" s="298"/>
      <c r="AO113" s="313"/>
      <c r="AP113" s="312"/>
      <c r="AQ113" s="298"/>
      <c r="AR113" s="313"/>
      <c r="AS113" s="312"/>
      <c r="AT113" s="298"/>
      <c r="AU113" s="313"/>
      <c r="AV113" s="312"/>
      <c r="AW113" s="298"/>
      <c r="AX113" s="311"/>
      <c r="AY113" s="298"/>
      <c r="AZ113" s="313"/>
      <c r="BA113" s="312"/>
      <c r="BB113" s="298"/>
      <c r="BC113" s="313"/>
      <c r="BD113" s="312"/>
      <c r="BE113" s="298"/>
      <c r="BF113" s="313"/>
      <c r="BG113" s="312"/>
      <c r="BH113" s="298"/>
      <c r="BI113" s="313"/>
      <c r="BJ113" s="312"/>
      <c r="BK113" s="298"/>
      <c r="BL113" s="311"/>
      <c r="BN113" s="313"/>
      <c r="BO113" s="312"/>
      <c r="BP113" s="298"/>
      <c r="BQ113" s="313"/>
      <c r="BR113" s="312"/>
      <c r="BS113" s="298"/>
      <c r="BT113" s="313"/>
      <c r="BU113" s="312"/>
      <c r="BV113" s="298"/>
      <c r="BW113" s="313"/>
      <c r="BX113" s="312"/>
      <c r="BY113" s="298"/>
      <c r="BZ113" s="311"/>
      <c r="CB113" s="313"/>
      <c r="CC113" s="312"/>
      <c r="CD113" s="298"/>
      <c r="CE113" s="313"/>
      <c r="CF113" s="312"/>
      <c r="CG113" s="298"/>
      <c r="CH113" s="313"/>
      <c r="CI113" s="312"/>
      <c r="CJ113" s="298"/>
      <c r="CK113" s="313"/>
      <c r="CL113" s="312"/>
      <c r="CM113" s="298"/>
      <c r="CN113" s="311"/>
    </row>
    <row r="114" spans="2:92" s="234" customFormat="1" ht="43.5" thickBot="1" x14ac:dyDescent="0.25">
      <c r="B114" s="1077"/>
      <c r="C114" s="973"/>
      <c r="D114" s="943"/>
      <c r="E114" s="952"/>
      <c r="F114" s="1041"/>
      <c r="G114" s="385" t="str">
        <f>+'Plan de Accion apoyo transversa'!X112</f>
        <v>Jornada de salud sobre: Prevención del cáncer realizada</v>
      </c>
      <c r="H114" s="961"/>
      <c r="I114" s="235"/>
      <c r="J114" s="279" t="e">
        <f>+'Plan de Accion apoyo transversa'!AW112</f>
        <v>#DIV/0!</v>
      </c>
      <c r="K114" s="615" t="str">
        <f>+'Plan de Accion apoyo transversa'!CF112</f>
        <v>No Prog ni Ejec</v>
      </c>
      <c r="L114" s="615" t="s">
        <v>206</v>
      </c>
      <c r="M114" s="615">
        <f>+'Plan de Accion apoyo transversa'!AY112</f>
        <v>0</v>
      </c>
      <c r="N114" s="615">
        <f t="shared" si="27"/>
        <v>0</v>
      </c>
      <c r="O114" s="615" t="s">
        <v>206</v>
      </c>
      <c r="P114" s="277"/>
      <c r="Q114" s="279" t="e">
        <f>+'Plan de Accion apoyo transversa'!BG112</f>
        <v>#DIV/0!</v>
      </c>
      <c r="R114" s="315" t="str">
        <f>+'Plan de Accion apoyo transversa'!CH112</f>
        <v>No Prog ni Ejec</v>
      </c>
      <c r="S114" s="276" t="s">
        <v>206</v>
      </c>
      <c r="T114" s="373">
        <f>+'Plan de Accion apoyo transversa'!BI112</f>
        <v>0</v>
      </c>
      <c r="U114" s="373">
        <f t="shared" si="24"/>
        <v>0</v>
      </c>
      <c r="V114" s="275" t="s">
        <v>206</v>
      </c>
      <c r="W114" s="278"/>
      <c r="X114" s="279" t="e">
        <f>+'Plan de Accion apoyo transversa'!BQ112</f>
        <v>#DIV/0!</v>
      </c>
      <c r="Y114" s="315" t="str">
        <f>+'Plan de Accion apoyo transversa'!CJ112</f>
        <v>No Prog ni Ejec</v>
      </c>
      <c r="Z114" s="276" t="s">
        <v>206</v>
      </c>
      <c r="AA114" s="282">
        <f>+'Plan de Accion apoyo transversa'!BS112</f>
        <v>0</v>
      </c>
      <c r="AB114" s="282">
        <f t="shared" si="25"/>
        <v>0</v>
      </c>
      <c r="AC114" s="371" t="s">
        <v>206</v>
      </c>
      <c r="AD114" s="277"/>
      <c r="AE114" s="279" t="e">
        <f>+'Plan de Accion apoyo transversa'!CA112</f>
        <v>#DIV/0!</v>
      </c>
      <c r="AF114" s="315" t="str">
        <f>+'Plan de Accion apoyo transversa'!CL112</f>
        <v>No Prog ni Ejec</v>
      </c>
      <c r="AG114" s="276" t="s">
        <v>206</v>
      </c>
      <c r="AH114" s="315">
        <f>+'Plan de Accion apoyo transversa'!CC112</f>
        <v>0</v>
      </c>
      <c r="AI114" s="275">
        <f t="shared" si="26"/>
        <v>0</v>
      </c>
      <c r="AJ114" s="314"/>
      <c r="AK114" s="299"/>
      <c r="AL114" s="313"/>
      <c r="AM114" s="312"/>
      <c r="AN114" s="298"/>
      <c r="AO114" s="313"/>
      <c r="AP114" s="312"/>
      <c r="AQ114" s="298"/>
      <c r="AR114" s="313"/>
      <c r="AS114" s="312"/>
      <c r="AT114" s="298"/>
      <c r="AU114" s="313"/>
      <c r="AV114" s="312"/>
      <c r="AW114" s="298"/>
      <c r="AX114" s="311"/>
      <c r="AY114" s="298"/>
      <c r="AZ114" s="313"/>
      <c r="BA114" s="312"/>
      <c r="BB114" s="298"/>
      <c r="BC114" s="313"/>
      <c r="BD114" s="312"/>
      <c r="BE114" s="298"/>
      <c r="BF114" s="313"/>
      <c r="BG114" s="312"/>
      <c r="BH114" s="298"/>
      <c r="BI114" s="313"/>
      <c r="BJ114" s="312"/>
      <c r="BK114" s="298"/>
      <c r="BL114" s="311"/>
      <c r="BN114" s="313"/>
      <c r="BO114" s="312"/>
      <c r="BP114" s="298"/>
      <c r="BQ114" s="313"/>
      <c r="BR114" s="312"/>
      <c r="BS114" s="298"/>
      <c r="BT114" s="313"/>
      <c r="BU114" s="312"/>
      <c r="BV114" s="298"/>
      <c r="BW114" s="313"/>
      <c r="BX114" s="312"/>
      <c r="BY114" s="298"/>
      <c r="BZ114" s="311"/>
      <c r="CB114" s="313"/>
      <c r="CC114" s="312"/>
      <c r="CD114" s="298"/>
      <c r="CE114" s="313"/>
      <c r="CF114" s="312"/>
      <c r="CG114" s="298"/>
      <c r="CH114" s="313"/>
      <c r="CI114" s="312"/>
      <c r="CJ114" s="298"/>
      <c r="CK114" s="313"/>
      <c r="CL114" s="312"/>
      <c r="CM114" s="298"/>
      <c r="CN114" s="311"/>
    </row>
    <row r="115" spans="2:92" s="234" customFormat="1" ht="29.25" thickBot="1" x14ac:dyDescent="0.25">
      <c r="B115" s="1077"/>
      <c r="C115" s="973"/>
      <c r="D115" s="943"/>
      <c r="E115" s="952"/>
      <c r="F115" s="1041"/>
      <c r="G115" s="385" t="str">
        <f>+'Plan de Accion apoyo transversa'!X113</f>
        <v>Jornada de salud sobre: Pausas activas realizadas</v>
      </c>
      <c r="H115" s="961"/>
      <c r="I115" s="235"/>
      <c r="J115" s="279">
        <f>+'Plan de Accion apoyo transversa'!AW113</f>
        <v>0</v>
      </c>
      <c r="K115" s="615">
        <f>+'Plan de Accion apoyo transversa'!CF113</f>
        <v>0</v>
      </c>
      <c r="L115" s="615">
        <f>IF(K115&gt;100%,100%,K115)</f>
        <v>0</v>
      </c>
      <c r="M115" s="615">
        <f>+'Plan de Accion apoyo transversa'!AY113</f>
        <v>0</v>
      </c>
      <c r="N115" s="615">
        <f t="shared" si="27"/>
        <v>0</v>
      </c>
      <c r="O115" s="615">
        <f>+N115</f>
        <v>0</v>
      </c>
      <c r="P115" s="277"/>
      <c r="Q115" s="279">
        <f>+'Plan de Accion apoyo transversa'!BG113</f>
        <v>0</v>
      </c>
      <c r="R115" s="315">
        <f>+'Plan de Accion apoyo transversa'!CH113</f>
        <v>0</v>
      </c>
      <c r="S115" s="276">
        <f>IF(R115&gt;100%,100%,R115)</f>
        <v>0</v>
      </c>
      <c r="T115" s="373">
        <f>+'Plan de Accion apoyo transversa'!BI113</f>
        <v>0</v>
      </c>
      <c r="U115" s="373">
        <f t="shared" si="24"/>
        <v>0</v>
      </c>
      <c r="V115" s="275">
        <f t="shared" si="29"/>
        <v>0</v>
      </c>
      <c r="W115" s="278"/>
      <c r="X115" s="279">
        <f>+'Plan de Accion apoyo transversa'!BQ113</f>
        <v>0</v>
      </c>
      <c r="Y115" s="315">
        <f>+'Plan de Accion apoyo transversa'!CJ113</f>
        <v>0</v>
      </c>
      <c r="Z115" s="276">
        <f>IF(Y115&gt;100%,100%,Y115)</f>
        <v>0</v>
      </c>
      <c r="AA115" s="282">
        <f>+'Plan de Accion apoyo transversa'!BS113</f>
        <v>0</v>
      </c>
      <c r="AB115" s="282">
        <f t="shared" si="25"/>
        <v>0</v>
      </c>
      <c r="AC115" s="371">
        <f t="shared" si="30"/>
        <v>0</v>
      </c>
      <c r="AD115" s="277"/>
      <c r="AE115" s="279">
        <f>+'Plan de Accion apoyo transversa'!CA113</f>
        <v>0</v>
      </c>
      <c r="AF115" s="315">
        <f>+'Plan de Accion apoyo transversa'!CL113</f>
        <v>0</v>
      </c>
      <c r="AG115" s="276">
        <f>IF(AF115&gt;100%,100%,AF115)</f>
        <v>0</v>
      </c>
      <c r="AH115" s="315">
        <f>+'Plan de Accion apoyo transversa'!CC113</f>
        <v>0</v>
      </c>
      <c r="AI115" s="275">
        <f t="shared" si="26"/>
        <v>0</v>
      </c>
      <c r="AJ115" s="314"/>
      <c r="AK115" s="299"/>
      <c r="AL115" s="313"/>
      <c r="AM115" s="312"/>
      <c r="AN115" s="298"/>
      <c r="AO115" s="313"/>
      <c r="AP115" s="312"/>
      <c r="AQ115" s="298"/>
      <c r="AR115" s="313"/>
      <c r="AS115" s="312"/>
      <c r="AT115" s="298"/>
      <c r="AU115" s="313"/>
      <c r="AV115" s="312"/>
      <c r="AW115" s="298"/>
      <c r="AX115" s="311"/>
      <c r="AY115" s="298"/>
      <c r="AZ115" s="313"/>
      <c r="BA115" s="312"/>
      <c r="BB115" s="298"/>
      <c r="BC115" s="313"/>
      <c r="BD115" s="312"/>
      <c r="BE115" s="298"/>
      <c r="BF115" s="313"/>
      <c r="BG115" s="312"/>
      <c r="BH115" s="298"/>
      <c r="BI115" s="313"/>
      <c r="BJ115" s="312"/>
      <c r="BK115" s="298"/>
      <c r="BL115" s="311"/>
      <c r="BN115" s="313"/>
      <c r="BO115" s="312"/>
      <c r="BP115" s="298"/>
      <c r="BQ115" s="313"/>
      <c r="BR115" s="312"/>
      <c r="BS115" s="298"/>
      <c r="BT115" s="313"/>
      <c r="BU115" s="312"/>
      <c r="BV115" s="298"/>
      <c r="BW115" s="313"/>
      <c r="BX115" s="312"/>
      <c r="BY115" s="298"/>
      <c r="BZ115" s="311"/>
      <c r="CB115" s="313"/>
      <c r="CC115" s="312"/>
      <c r="CD115" s="298"/>
      <c r="CE115" s="313"/>
      <c r="CF115" s="312"/>
      <c r="CG115" s="298"/>
      <c r="CH115" s="313"/>
      <c r="CI115" s="312"/>
      <c r="CJ115" s="298"/>
      <c r="CK115" s="313"/>
      <c r="CL115" s="312"/>
      <c r="CM115" s="298"/>
      <c r="CN115" s="311"/>
    </row>
    <row r="116" spans="2:92" s="234" customFormat="1" ht="29.25" thickBot="1" x14ac:dyDescent="0.25">
      <c r="B116" s="1077"/>
      <c r="C116" s="973"/>
      <c r="D116" s="943"/>
      <c r="E116" s="952"/>
      <c r="F116" s="1041"/>
      <c r="G116" s="385" t="str">
        <f>+'Plan de Accion apoyo transversa'!X114</f>
        <v>Actividad de Incentivos realizada</v>
      </c>
      <c r="H116" s="961"/>
      <c r="I116" s="235"/>
      <c r="J116" s="279" t="e">
        <f>+'Plan de Accion apoyo transversa'!AW114</f>
        <v>#DIV/0!</v>
      </c>
      <c r="K116" s="615" t="str">
        <f>+'Plan de Accion apoyo transversa'!CF114</f>
        <v>No Prog ni Ejec</v>
      </c>
      <c r="L116" s="615" t="s">
        <v>206</v>
      </c>
      <c r="M116" s="615">
        <f>+'Plan de Accion apoyo transversa'!AY114</f>
        <v>0</v>
      </c>
      <c r="N116" s="615">
        <f t="shared" si="27"/>
        <v>0</v>
      </c>
      <c r="O116" s="615" t="s">
        <v>206</v>
      </c>
      <c r="P116" s="277"/>
      <c r="Q116" s="279" t="e">
        <f>+'Plan de Accion apoyo transversa'!BG114</f>
        <v>#DIV/0!</v>
      </c>
      <c r="R116" s="315" t="str">
        <f>+'Plan de Accion apoyo transversa'!CH114</f>
        <v>No Prog ni Ejec</v>
      </c>
      <c r="S116" s="276" t="s">
        <v>206</v>
      </c>
      <c r="T116" s="373">
        <f>+'Plan de Accion apoyo transversa'!BI114</f>
        <v>0</v>
      </c>
      <c r="U116" s="373">
        <f t="shared" si="24"/>
        <v>0</v>
      </c>
      <c r="V116" s="275">
        <f t="shared" si="29"/>
        <v>0</v>
      </c>
      <c r="W116" s="278"/>
      <c r="X116" s="279" t="e">
        <f>+'Plan de Accion apoyo transversa'!BQ114</f>
        <v>#DIV/0!</v>
      </c>
      <c r="Y116" s="315" t="str">
        <f>+'Plan de Accion apoyo transversa'!CJ114</f>
        <v>No Prog ni Ejec</v>
      </c>
      <c r="Z116" s="276" t="s">
        <v>206</v>
      </c>
      <c r="AA116" s="282">
        <f>+'Plan de Accion apoyo transversa'!BS114</f>
        <v>0</v>
      </c>
      <c r="AB116" s="282">
        <f t="shared" si="25"/>
        <v>0</v>
      </c>
      <c r="AC116" s="371" t="s">
        <v>206</v>
      </c>
      <c r="AD116" s="277"/>
      <c r="AE116" s="279">
        <f>+'Plan de Accion apoyo transversa'!CA114</f>
        <v>0</v>
      </c>
      <c r="AF116" s="315">
        <f>+'Plan de Accion apoyo transversa'!CL114</f>
        <v>0</v>
      </c>
      <c r="AG116" s="276" t="s">
        <v>206</v>
      </c>
      <c r="AH116" s="315">
        <f>+'Plan de Accion apoyo transversa'!CC114</f>
        <v>0</v>
      </c>
      <c r="AI116" s="275">
        <f t="shared" si="26"/>
        <v>0</v>
      </c>
      <c r="AJ116" s="314"/>
      <c r="AK116" s="299"/>
      <c r="AL116" s="313"/>
      <c r="AM116" s="312"/>
      <c r="AN116" s="298"/>
      <c r="AO116" s="313"/>
      <c r="AP116" s="312"/>
      <c r="AQ116" s="298"/>
      <c r="AR116" s="313"/>
      <c r="AS116" s="312"/>
      <c r="AT116" s="298"/>
      <c r="AU116" s="313"/>
      <c r="AV116" s="312"/>
      <c r="AW116" s="298"/>
      <c r="AX116" s="311"/>
      <c r="AY116" s="298"/>
      <c r="AZ116" s="313"/>
      <c r="BA116" s="312"/>
      <c r="BB116" s="298"/>
      <c r="BC116" s="313"/>
      <c r="BD116" s="312"/>
      <c r="BE116" s="298"/>
      <c r="BF116" s="313"/>
      <c r="BG116" s="312"/>
      <c r="BH116" s="298"/>
      <c r="BI116" s="313"/>
      <c r="BJ116" s="312"/>
      <c r="BK116" s="298"/>
      <c r="BL116" s="311"/>
      <c r="BN116" s="313"/>
      <c r="BO116" s="312"/>
      <c r="BP116" s="298"/>
      <c r="BQ116" s="313"/>
      <c r="BR116" s="312"/>
      <c r="BS116" s="298"/>
      <c r="BT116" s="313"/>
      <c r="BU116" s="312"/>
      <c r="BV116" s="298"/>
      <c r="BW116" s="313"/>
      <c r="BX116" s="312"/>
      <c r="BY116" s="298"/>
      <c r="BZ116" s="311"/>
      <c r="CB116" s="313"/>
      <c r="CC116" s="312"/>
      <c r="CD116" s="298"/>
      <c r="CE116" s="313"/>
      <c r="CF116" s="312"/>
      <c r="CG116" s="298"/>
      <c r="CH116" s="313"/>
      <c r="CI116" s="312"/>
      <c r="CJ116" s="298"/>
      <c r="CK116" s="313"/>
      <c r="CL116" s="312"/>
      <c r="CM116" s="298"/>
      <c r="CN116" s="311"/>
    </row>
    <row r="117" spans="2:92" s="234" customFormat="1" ht="29.25" thickBot="1" x14ac:dyDescent="0.25">
      <c r="B117" s="1077"/>
      <c r="C117" s="973"/>
      <c r="D117" s="943"/>
      <c r="E117" s="952"/>
      <c r="F117" s="1041"/>
      <c r="G117" s="385" t="str">
        <f>+'Plan de Accion apoyo transversa'!X115</f>
        <v>Actividad de Cierre de gestión realizada</v>
      </c>
      <c r="H117" s="961"/>
      <c r="I117" s="235"/>
      <c r="J117" s="279" t="e">
        <f>+'Plan de Accion apoyo transversa'!AW115</f>
        <v>#DIV/0!</v>
      </c>
      <c r="K117" s="615" t="str">
        <f>+'Plan de Accion apoyo transversa'!CF115</f>
        <v>No Prog ni Ejec</v>
      </c>
      <c r="L117" s="615" t="s">
        <v>206</v>
      </c>
      <c r="M117" s="615">
        <f>+'Plan de Accion apoyo transversa'!AY115</f>
        <v>0</v>
      </c>
      <c r="N117" s="615">
        <f t="shared" si="27"/>
        <v>0</v>
      </c>
      <c r="O117" s="615" t="s">
        <v>206</v>
      </c>
      <c r="P117" s="277"/>
      <c r="Q117" s="279" t="e">
        <f>+'Plan de Accion apoyo transversa'!BG115</f>
        <v>#DIV/0!</v>
      </c>
      <c r="R117" s="315" t="str">
        <f>+'Plan de Accion apoyo transversa'!CH115</f>
        <v>No Prog ni Ejec</v>
      </c>
      <c r="S117" s="276" t="s">
        <v>206</v>
      </c>
      <c r="T117" s="373">
        <f>+'Plan de Accion apoyo transversa'!BI115</f>
        <v>0</v>
      </c>
      <c r="U117" s="373">
        <f t="shared" si="24"/>
        <v>0</v>
      </c>
      <c r="V117" s="275">
        <f t="shared" si="29"/>
        <v>0</v>
      </c>
      <c r="W117" s="278"/>
      <c r="X117" s="279" t="e">
        <f>+'Plan de Accion apoyo transversa'!BQ115</f>
        <v>#DIV/0!</v>
      </c>
      <c r="Y117" s="315" t="str">
        <f>+'Plan de Accion apoyo transversa'!CJ115</f>
        <v>No Prog ni Ejec</v>
      </c>
      <c r="Z117" s="276" t="s">
        <v>206</v>
      </c>
      <c r="AA117" s="282">
        <f>+'Plan de Accion apoyo transversa'!BS115</f>
        <v>0</v>
      </c>
      <c r="AB117" s="282">
        <f t="shared" si="25"/>
        <v>0</v>
      </c>
      <c r="AC117" s="371" t="s">
        <v>206</v>
      </c>
      <c r="AD117" s="277"/>
      <c r="AE117" s="279">
        <f>+'Plan de Accion apoyo transversa'!CA115</f>
        <v>0</v>
      </c>
      <c r="AF117" s="315">
        <f>+'Plan de Accion apoyo transversa'!CL115</f>
        <v>0</v>
      </c>
      <c r="AG117" s="276" t="s">
        <v>206</v>
      </c>
      <c r="AH117" s="315">
        <f>+'Plan de Accion apoyo transversa'!CC115</f>
        <v>0</v>
      </c>
      <c r="AI117" s="275">
        <f t="shared" si="26"/>
        <v>0</v>
      </c>
      <c r="AJ117" s="314"/>
      <c r="AK117" s="299"/>
      <c r="AL117" s="313"/>
      <c r="AM117" s="312"/>
      <c r="AN117" s="298"/>
      <c r="AO117" s="313"/>
      <c r="AP117" s="312"/>
      <c r="AQ117" s="298"/>
      <c r="AR117" s="313"/>
      <c r="AS117" s="312"/>
      <c r="AT117" s="298"/>
      <c r="AU117" s="313"/>
      <c r="AV117" s="312"/>
      <c r="AW117" s="298"/>
      <c r="AX117" s="311"/>
      <c r="AY117" s="298"/>
      <c r="AZ117" s="313"/>
      <c r="BA117" s="312"/>
      <c r="BB117" s="298"/>
      <c r="BC117" s="313"/>
      <c r="BD117" s="312"/>
      <c r="BE117" s="298"/>
      <c r="BF117" s="313"/>
      <c r="BG117" s="312"/>
      <c r="BH117" s="298"/>
      <c r="BI117" s="313"/>
      <c r="BJ117" s="312"/>
      <c r="BK117" s="298"/>
      <c r="BL117" s="311"/>
      <c r="BN117" s="313"/>
      <c r="BO117" s="312"/>
      <c r="BP117" s="298"/>
      <c r="BQ117" s="313"/>
      <c r="BR117" s="312"/>
      <c r="BS117" s="298"/>
      <c r="BT117" s="313"/>
      <c r="BU117" s="312"/>
      <c r="BV117" s="298"/>
      <c r="BW117" s="313"/>
      <c r="BX117" s="312"/>
      <c r="BY117" s="298"/>
      <c r="BZ117" s="311"/>
      <c r="CB117" s="313"/>
      <c r="CC117" s="312"/>
      <c r="CD117" s="298"/>
      <c r="CE117" s="313"/>
      <c r="CF117" s="312"/>
      <c r="CG117" s="298"/>
      <c r="CH117" s="313"/>
      <c r="CI117" s="312"/>
      <c r="CJ117" s="298"/>
      <c r="CK117" s="313"/>
      <c r="CL117" s="312"/>
      <c r="CM117" s="298"/>
      <c r="CN117" s="311"/>
    </row>
    <row r="118" spans="2:92" s="234" customFormat="1" ht="72" thickBot="1" x14ac:dyDescent="0.25">
      <c r="B118" s="1077"/>
      <c r="C118" s="973"/>
      <c r="D118" s="943"/>
      <c r="E118" s="952"/>
      <c r="F118" s="1041" t="s">
        <v>332</v>
      </c>
      <c r="G118" s="385" t="str">
        <f>+'Plan de Accion apoyo transversa'!X119</f>
        <v>Digiturno puesto a disposición de los ciudadanos que acuden al punto de atención presencial de la ADRES</v>
      </c>
      <c r="H118" s="961"/>
      <c r="I118" s="235"/>
      <c r="J118" s="279" t="e">
        <f>+'Plan de Accion apoyo transversa'!AW119</f>
        <v>#DIV/0!</v>
      </c>
      <c r="K118" s="615" t="str">
        <f>+'Plan de Accion apoyo transversa'!CF119</f>
        <v>No Prog ni Ejec</v>
      </c>
      <c r="L118" s="615" t="s">
        <v>206</v>
      </c>
      <c r="M118" s="615">
        <f>+'Plan de Accion apoyo transversa'!AY119</f>
        <v>0</v>
      </c>
      <c r="N118" s="615">
        <f t="shared" si="27"/>
        <v>0</v>
      </c>
      <c r="O118" s="615" t="s">
        <v>206</v>
      </c>
      <c r="P118" s="277"/>
      <c r="Q118" s="279">
        <f>+'Plan de Accion apoyo transversa'!BG119</f>
        <v>0</v>
      </c>
      <c r="R118" s="315">
        <f>+'Plan de Accion apoyo transversa'!CH119</f>
        <v>0</v>
      </c>
      <c r="S118" s="276">
        <f>IF(R118&gt;100%,100%,R118)</f>
        <v>0</v>
      </c>
      <c r="T118" s="373">
        <f>+'Plan de Accion apoyo transversa'!BI119</f>
        <v>0</v>
      </c>
      <c r="U118" s="373">
        <f t="shared" si="24"/>
        <v>0</v>
      </c>
      <c r="V118" s="275">
        <f t="shared" si="29"/>
        <v>0</v>
      </c>
      <c r="W118" s="278"/>
      <c r="X118" s="279" t="e">
        <f>+'Plan de Accion apoyo transversa'!BQ119</f>
        <v>#DIV/0!</v>
      </c>
      <c r="Y118" s="315" t="str">
        <f>+'Plan de Accion apoyo transversa'!CJ119</f>
        <v>No Prog ni Ejec</v>
      </c>
      <c r="Z118" s="276" t="s">
        <v>206</v>
      </c>
      <c r="AA118" s="282">
        <f>+'Plan de Accion apoyo transversa'!BS119</f>
        <v>0</v>
      </c>
      <c r="AB118" s="282">
        <f t="shared" si="25"/>
        <v>0</v>
      </c>
      <c r="AC118" s="371">
        <f t="shared" si="30"/>
        <v>0</v>
      </c>
      <c r="AD118" s="277"/>
      <c r="AE118" s="279" t="e">
        <f>+'Plan de Accion apoyo transversa'!CA119</f>
        <v>#DIV/0!</v>
      </c>
      <c r="AF118" s="315" t="str">
        <f>+'Plan de Accion apoyo transversa'!CL119</f>
        <v>No Prog ni Ejec</v>
      </c>
      <c r="AG118" s="276" t="s">
        <v>206</v>
      </c>
      <c r="AH118" s="315">
        <f>+'Plan de Accion apoyo transversa'!CC119</f>
        <v>0</v>
      </c>
      <c r="AI118" s="275">
        <f t="shared" si="26"/>
        <v>0</v>
      </c>
      <c r="AJ118" s="314"/>
      <c r="AK118" s="299"/>
      <c r="AL118" s="313"/>
      <c r="AM118" s="312"/>
      <c r="AN118" s="298"/>
      <c r="AO118" s="313"/>
      <c r="AP118" s="312"/>
      <c r="AQ118" s="298"/>
      <c r="AR118" s="313"/>
      <c r="AS118" s="312"/>
      <c r="AT118" s="298"/>
      <c r="AU118" s="313"/>
      <c r="AV118" s="312"/>
      <c r="AW118" s="298"/>
      <c r="AX118" s="311"/>
      <c r="AY118" s="298"/>
      <c r="AZ118" s="313"/>
      <c r="BA118" s="312"/>
      <c r="BB118" s="298"/>
      <c r="BC118" s="313"/>
      <c r="BD118" s="312"/>
      <c r="BE118" s="298"/>
      <c r="BF118" s="313"/>
      <c r="BG118" s="312"/>
      <c r="BH118" s="298"/>
      <c r="BI118" s="313"/>
      <c r="BJ118" s="312"/>
      <c r="BK118" s="298"/>
      <c r="BL118" s="311"/>
      <c r="BN118" s="313"/>
      <c r="BO118" s="312"/>
      <c r="BP118" s="298"/>
      <c r="BQ118" s="313"/>
      <c r="BR118" s="312"/>
      <c r="BS118" s="298"/>
      <c r="BT118" s="313"/>
      <c r="BU118" s="312"/>
      <c r="BV118" s="298"/>
      <c r="BW118" s="313"/>
      <c r="BX118" s="312"/>
      <c r="BY118" s="298"/>
      <c r="BZ118" s="311"/>
      <c r="CB118" s="313"/>
      <c r="CC118" s="312"/>
      <c r="CD118" s="298"/>
      <c r="CE118" s="313"/>
      <c r="CF118" s="312"/>
      <c r="CG118" s="298"/>
      <c r="CH118" s="313"/>
      <c r="CI118" s="312"/>
      <c r="CJ118" s="298"/>
      <c r="CK118" s="313"/>
      <c r="CL118" s="312"/>
      <c r="CM118" s="298"/>
      <c r="CN118" s="311"/>
    </row>
    <row r="119" spans="2:92" s="234" customFormat="1" ht="57.75" thickBot="1" x14ac:dyDescent="0.25">
      <c r="B119" s="1077"/>
      <c r="C119" s="973"/>
      <c r="D119" s="943"/>
      <c r="E119" s="952"/>
      <c r="F119" s="1041"/>
      <c r="G119" s="385" t="str">
        <f>+'Plan de Accion apoyo transversa'!X120</f>
        <v>Gestión de Servicio al ciudadano de la entidad  por los diferentes canales  de atención.</v>
      </c>
      <c r="H119" s="961"/>
      <c r="I119" s="235"/>
      <c r="J119" s="279">
        <f>+'Plan de Accion apoyo transversa'!AW120</f>
        <v>0.70647303946179063</v>
      </c>
      <c r="K119" s="615">
        <f>+'Plan de Accion apoyo transversa'!CF120</f>
        <v>0.70647303946179063</v>
      </c>
      <c r="L119" s="615">
        <f>IF(K119&gt;100%,100%,K119)</f>
        <v>0.70647303946179063</v>
      </c>
      <c r="M119" s="615">
        <f>+'Plan de Accion apoyo transversa'!AY120</f>
        <v>0.17661825986544766</v>
      </c>
      <c r="N119" s="615">
        <f t="shared" si="27"/>
        <v>0.17661825986544766</v>
      </c>
      <c r="O119" s="615">
        <f>+N119</f>
        <v>0.17661825986544766</v>
      </c>
      <c r="P119" s="277"/>
      <c r="Q119" s="279">
        <f>+'Plan de Accion apoyo transversa'!BG120</f>
        <v>0</v>
      </c>
      <c r="R119" s="315">
        <f>+'Plan de Accion apoyo transversa'!CH120</f>
        <v>0</v>
      </c>
      <c r="S119" s="276">
        <f>IF(R119&gt;100%,100%,R119)</f>
        <v>0</v>
      </c>
      <c r="T119" s="373">
        <f>+'Plan de Accion apoyo transversa'!BI120</f>
        <v>0.17661825986544766</v>
      </c>
      <c r="U119" s="373">
        <f t="shared" si="24"/>
        <v>0.17661825986544766</v>
      </c>
      <c r="V119" s="275">
        <f t="shared" si="29"/>
        <v>0.17661825986544766</v>
      </c>
      <c r="W119" s="278"/>
      <c r="X119" s="279">
        <f>+'Plan de Accion apoyo transversa'!BQ120</f>
        <v>0</v>
      </c>
      <c r="Y119" s="315">
        <f>+'Plan de Accion apoyo transversa'!CJ120</f>
        <v>0</v>
      </c>
      <c r="Z119" s="276">
        <f t="shared" ref="Z119:Z130" si="31">IF(Y119&gt;100%,100%,Y119)</f>
        <v>0</v>
      </c>
      <c r="AA119" s="282">
        <f>+'Plan de Accion apoyo transversa'!BS120</f>
        <v>0.17661825986544766</v>
      </c>
      <c r="AB119" s="282">
        <f t="shared" si="25"/>
        <v>0.17661825986544766</v>
      </c>
      <c r="AC119" s="371">
        <f t="shared" ref="AC119:AC126" si="32">+AB119</f>
        <v>0.17661825986544766</v>
      </c>
      <c r="AD119" s="277"/>
      <c r="AE119" s="279">
        <f>+'Plan de Accion apoyo transversa'!CA120</f>
        <v>0</v>
      </c>
      <c r="AF119" s="315">
        <f>+'Plan de Accion apoyo transversa'!CL120</f>
        <v>0</v>
      </c>
      <c r="AG119" s="276">
        <f t="shared" ref="AG119:AG124" si="33">IF(AF119&gt;100%,100%,AF119)</f>
        <v>0</v>
      </c>
      <c r="AH119" s="315">
        <f>+'Plan de Accion apoyo transversa'!CC120</f>
        <v>0.17661825986544766</v>
      </c>
      <c r="AI119" s="275">
        <f t="shared" si="26"/>
        <v>0.17661825986544766</v>
      </c>
      <c r="AJ119" s="314"/>
      <c r="AK119" s="299"/>
      <c r="AL119" s="313"/>
      <c r="AM119" s="312"/>
      <c r="AN119" s="298"/>
      <c r="AO119" s="313"/>
      <c r="AP119" s="312"/>
      <c r="AQ119" s="298"/>
      <c r="AR119" s="313"/>
      <c r="AS119" s="312"/>
      <c r="AT119" s="298"/>
      <c r="AU119" s="313"/>
      <c r="AV119" s="312"/>
      <c r="AW119" s="298"/>
      <c r="AX119" s="311"/>
      <c r="AY119" s="298"/>
      <c r="AZ119" s="313"/>
      <c r="BA119" s="312"/>
      <c r="BB119" s="298"/>
      <c r="BC119" s="313"/>
      <c r="BD119" s="312"/>
      <c r="BE119" s="298"/>
      <c r="BF119" s="313"/>
      <c r="BG119" s="312"/>
      <c r="BH119" s="298"/>
      <c r="BI119" s="313"/>
      <c r="BJ119" s="312"/>
      <c r="BK119" s="298"/>
      <c r="BL119" s="311"/>
      <c r="BN119" s="313"/>
      <c r="BO119" s="312"/>
      <c r="BP119" s="298"/>
      <c r="BQ119" s="313"/>
      <c r="BR119" s="312"/>
      <c r="BS119" s="298"/>
      <c r="BT119" s="313"/>
      <c r="BU119" s="312"/>
      <c r="BV119" s="298"/>
      <c r="BW119" s="313"/>
      <c r="BX119" s="312"/>
      <c r="BY119" s="298"/>
      <c r="BZ119" s="311"/>
      <c r="CB119" s="313"/>
      <c r="CC119" s="312"/>
      <c r="CD119" s="298"/>
      <c r="CE119" s="313"/>
      <c r="CF119" s="312"/>
      <c r="CG119" s="298"/>
      <c r="CH119" s="313"/>
      <c r="CI119" s="312"/>
      <c r="CJ119" s="298"/>
      <c r="CK119" s="313"/>
      <c r="CL119" s="312"/>
      <c r="CM119" s="298"/>
      <c r="CN119" s="311"/>
    </row>
    <row r="120" spans="2:92" s="234" customFormat="1" ht="57.75" customHeight="1" thickBot="1" x14ac:dyDescent="0.25">
      <c r="B120" s="1077"/>
      <c r="C120" s="973"/>
      <c r="D120" s="944"/>
      <c r="E120" s="952"/>
      <c r="F120" s="370" t="s">
        <v>1080</v>
      </c>
      <c r="G120" s="385" t="str">
        <f>+'Plan de Accion apoyo transversa'!X169</f>
        <v>Contratos suscritos</v>
      </c>
      <c r="H120" s="961"/>
      <c r="I120" s="235"/>
      <c r="J120" s="279">
        <f>+'Plan de Accion apoyo transversa'!AW169</f>
        <v>1.3061820715783481</v>
      </c>
      <c r="K120" s="615">
        <f>+'Plan de Accion apoyo transversa'!CF169</f>
        <v>1.3061820715783481</v>
      </c>
      <c r="L120" s="615">
        <f>IF(K120&gt;100%,100%,K120)</f>
        <v>1</v>
      </c>
      <c r="M120" s="615">
        <f>+'Plan de Accion apoyo transversa'!AY169</f>
        <v>0.32654551789458702</v>
      </c>
      <c r="N120" s="615">
        <f t="shared" si="27"/>
        <v>0.32654551789458702</v>
      </c>
      <c r="O120" s="615">
        <f>+N120</f>
        <v>0.32654551789458702</v>
      </c>
      <c r="P120" s="277"/>
      <c r="Q120" s="279">
        <f>+'Plan de Accion apoyo transversa'!BG169</f>
        <v>0</v>
      </c>
      <c r="R120" s="315">
        <f>+'Plan de Accion apoyo transversa'!CH169</f>
        <v>0</v>
      </c>
      <c r="S120" s="276">
        <f>IF(R120&gt;100%,100%,R120)</f>
        <v>0</v>
      </c>
      <c r="T120" s="373">
        <f>+'Plan de Accion apoyo transversa'!BI169</f>
        <v>0.32654551789458702</v>
      </c>
      <c r="U120" s="373">
        <f t="shared" si="24"/>
        <v>0.32654551789458702</v>
      </c>
      <c r="V120" s="275">
        <f t="shared" si="29"/>
        <v>0.32654551789458702</v>
      </c>
      <c r="W120" s="278"/>
      <c r="X120" s="279">
        <f>+'Plan de Accion apoyo transversa'!BQ169</f>
        <v>0</v>
      </c>
      <c r="Y120" s="315">
        <f>+'Plan de Accion apoyo transversa'!CJ169</f>
        <v>0</v>
      </c>
      <c r="Z120" s="276">
        <f t="shared" si="31"/>
        <v>0</v>
      </c>
      <c r="AA120" s="282">
        <f>+'Plan de Accion apoyo transversa'!BS169</f>
        <v>0.32654551789458702</v>
      </c>
      <c r="AB120" s="282">
        <f t="shared" si="25"/>
        <v>0.32654551789458702</v>
      </c>
      <c r="AC120" s="371">
        <f t="shared" si="32"/>
        <v>0.32654551789458702</v>
      </c>
      <c r="AD120" s="277"/>
      <c r="AE120" s="279">
        <f>+'Plan de Accion apoyo transversa'!CA169</f>
        <v>0</v>
      </c>
      <c r="AF120" s="315">
        <f>+'Plan de Accion apoyo transversa'!CL169</f>
        <v>0</v>
      </c>
      <c r="AG120" s="276">
        <f t="shared" si="33"/>
        <v>0</v>
      </c>
      <c r="AH120" s="315">
        <f>+'Plan de Accion apoyo transversa'!CC169</f>
        <v>0.32654551789458702</v>
      </c>
      <c r="AI120" s="275">
        <f t="shared" si="26"/>
        <v>0.32654551789458702</v>
      </c>
      <c r="AJ120" s="314"/>
      <c r="AK120" s="299"/>
      <c r="AL120" s="313"/>
      <c r="AM120" s="312"/>
      <c r="AN120" s="298"/>
      <c r="AO120" s="313"/>
      <c r="AP120" s="312"/>
      <c r="AQ120" s="298"/>
      <c r="AR120" s="313"/>
      <c r="AS120" s="312"/>
      <c r="AT120" s="298"/>
      <c r="AU120" s="313"/>
      <c r="AV120" s="312"/>
      <c r="AW120" s="298"/>
      <c r="AX120" s="311"/>
      <c r="AY120" s="298"/>
      <c r="AZ120" s="313"/>
      <c r="BA120" s="312"/>
      <c r="BB120" s="298"/>
      <c r="BC120" s="313"/>
      <c r="BD120" s="312"/>
      <c r="BE120" s="298"/>
      <c r="BF120" s="313"/>
      <c r="BG120" s="312"/>
      <c r="BH120" s="298"/>
      <c r="BI120" s="313"/>
      <c r="BJ120" s="312"/>
      <c r="BK120" s="298"/>
      <c r="BL120" s="311"/>
      <c r="BN120" s="313"/>
      <c r="BO120" s="312"/>
      <c r="BP120" s="298"/>
      <c r="BQ120" s="313"/>
      <c r="BR120" s="312"/>
      <c r="BS120" s="298"/>
      <c r="BT120" s="313"/>
      <c r="BU120" s="312"/>
      <c r="BV120" s="298"/>
      <c r="BW120" s="313"/>
      <c r="BX120" s="312"/>
      <c r="BY120" s="298"/>
      <c r="BZ120" s="311"/>
      <c r="CB120" s="313"/>
      <c r="CC120" s="312"/>
      <c r="CD120" s="298"/>
      <c r="CE120" s="313"/>
      <c r="CF120" s="312"/>
      <c r="CG120" s="298"/>
      <c r="CH120" s="313"/>
      <c r="CI120" s="312"/>
      <c r="CJ120" s="298"/>
      <c r="CK120" s="313"/>
      <c r="CL120" s="312"/>
      <c r="CM120" s="298"/>
      <c r="CN120" s="311"/>
    </row>
    <row r="121" spans="2:92" s="234" customFormat="1" ht="43.5" customHeight="1" thickBot="1" x14ac:dyDescent="0.25">
      <c r="B121" s="1077"/>
      <c r="C121" s="973"/>
      <c r="D121" s="958" t="s">
        <v>206</v>
      </c>
      <c r="E121" s="958" t="s">
        <v>232</v>
      </c>
      <c r="F121" s="958" t="s">
        <v>332</v>
      </c>
      <c r="G121" s="385" t="str">
        <f>+'Plan de Accion apoyo transversa'!X132</f>
        <v xml:space="preserve">Servicios de Mesa de Ayuda </v>
      </c>
      <c r="H121" s="961"/>
      <c r="I121" s="235"/>
      <c r="J121" s="279">
        <f>+'Plan de Accion apoyo transversa'!AW132</f>
        <v>0.40023828566937225</v>
      </c>
      <c r="K121" s="615">
        <f>+'Plan de Accion apoyo transversa'!CF132</f>
        <v>0.40023828566937225</v>
      </c>
      <c r="L121" s="615">
        <f>IF(K121&gt;100%,100%,K121)</f>
        <v>0.40023828566937225</v>
      </c>
      <c r="M121" s="615">
        <f>+'Plan de Accion apoyo transversa'!AY132</f>
        <v>4.0023828566937231E-2</v>
      </c>
      <c r="N121" s="615">
        <f t="shared" si="27"/>
        <v>4.0023828566937231E-2</v>
      </c>
      <c r="O121" s="615">
        <f>+N121</f>
        <v>4.0023828566937231E-2</v>
      </c>
      <c r="P121" s="277"/>
      <c r="Q121" s="279">
        <f>+'Plan de Accion apoyo transversa'!BG132</f>
        <v>0</v>
      </c>
      <c r="R121" s="315">
        <f>+'Plan de Accion apoyo transversa'!CH132</f>
        <v>0</v>
      </c>
      <c r="S121" s="276">
        <f>IF(R121&gt;100%,100%,R121)</f>
        <v>0</v>
      </c>
      <c r="T121" s="373">
        <f>+'Plan de Accion apoyo transversa'!BI132</f>
        <v>4.0023828566937231E-2</v>
      </c>
      <c r="U121" s="373">
        <f t="shared" ref="U121:U126" si="34">IF(T121&gt;100%,100%,T121)</f>
        <v>4.0023828566937231E-2</v>
      </c>
      <c r="V121" s="275">
        <f>+U121</f>
        <v>4.0023828566937231E-2</v>
      </c>
      <c r="W121" s="278"/>
      <c r="X121" s="279">
        <f>+'Plan de Accion apoyo transversa'!BQ132</f>
        <v>0</v>
      </c>
      <c r="Y121" s="315">
        <f>+'Plan de Accion apoyo transversa'!CJ132</f>
        <v>0</v>
      </c>
      <c r="Z121" s="276">
        <f t="shared" si="31"/>
        <v>0</v>
      </c>
      <c r="AA121" s="282">
        <f>+'Plan de Accion apoyo transversa'!BS132</f>
        <v>4.0023828566937231E-2</v>
      </c>
      <c r="AB121" s="282">
        <f t="shared" ref="AB121:AB126" si="35">IF(AA121&gt;100%,100%,AA121)</f>
        <v>4.0023828566937231E-2</v>
      </c>
      <c r="AC121" s="371">
        <f t="shared" si="32"/>
        <v>4.0023828566937231E-2</v>
      </c>
      <c r="AD121" s="277"/>
      <c r="AE121" s="279">
        <f>+'Plan de Accion apoyo transversa'!CA132</f>
        <v>0</v>
      </c>
      <c r="AF121" s="315">
        <f>+'Plan de Accion apoyo transversa'!CL132</f>
        <v>0</v>
      </c>
      <c r="AG121" s="276">
        <f t="shared" si="33"/>
        <v>0</v>
      </c>
      <c r="AH121" s="315">
        <f>+'Plan de Accion apoyo transversa'!CC132</f>
        <v>4.0023828566937231E-2</v>
      </c>
      <c r="AI121" s="275">
        <f t="shared" ref="AI121:AI126" si="36">IF(AH121&gt;100%,100%,AH121)</f>
        <v>4.0023828566937231E-2</v>
      </c>
      <c r="AJ121" s="314"/>
      <c r="AK121" s="299"/>
      <c r="AL121" s="313"/>
      <c r="AM121" s="312"/>
      <c r="AN121" s="298"/>
      <c r="AO121" s="313"/>
      <c r="AP121" s="312"/>
      <c r="AQ121" s="298"/>
      <c r="AR121" s="313"/>
      <c r="AS121" s="312"/>
      <c r="AT121" s="298"/>
      <c r="AU121" s="313"/>
      <c r="AV121" s="312"/>
      <c r="AW121" s="298"/>
      <c r="AX121" s="311"/>
      <c r="AY121" s="298"/>
      <c r="AZ121" s="313"/>
      <c r="BA121" s="312"/>
      <c r="BB121" s="298"/>
      <c r="BC121" s="313"/>
      <c r="BD121" s="312"/>
      <c r="BE121" s="298"/>
      <c r="BF121" s="313"/>
      <c r="BG121" s="312"/>
      <c r="BH121" s="298"/>
      <c r="BI121" s="313"/>
      <c r="BJ121" s="312"/>
      <c r="BK121" s="298"/>
      <c r="BL121" s="311"/>
      <c r="BN121" s="313"/>
      <c r="BO121" s="312"/>
      <c r="BP121" s="298"/>
      <c r="BQ121" s="313"/>
      <c r="BR121" s="312"/>
      <c r="BS121" s="298"/>
      <c r="BT121" s="313"/>
      <c r="BU121" s="312"/>
      <c r="BV121" s="298"/>
      <c r="BW121" s="313"/>
      <c r="BX121" s="312"/>
      <c r="BY121" s="298"/>
      <c r="BZ121" s="311"/>
      <c r="CB121" s="313"/>
      <c r="CC121" s="312"/>
      <c r="CD121" s="298"/>
      <c r="CE121" s="313"/>
      <c r="CF121" s="312"/>
      <c r="CG121" s="298"/>
      <c r="CH121" s="313"/>
      <c r="CI121" s="312"/>
      <c r="CJ121" s="298"/>
      <c r="CK121" s="313"/>
      <c r="CL121" s="312"/>
      <c r="CM121" s="298"/>
      <c r="CN121" s="311"/>
    </row>
    <row r="122" spans="2:92" s="234" customFormat="1" ht="100.5" thickBot="1" x14ac:dyDescent="0.25">
      <c r="B122" s="1077"/>
      <c r="C122" s="973"/>
      <c r="D122" s="943"/>
      <c r="E122" s="943"/>
      <c r="F122" s="943"/>
      <c r="G122" s="385" t="str">
        <f>+'Plan de Accion apoyo transversa'!X136</f>
        <v>Flujos de correspondencia, que incluya impresión de stickers, firma digital de documentos, estampado cronológico, reconocimiento OCR e integración con los flujos de PQRSD y Tutelas</v>
      </c>
      <c r="H122" s="961"/>
      <c r="I122" s="235"/>
      <c r="J122" s="279" t="e">
        <f>+'Plan de Accion apoyo transversa'!AW136</f>
        <v>#DIV/0!</v>
      </c>
      <c r="K122" s="615" t="str">
        <f>+'Plan de Accion apoyo transversa'!CF136</f>
        <v>No Prog ni Ejec</v>
      </c>
      <c r="L122" s="615" t="s">
        <v>206</v>
      </c>
      <c r="M122" s="615">
        <f>+'Plan de Accion apoyo transversa'!AY136</f>
        <v>0</v>
      </c>
      <c r="N122" s="615">
        <f t="shared" si="27"/>
        <v>0</v>
      </c>
      <c r="O122" s="615" t="s">
        <v>206</v>
      </c>
      <c r="P122" s="277"/>
      <c r="Q122" s="279" t="e">
        <f>+'Plan de Accion apoyo transversa'!BG136</f>
        <v>#DIV/0!</v>
      </c>
      <c r="R122" s="315" t="str">
        <f>+'Plan de Accion apoyo transversa'!CH136</f>
        <v>No Prog ni Ejec</v>
      </c>
      <c r="S122" s="276" t="s">
        <v>206</v>
      </c>
      <c r="T122" s="373">
        <f>+'Plan de Accion apoyo transversa'!BI136</f>
        <v>0</v>
      </c>
      <c r="U122" s="373">
        <f t="shared" si="34"/>
        <v>0</v>
      </c>
      <c r="V122" s="275" t="s">
        <v>206</v>
      </c>
      <c r="W122" s="278"/>
      <c r="X122" s="279">
        <f>+'Plan de Accion apoyo transversa'!BQ136</f>
        <v>0</v>
      </c>
      <c r="Y122" s="315">
        <f>+'Plan de Accion apoyo transversa'!CJ136</f>
        <v>0</v>
      </c>
      <c r="Z122" s="276">
        <f t="shared" si="31"/>
        <v>0</v>
      </c>
      <c r="AA122" s="282">
        <f>+'Plan de Accion apoyo transversa'!BS136</f>
        <v>0</v>
      </c>
      <c r="AB122" s="282">
        <f t="shared" si="35"/>
        <v>0</v>
      </c>
      <c r="AC122" s="371">
        <f t="shared" si="32"/>
        <v>0</v>
      </c>
      <c r="AD122" s="277"/>
      <c r="AE122" s="279">
        <f>+'Plan de Accion apoyo transversa'!CA136</f>
        <v>0</v>
      </c>
      <c r="AF122" s="315">
        <f>+'Plan de Accion apoyo transversa'!CL136</f>
        <v>0</v>
      </c>
      <c r="AG122" s="276">
        <f t="shared" si="33"/>
        <v>0</v>
      </c>
      <c r="AH122" s="315">
        <f>+'Plan de Accion apoyo transversa'!CC136</f>
        <v>0</v>
      </c>
      <c r="AI122" s="275">
        <f t="shared" si="36"/>
        <v>0</v>
      </c>
      <c r="AJ122" s="314"/>
      <c r="AK122" s="299"/>
      <c r="AL122" s="313"/>
      <c r="AM122" s="312"/>
      <c r="AN122" s="298"/>
      <c r="AO122" s="313"/>
      <c r="AP122" s="312"/>
      <c r="AQ122" s="298"/>
      <c r="AR122" s="313"/>
      <c r="AS122" s="312"/>
      <c r="AT122" s="298"/>
      <c r="AU122" s="313"/>
      <c r="AV122" s="312"/>
      <c r="AW122" s="298"/>
      <c r="AX122" s="311"/>
      <c r="AY122" s="298"/>
      <c r="AZ122" s="313"/>
      <c r="BA122" s="312"/>
      <c r="BB122" s="298"/>
      <c r="BC122" s="313"/>
      <c r="BD122" s="312"/>
      <c r="BE122" s="298"/>
      <c r="BF122" s="313"/>
      <c r="BG122" s="312"/>
      <c r="BH122" s="298"/>
      <c r="BI122" s="313"/>
      <c r="BJ122" s="312"/>
      <c r="BK122" s="298"/>
      <c r="BL122" s="311"/>
      <c r="BN122" s="313"/>
      <c r="BO122" s="312"/>
      <c r="BP122" s="298"/>
      <c r="BQ122" s="313"/>
      <c r="BR122" s="312"/>
      <c r="BS122" s="298"/>
      <c r="BT122" s="313"/>
      <c r="BU122" s="312"/>
      <c r="BV122" s="298"/>
      <c r="BW122" s="313"/>
      <c r="BX122" s="312"/>
      <c r="BY122" s="298"/>
      <c r="BZ122" s="311"/>
      <c r="CB122" s="313"/>
      <c r="CC122" s="312"/>
      <c r="CD122" s="298"/>
      <c r="CE122" s="313"/>
      <c r="CF122" s="312"/>
      <c r="CG122" s="298"/>
      <c r="CH122" s="313"/>
      <c r="CI122" s="312"/>
      <c r="CJ122" s="298"/>
      <c r="CK122" s="313"/>
      <c r="CL122" s="312"/>
      <c r="CM122" s="298"/>
      <c r="CN122" s="311"/>
    </row>
    <row r="123" spans="2:92" s="234" customFormat="1" ht="43.5" thickBot="1" x14ac:dyDescent="0.25">
      <c r="B123" s="1077"/>
      <c r="C123" s="973"/>
      <c r="D123" s="943"/>
      <c r="E123" s="943"/>
      <c r="F123" s="944"/>
      <c r="G123" s="385" t="str">
        <f>+'Plan de Accion apoyo transversa'!X138</f>
        <v>Servicio de documentación de los servicios TI y Sistemas de Información</v>
      </c>
      <c r="H123" s="961"/>
      <c r="I123" s="235"/>
      <c r="J123" s="279" t="e">
        <f>+'Plan de Accion apoyo transversa'!AW138</f>
        <v>#DIV/0!</v>
      </c>
      <c r="K123" s="615" t="str">
        <f>+'Plan de Accion apoyo transversa'!CF138</f>
        <v>No Prog ni Ejec</v>
      </c>
      <c r="L123" s="615" t="s">
        <v>206</v>
      </c>
      <c r="M123" s="615">
        <f>+'Plan de Accion apoyo transversa'!AY138</f>
        <v>0</v>
      </c>
      <c r="N123" s="615">
        <f t="shared" si="27"/>
        <v>0</v>
      </c>
      <c r="O123" s="615" t="s">
        <v>206</v>
      </c>
      <c r="P123" s="277"/>
      <c r="Q123" s="279" t="e">
        <f>+'Plan de Accion apoyo transversa'!BG138</f>
        <v>#DIV/0!</v>
      </c>
      <c r="R123" s="315" t="str">
        <f>+'Plan de Accion apoyo transversa'!CH138</f>
        <v>No Prog ni Ejec</v>
      </c>
      <c r="S123" s="276" t="s">
        <v>206</v>
      </c>
      <c r="T123" s="373">
        <f>+'Plan de Accion apoyo transversa'!BI138</f>
        <v>0</v>
      </c>
      <c r="U123" s="373">
        <f t="shared" si="34"/>
        <v>0</v>
      </c>
      <c r="V123" s="275" t="s">
        <v>206</v>
      </c>
      <c r="W123" s="278"/>
      <c r="X123" s="279">
        <f>+'Plan de Accion apoyo transversa'!BQ138</f>
        <v>0</v>
      </c>
      <c r="Y123" s="315">
        <f>+'Plan de Accion apoyo transversa'!CJ138</f>
        <v>0</v>
      </c>
      <c r="Z123" s="276">
        <f t="shared" si="31"/>
        <v>0</v>
      </c>
      <c r="AA123" s="282">
        <f>+'Plan de Accion apoyo transversa'!BS138</f>
        <v>0</v>
      </c>
      <c r="AB123" s="282">
        <f t="shared" si="35"/>
        <v>0</v>
      </c>
      <c r="AC123" s="371">
        <f t="shared" si="32"/>
        <v>0</v>
      </c>
      <c r="AD123" s="277"/>
      <c r="AE123" s="279">
        <f>+'Plan de Accion apoyo transversa'!CA138</f>
        <v>0</v>
      </c>
      <c r="AF123" s="315">
        <f>+'Plan de Accion apoyo transversa'!CL138</f>
        <v>0</v>
      </c>
      <c r="AG123" s="276">
        <f t="shared" si="33"/>
        <v>0</v>
      </c>
      <c r="AH123" s="315">
        <f>+'Plan de Accion apoyo transversa'!CC138</f>
        <v>0</v>
      </c>
      <c r="AI123" s="275">
        <f t="shared" si="36"/>
        <v>0</v>
      </c>
      <c r="AJ123" s="314"/>
      <c r="AK123" s="299"/>
      <c r="AL123" s="313"/>
      <c r="AM123" s="312"/>
      <c r="AN123" s="298"/>
      <c r="AO123" s="313"/>
      <c r="AP123" s="312"/>
      <c r="AQ123" s="298"/>
      <c r="AR123" s="313"/>
      <c r="AS123" s="312"/>
      <c r="AT123" s="298"/>
      <c r="AU123" s="313"/>
      <c r="AV123" s="312"/>
      <c r="AW123" s="298"/>
      <c r="AX123" s="311"/>
      <c r="AY123" s="298"/>
      <c r="AZ123" s="313"/>
      <c r="BA123" s="312"/>
      <c r="BB123" s="298"/>
      <c r="BC123" s="313"/>
      <c r="BD123" s="312"/>
      <c r="BE123" s="298"/>
      <c r="BF123" s="313"/>
      <c r="BG123" s="312"/>
      <c r="BH123" s="298"/>
      <c r="BI123" s="313"/>
      <c r="BJ123" s="312"/>
      <c r="BK123" s="298"/>
      <c r="BL123" s="311"/>
      <c r="BN123" s="313"/>
      <c r="BO123" s="312"/>
      <c r="BP123" s="298"/>
      <c r="BQ123" s="313"/>
      <c r="BR123" s="312"/>
      <c r="BS123" s="298"/>
      <c r="BT123" s="313"/>
      <c r="BU123" s="312"/>
      <c r="BV123" s="298"/>
      <c r="BW123" s="313"/>
      <c r="BX123" s="312"/>
      <c r="BY123" s="298"/>
      <c r="BZ123" s="311"/>
      <c r="CB123" s="313"/>
      <c r="CC123" s="312"/>
      <c r="CD123" s="298"/>
      <c r="CE123" s="313"/>
      <c r="CF123" s="312"/>
      <c r="CG123" s="298"/>
      <c r="CH123" s="313"/>
      <c r="CI123" s="312"/>
      <c r="CJ123" s="298"/>
      <c r="CK123" s="313"/>
      <c r="CL123" s="312"/>
      <c r="CM123" s="298"/>
      <c r="CN123" s="311"/>
    </row>
    <row r="124" spans="2:92" s="234" customFormat="1" ht="72" thickBot="1" x14ac:dyDescent="0.25">
      <c r="B124" s="1077"/>
      <c r="C124" s="973"/>
      <c r="D124" s="943"/>
      <c r="E124" s="943"/>
      <c r="F124" s="958" t="s">
        <v>1297</v>
      </c>
      <c r="G124" s="385" t="str">
        <f>+'Plan de Accion apoyo transversa'!X133</f>
        <v>Servicios, infraestructura, Sistemas de información migrados (Transición) a IPV6 y compatibilidad con IPV4</v>
      </c>
      <c r="H124" s="961"/>
      <c r="I124" s="235"/>
      <c r="J124" s="279" t="e">
        <f>+'Plan de Accion apoyo transversa'!AW133</f>
        <v>#DIV/0!</v>
      </c>
      <c r="K124" s="615" t="str">
        <f>+'Plan de Accion apoyo transversa'!CF133</f>
        <v>No Prog ni Ejec</v>
      </c>
      <c r="L124" s="615" t="s">
        <v>206</v>
      </c>
      <c r="M124" s="615">
        <f>+'Plan de Accion apoyo transversa'!AY133</f>
        <v>0</v>
      </c>
      <c r="N124" s="615">
        <f t="shared" si="27"/>
        <v>0</v>
      </c>
      <c r="O124" s="615" t="s">
        <v>206</v>
      </c>
      <c r="P124" s="277"/>
      <c r="Q124" s="279">
        <f>+'Plan de Accion apoyo transversa'!BG133</f>
        <v>0</v>
      </c>
      <c r="R124" s="315">
        <f>+'Plan de Accion apoyo transversa'!CH133</f>
        <v>0</v>
      </c>
      <c r="S124" s="276">
        <f>IF(R124&gt;100%,100%,R124)</f>
        <v>0</v>
      </c>
      <c r="T124" s="373">
        <f>+'Plan de Accion apoyo transversa'!BI133</f>
        <v>0</v>
      </c>
      <c r="U124" s="373">
        <f t="shared" si="34"/>
        <v>0</v>
      </c>
      <c r="V124" s="275">
        <f>+U124</f>
        <v>0</v>
      </c>
      <c r="W124" s="278"/>
      <c r="X124" s="279">
        <f>+'Plan de Accion apoyo transversa'!BQ133</f>
        <v>0</v>
      </c>
      <c r="Y124" s="315">
        <f>+'Plan de Accion apoyo transversa'!CJ133</f>
        <v>0</v>
      </c>
      <c r="Z124" s="276">
        <f t="shared" si="31"/>
        <v>0</v>
      </c>
      <c r="AA124" s="282">
        <f>+'Plan de Accion apoyo transversa'!BS133</f>
        <v>0</v>
      </c>
      <c r="AB124" s="282">
        <f t="shared" si="35"/>
        <v>0</v>
      </c>
      <c r="AC124" s="371">
        <f t="shared" si="32"/>
        <v>0</v>
      </c>
      <c r="AD124" s="277"/>
      <c r="AE124" s="279">
        <f>+'Plan de Accion apoyo transversa'!CA133</f>
        <v>0</v>
      </c>
      <c r="AF124" s="315">
        <f>+'Plan de Accion apoyo transversa'!CL133</f>
        <v>0</v>
      </c>
      <c r="AG124" s="276">
        <f t="shared" si="33"/>
        <v>0</v>
      </c>
      <c r="AH124" s="315">
        <f>+'Plan de Accion apoyo transversa'!CC133</f>
        <v>0</v>
      </c>
      <c r="AI124" s="275">
        <f t="shared" si="36"/>
        <v>0</v>
      </c>
      <c r="AJ124" s="314"/>
      <c r="AK124" s="299"/>
      <c r="AL124" s="313"/>
      <c r="AM124" s="312"/>
      <c r="AN124" s="298"/>
      <c r="AO124" s="313"/>
      <c r="AP124" s="312"/>
      <c r="AQ124" s="298"/>
      <c r="AR124" s="313"/>
      <c r="AS124" s="312"/>
      <c r="AT124" s="298"/>
      <c r="AU124" s="313"/>
      <c r="AV124" s="312"/>
      <c r="AW124" s="298"/>
      <c r="AX124" s="311"/>
      <c r="AY124" s="298"/>
      <c r="AZ124" s="313"/>
      <c r="BA124" s="312"/>
      <c r="BB124" s="298"/>
      <c r="BC124" s="313"/>
      <c r="BD124" s="312"/>
      <c r="BE124" s="298"/>
      <c r="BF124" s="313"/>
      <c r="BG124" s="312"/>
      <c r="BH124" s="298"/>
      <c r="BI124" s="313"/>
      <c r="BJ124" s="312"/>
      <c r="BK124" s="298"/>
      <c r="BL124" s="311"/>
      <c r="BN124" s="313"/>
      <c r="BO124" s="312"/>
      <c r="BP124" s="298"/>
      <c r="BQ124" s="313"/>
      <c r="BR124" s="312"/>
      <c r="BS124" s="298"/>
      <c r="BT124" s="313"/>
      <c r="BU124" s="312"/>
      <c r="BV124" s="298"/>
      <c r="BW124" s="313"/>
      <c r="BX124" s="312"/>
      <c r="BY124" s="298"/>
      <c r="BZ124" s="311"/>
      <c r="CB124" s="313"/>
      <c r="CC124" s="312"/>
      <c r="CD124" s="298"/>
      <c r="CE124" s="313"/>
      <c r="CF124" s="312"/>
      <c r="CG124" s="298"/>
      <c r="CH124" s="313"/>
      <c r="CI124" s="312"/>
      <c r="CJ124" s="298"/>
      <c r="CK124" s="313"/>
      <c r="CL124" s="312"/>
      <c r="CM124" s="298"/>
      <c r="CN124" s="311"/>
    </row>
    <row r="125" spans="2:92" s="234" customFormat="1" ht="72" thickBot="1" x14ac:dyDescent="0.25">
      <c r="B125" s="1077"/>
      <c r="C125" s="973"/>
      <c r="D125" s="943"/>
      <c r="E125" s="943"/>
      <c r="F125" s="944"/>
      <c r="G125" s="385" t="str">
        <f>+'Plan de Accion apoyo transversa'!X134</f>
        <v>Informe sobre servicios técnicos para realizar análisis de vulnerabilidades, ethical Hacking y pruebas de Ingeniería Social adquiridos</v>
      </c>
      <c r="H125" s="961"/>
      <c r="I125" s="235"/>
      <c r="J125" s="279" t="e">
        <f>+'Plan de Accion apoyo transversa'!AW134</f>
        <v>#DIV/0!</v>
      </c>
      <c r="K125" s="615" t="str">
        <f>+'Plan de Accion apoyo transversa'!CF134</f>
        <v>No Prog ni Ejec</v>
      </c>
      <c r="L125" s="615" t="s">
        <v>206</v>
      </c>
      <c r="M125" s="615">
        <f>+'Plan de Accion apoyo transversa'!AY134</f>
        <v>0</v>
      </c>
      <c r="N125" s="615">
        <f t="shared" si="27"/>
        <v>0</v>
      </c>
      <c r="O125" s="615" t="s">
        <v>206</v>
      </c>
      <c r="P125" s="277"/>
      <c r="Q125" s="279">
        <f>+'Plan de Accion apoyo transversa'!BG134</f>
        <v>0</v>
      </c>
      <c r="R125" s="315">
        <f>+'Plan de Accion apoyo transversa'!CH134</f>
        <v>0</v>
      </c>
      <c r="S125" s="276">
        <f>IF(R125&gt;100%,100%,R125)</f>
        <v>0</v>
      </c>
      <c r="T125" s="373">
        <f>+'Plan de Accion apoyo transversa'!BI134</f>
        <v>0</v>
      </c>
      <c r="U125" s="373">
        <f t="shared" si="34"/>
        <v>0</v>
      </c>
      <c r="V125" s="275">
        <f>+U125</f>
        <v>0</v>
      </c>
      <c r="W125" s="278"/>
      <c r="X125" s="279">
        <f>+'Plan de Accion apoyo transversa'!BQ134</f>
        <v>0</v>
      </c>
      <c r="Y125" s="315">
        <f>+'Plan de Accion apoyo transversa'!CJ134</f>
        <v>0</v>
      </c>
      <c r="Z125" s="276">
        <f t="shared" si="31"/>
        <v>0</v>
      </c>
      <c r="AA125" s="282">
        <f>+'Plan de Accion apoyo transversa'!BS134</f>
        <v>0</v>
      </c>
      <c r="AB125" s="282">
        <f t="shared" si="35"/>
        <v>0</v>
      </c>
      <c r="AC125" s="371">
        <f t="shared" si="32"/>
        <v>0</v>
      </c>
      <c r="AD125" s="277"/>
      <c r="AE125" s="279" t="e">
        <f>+'Plan de Accion apoyo transversa'!CA134</f>
        <v>#DIV/0!</v>
      </c>
      <c r="AF125" s="315" t="str">
        <f>+'Plan de Accion apoyo transversa'!CL134</f>
        <v>No Prog ni Ejec</v>
      </c>
      <c r="AG125" s="276" t="s">
        <v>206</v>
      </c>
      <c r="AH125" s="315">
        <f>+'Plan de Accion apoyo transversa'!CC134</f>
        <v>0</v>
      </c>
      <c r="AI125" s="275">
        <f t="shared" si="36"/>
        <v>0</v>
      </c>
      <c r="AJ125" s="314"/>
      <c r="AK125" s="299"/>
      <c r="AL125" s="313"/>
      <c r="AM125" s="312"/>
      <c r="AN125" s="298"/>
      <c r="AO125" s="313"/>
      <c r="AP125" s="312"/>
      <c r="AQ125" s="298"/>
      <c r="AR125" s="313"/>
      <c r="AS125" s="312"/>
      <c r="AT125" s="298"/>
      <c r="AU125" s="313"/>
      <c r="AV125" s="312"/>
      <c r="AW125" s="298"/>
      <c r="AX125" s="311"/>
      <c r="AY125" s="298"/>
      <c r="AZ125" s="313"/>
      <c r="BA125" s="312"/>
      <c r="BB125" s="298"/>
      <c r="BC125" s="313"/>
      <c r="BD125" s="312"/>
      <c r="BE125" s="298"/>
      <c r="BF125" s="313"/>
      <c r="BG125" s="312"/>
      <c r="BH125" s="298"/>
      <c r="BI125" s="313"/>
      <c r="BJ125" s="312"/>
      <c r="BK125" s="298"/>
      <c r="BL125" s="311"/>
      <c r="BN125" s="313"/>
      <c r="BO125" s="312"/>
      <c r="BP125" s="298"/>
      <c r="BQ125" s="313"/>
      <c r="BR125" s="312"/>
      <c r="BS125" s="298"/>
      <c r="BT125" s="313"/>
      <c r="BU125" s="312"/>
      <c r="BV125" s="298"/>
      <c r="BW125" s="313"/>
      <c r="BX125" s="312"/>
      <c r="BY125" s="298"/>
      <c r="BZ125" s="311"/>
      <c r="CB125" s="313"/>
      <c r="CC125" s="312"/>
      <c r="CD125" s="298"/>
      <c r="CE125" s="313"/>
      <c r="CF125" s="312"/>
      <c r="CG125" s="298"/>
      <c r="CH125" s="313"/>
      <c r="CI125" s="312"/>
      <c r="CJ125" s="298"/>
      <c r="CK125" s="313"/>
      <c r="CL125" s="312"/>
      <c r="CM125" s="298"/>
      <c r="CN125" s="311"/>
    </row>
    <row r="126" spans="2:92" s="234" customFormat="1" ht="57.75" thickBot="1" x14ac:dyDescent="0.25">
      <c r="B126" s="1078"/>
      <c r="C126" s="978"/>
      <c r="D126" s="963"/>
      <c r="E126" s="963"/>
      <c r="F126" s="370" t="s">
        <v>1298</v>
      </c>
      <c r="G126" s="385" t="str">
        <f>+'Plan de Accion apoyo transversa'!X137</f>
        <v>Plan Estratégico de TI  estructurado, elaborado y aprobado</v>
      </c>
      <c r="H126" s="962"/>
      <c r="I126" s="235"/>
      <c r="J126" s="279" t="e">
        <f>+'Plan de Accion apoyo transversa'!AW137</f>
        <v>#DIV/0!</v>
      </c>
      <c r="K126" s="315" t="str">
        <f>+'Plan de Accion apoyo transversa'!CF137</f>
        <v>No Prog ni Ejec</v>
      </c>
      <c r="L126" s="373" t="s">
        <v>206</v>
      </c>
      <c r="M126" s="615">
        <f>+'Plan de Accion apoyo transversa'!AY137</f>
        <v>0</v>
      </c>
      <c r="N126" s="615">
        <f t="shared" si="27"/>
        <v>0</v>
      </c>
      <c r="O126" s="615" t="s">
        <v>206</v>
      </c>
      <c r="P126" s="277"/>
      <c r="Q126" s="279" t="e">
        <f>+'Plan de Accion apoyo transversa'!BG137</f>
        <v>#DIV/0!</v>
      </c>
      <c r="R126" s="315" t="str">
        <f>+'Plan de Accion apoyo transversa'!CH137</f>
        <v>No Prog ni Ejec</v>
      </c>
      <c r="S126" s="276" t="s">
        <v>206</v>
      </c>
      <c r="T126" s="373">
        <f>+'Plan de Accion apoyo transversa'!BI137</f>
        <v>0</v>
      </c>
      <c r="U126" s="373">
        <f t="shared" si="34"/>
        <v>0</v>
      </c>
      <c r="V126" s="275" t="s">
        <v>206</v>
      </c>
      <c r="W126" s="278"/>
      <c r="X126" s="279">
        <f>+'Plan de Accion apoyo transversa'!BQ137</f>
        <v>0</v>
      </c>
      <c r="Y126" s="315">
        <f>+'Plan de Accion apoyo transversa'!CJ137</f>
        <v>0</v>
      </c>
      <c r="Z126" s="276">
        <f t="shared" si="31"/>
        <v>0</v>
      </c>
      <c r="AA126" s="282">
        <f>+'Plan de Accion apoyo transversa'!BS137</f>
        <v>0</v>
      </c>
      <c r="AB126" s="282">
        <f t="shared" si="35"/>
        <v>0</v>
      </c>
      <c r="AC126" s="371">
        <f t="shared" si="32"/>
        <v>0</v>
      </c>
      <c r="AD126" s="277"/>
      <c r="AE126" s="279">
        <f>+'Plan de Accion apoyo transversa'!CA137</f>
        <v>0</v>
      </c>
      <c r="AF126" s="315">
        <f>+'Plan de Accion apoyo transversa'!CL137</f>
        <v>0</v>
      </c>
      <c r="AG126" s="276">
        <f>IF(AF126&gt;100%,100%,AF126)</f>
        <v>0</v>
      </c>
      <c r="AH126" s="315">
        <f>+'Plan de Accion apoyo transversa'!CC137</f>
        <v>0</v>
      </c>
      <c r="AI126" s="275">
        <f t="shared" si="36"/>
        <v>0</v>
      </c>
      <c r="AJ126" s="314"/>
      <c r="AK126" s="299"/>
      <c r="AL126" s="313"/>
      <c r="AM126" s="312"/>
      <c r="AN126" s="298"/>
      <c r="AO126" s="313"/>
      <c r="AP126" s="312"/>
      <c r="AQ126" s="298"/>
      <c r="AR126" s="313"/>
      <c r="AS126" s="312"/>
      <c r="AT126" s="298"/>
      <c r="AU126" s="313"/>
      <c r="AV126" s="312"/>
      <c r="AW126" s="298"/>
      <c r="AX126" s="311"/>
      <c r="AY126" s="298"/>
      <c r="AZ126" s="313"/>
      <c r="BA126" s="312"/>
      <c r="BB126" s="298"/>
      <c r="BC126" s="313"/>
      <c r="BD126" s="312"/>
      <c r="BE126" s="298"/>
      <c r="BF126" s="313"/>
      <c r="BG126" s="312"/>
      <c r="BH126" s="298"/>
      <c r="BI126" s="313"/>
      <c r="BJ126" s="312"/>
      <c r="BK126" s="298"/>
      <c r="BL126" s="311"/>
      <c r="BN126" s="313"/>
      <c r="BO126" s="312"/>
      <c r="BP126" s="298"/>
      <c r="BQ126" s="313"/>
      <c r="BR126" s="312"/>
      <c r="BS126" s="298"/>
      <c r="BT126" s="313"/>
      <c r="BU126" s="312"/>
      <c r="BV126" s="298"/>
      <c r="BW126" s="313"/>
      <c r="BX126" s="312"/>
      <c r="BY126" s="298"/>
      <c r="BZ126" s="311"/>
      <c r="CB126" s="313"/>
      <c r="CC126" s="312"/>
      <c r="CD126" s="298"/>
      <c r="CE126" s="313"/>
      <c r="CF126" s="312"/>
      <c r="CG126" s="298"/>
      <c r="CH126" s="313"/>
      <c r="CI126" s="312"/>
      <c r="CJ126" s="298"/>
      <c r="CK126" s="313"/>
      <c r="CL126" s="312"/>
      <c r="CM126" s="298"/>
      <c r="CN126" s="311"/>
    </row>
    <row r="127" spans="2:92" ht="20.25" thickBot="1" x14ac:dyDescent="0.3">
      <c r="B127" s="964" t="s">
        <v>210</v>
      </c>
      <c r="C127" s="966"/>
      <c r="D127" s="966"/>
      <c r="E127" s="966"/>
      <c r="F127" s="967"/>
      <c r="G127" s="967"/>
      <c r="H127" s="968"/>
      <c r="I127" s="303"/>
      <c r="J127" s="259" t="s">
        <v>206</v>
      </c>
      <c r="K127" s="258">
        <f>AVERAGE(K15:K126)</f>
        <v>0.51721967727914364</v>
      </c>
      <c r="L127" s="258">
        <f>IF(K127&gt;100%,100%,K127)</f>
        <v>0.51721967727914364</v>
      </c>
      <c r="M127" s="258">
        <f>AVERAGE(M15:M126)</f>
        <v>5.7350318596766744E-2</v>
      </c>
      <c r="N127" s="258">
        <f>IF(M127&gt;25%,25%,M127)</f>
        <v>5.7350318596766744E-2</v>
      </c>
      <c r="O127" s="262">
        <f>AVERAGE(O15:O126)</f>
        <v>0.12684004697360549</v>
      </c>
      <c r="P127" s="260"/>
      <c r="Q127" s="259" t="s">
        <v>206</v>
      </c>
      <c r="R127" s="263">
        <f>AVERAGE(R15:R126)</f>
        <v>0</v>
      </c>
      <c r="S127" s="258">
        <f>IF(R127&gt;100%,100%,R127)</f>
        <v>0</v>
      </c>
      <c r="T127" s="263">
        <f>AVERAGE(T15:T126)</f>
        <v>5.9840815411512427E-2</v>
      </c>
      <c r="U127" s="258">
        <f>IF(T127&gt;50%,50%,T127)</f>
        <v>5.9840815411512427E-2</v>
      </c>
      <c r="V127" s="262">
        <f>AVERAGE(V15:V126)</f>
        <v>8.8860654749490453E-2</v>
      </c>
      <c r="W127" s="261"/>
      <c r="X127" s="259" t="s">
        <v>206</v>
      </c>
      <c r="Y127" s="263">
        <f>AVERAGE(Y15:Y126)</f>
        <v>0</v>
      </c>
      <c r="Z127" s="258">
        <f t="shared" si="31"/>
        <v>0</v>
      </c>
      <c r="AA127" s="263">
        <f>AVERAGE(AA15:AA126)</f>
        <v>5.9840815411512427E-2</v>
      </c>
      <c r="AB127" s="258">
        <f>IF(AA127&gt;75%,75%,AA127)</f>
        <v>5.9840815411512427E-2</v>
      </c>
      <c r="AC127" s="262">
        <f>AVERAGE(AC15:AC126)</f>
        <v>7.3650234352630684E-2</v>
      </c>
      <c r="AD127" s="260"/>
      <c r="AE127" s="259" t="s">
        <v>206</v>
      </c>
      <c r="AF127" s="263">
        <f>AVERAGE(AF15:AF126)</f>
        <v>0</v>
      </c>
      <c r="AG127" s="258">
        <f>IF(AF127&gt;100%,100%,AF127)</f>
        <v>0</v>
      </c>
      <c r="AH127" s="263">
        <f>AVERAGE(AH15:AH126)</f>
        <v>5.9840815411512427E-2</v>
      </c>
      <c r="AI127" s="262">
        <f>AVERAGE(AI15:AI126)</f>
        <v>5.9840815411512427E-2</v>
      </c>
      <c r="AJ127" s="310"/>
      <c r="AK127" s="302"/>
      <c r="AL127" s="308"/>
      <c r="AM127" s="307"/>
      <c r="AN127" s="309"/>
      <c r="AO127" s="308"/>
      <c r="AP127" s="307"/>
      <c r="AQ127" s="309"/>
      <c r="AR127" s="308"/>
      <c r="AS127" s="307"/>
      <c r="AT127" s="309"/>
      <c r="AU127" s="308"/>
      <c r="AV127" s="307"/>
      <c r="AW127" s="301"/>
      <c r="AX127" s="306"/>
      <c r="AY127" s="301"/>
      <c r="AZ127" s="308"/>
      <c r="BA127" s="307"/>
      <c r="BB127" s="309"/>
      <c r="BC127" s="308"/>
      <c r="BD127" s="307"/>
      <c r="BE127" s="309"/>
      <c r="BF127" s="308"/>
      <c r="BG127" s="307"/>
      <c r="BH127" s="309"/>
      <c r="BI127" s="308"/>
      <c r="BJ127" s="307"/>
      <c r="BK127" s="301"/>
      <c r="BL127" s="306"/>
      <c r="BN127" s="308"/>
      <c r="BO127" s="307"/>
      <c r="BP127" s="309"/>
      <c r="BQ127" s="308"/>
      <c r="BR127" s="307"/>
      <c r="BS127" s="309"/>
      <c r="BT127" s="308"/>
      <c r="BU127" s="307"/>
      <c r="BV127" s="309"/>
      <c r="BW127" s="308"/>
      <c r="BX127" s="307"/>
      <c r="BY127" s="301"/>
      <c r="BZ127" s="306"/>
      <c r="CB127" s="308"/>
      <c r="CC127" s="307"/>
      <c r="CD127" s="309"/>
      <c r="CE127" s="308"/>
      <c r="CF127" s="307"/>
      <c r="CG127" s="309"/>
      <c r="CH127" s="308"/>
      <c r="CI127" s="307"/>
      <c r="CJ127" s="309"/>
      <c r="CK127" s="308"/>
      <c r="CL127" s="307"/>
      <c r="CM127" s="301"/>
      <c r="CN127" s="306"/>
    </row>
    <row r="128" spans="2:92" ht="96.75" customHeight="1" x14ac:dyDescent="0.25">
      <c r="B128" s="969" t="s">
        <v>1272</v>
      </c>
      <c r="C128" s="973" t="s">
        <v>347</v>
      </c>
      <c r="D128" s="956" t="s">
        <v>1265</v>
      </c>
      <c r="E128" s="957" t="s">
        <v>13</v>
      </c>
      <c r="F128" s="944" t="s">
        <v>332</v>
      </c>
      <c r="G128" s="957" t="str">
        <f>+'Plan de Accion Proyectos estrat'!K9</f>
        <v>Paquetes de recobros y reclamaciones del rezago entregados para pago, con interventoría certificada</v>
      </c>
      <c r="H128" s="376" t="str">
        <f>+'Plan de Accion Proyectos estrat'!X9</f>
        <v>#Paquetes de recobros y reclamaciones de rezago entregados para pago con interventoría certificada / # Paquetes de recobros y reclamaciones rezagados</v>
      </c>
      <c r="I128" s="303"/>
      <c r="J128" s="372">
        <f>+'Plan de Accion Proyectos estrat'!AG9</f>
        <v>3.4280662133819627E-6</v>
      </c>
      <c r="K128" s="697">
        <f>+'Plan de Accion Proyectos estrat'!AI9</f>
        <v>1.3712264853527851E-5</v>
      </c>
      <c r="L128" s="373">
        <f>IF(K128&gt;100%,100%,K128)</f>
        <v>1.3712264853527851E-5</v>
      </c>
      <c r="M128" s="373">
        <f>+'Plan de Accion Proyectos estrat'!AK9</f>
        <v>3.4280662133819627E-6</v>
      </c>
      <c r="N128" s="615">
        <f t="shared" si="27"/>
        <v>3.4280662133819627E-6</v>
      </c>
      <c r="O128" s="374">
        <f t="shared" ref="O128:O137" si="37">+N128</f>
        <v>3.4280662133819627E-6</v>
      </c>
      <c r="P128" s="277"/>
      <c r="Q128" s="372">
        <f>+'Plan de Accion Proyectos estrat'!AQ9</f>
        <v>0</v>
      </c>
      <c r="R128" s="373">
        <f>+'Plan de Accion Proyectos estrat'!AS9</f>
        <v>0</v>
      </c>
      <c r="S128" s="276">
        <f>IF(R128&gt;100%,100%,R128)</f>
        <v>0</v>
      </c>
      <c r="T128" s="373">
        <f>+'Plan de Accion Proyectos estrat'!AU9</f>
        <v>3.4280662133819627E-6</v>
      </c>
      <c r="U128" s="373">
        <f>IF(T128&gt;100%,100%,T128)</f>
        <v>3.4280662133819627E-6</v>
      </c>
      <c r="V128" s="275">
        <f>+U128</f>
        <v>3.4280662133819627E-6</v>
      </c>
      <c r="W128" s="278"/>
      <c r="X128" s="372">
        <f>+'Plan de Accion Proyectos estrat'!BA9</f>
        <v>0</v>
      </c>
      <c r="Y128" s="373">
        <f>+'Plan de Accion Proyectos estrat'!BC9</f>
        <v>0</v>
      </c>
      <c r="Z128" s="276">
        <f t="shared" si="31"/>
        <v>0</v>
      </c>
      <c r="AA128" s="282">
        <f>+'Plan de Accion Proyectos estrat'!BE9</f>
        <v>3.4280662133819627E-6</v>
      </c>
      <c r="AB128" s="282">
        <f>IF(AA128&gt;100%,100%,AA128)</f>
        <v>3.4280662133819627E-6</v>
      </c>
      <c r="AC128" s="281">
        <f>+AB128</f>
        <v>3.4280662133819627E-6</v>
      </c>
      <c r="AD128" s="277"/>
      <c r="AE128" s="372">
        <f>+'Plan de Accion Proyectos estrat'!BK9</f>
        <v>0</v>
      </c>
      <c r="AF128" s="373">
        <f>+'Plan de Accion Proyectos estrat'!BM9</f>
        <v>0</v>
      </c>
      <c r="AG128" s="276">
        <f>IF(AF128&gt;100%,100%,AF128)</f>
        <v>0</v>
      </c>
      <c r="AH128" s="373">
        <f>+'Plan de Accion Proyectos estrat'!BO9</f>
        <v>3.4280662133819627E-6</v>
      </c>
      <c r="AI128" s="275">
        <f>IF(AH128&gt;100%,100%,AH128)</f>
        <v>3.4280662133819627E-6</v>
      </c>
      <c r="AJ128" s="1014"/>
      <c r="AK128" s="302"/>
      <c r="AL128" s="1011"/>
      <c r="AM128" s="1007"/>
      <c r="AN128" s="267"/>
      <c r="AO128" s="1011"/>
      <c r="AP128" s="1007"/>
      <c r="AQ128" s="267"/>
      <c r="AR128" s="1011"/>
      <c r="AS128" s="1007"/>
      <c r="AT128" s="267"/>
      <c r="AU128" s="1011"/>
      <c r="AV128" s="1007"/>
      <c r="AW128" s="265"/>
      <c r="AX128" s="1015"/>
      <c r="AY128" s="301"/>
      <c r="AZ128" s="1011"/>
      <c r="BA128" s="1007"/>
      <c r="BB128" s="267"/>
      <c r="BC128" s="1011"/>
      <c r="BD128" s="1007"/>
      <c r="BE128" s="267"/>
      <c r="BF128" s="1011"/>
      <c r="BG128" s="1007"/>
      <c r="BH128" s="267"/>
      <c r="BI128" s="1011"/>
      <c r="BJ128" s="1007"/>
      <c r="BK128" s="265"/>
      <c r="BL128" s="1015"/>
      <c r="BN128" s="1011"/>
      <c r="BO128" s="1007"/>
      <c r="BP128" s="267"/>
      <c r="BQ128" s="1011"/>
      <c r="BR128" s="1007"/>
      <c r="BS128" s="267"/>
      <c r="BT128" s="1011"/>
      <c r="BU128" s="1007"/>
      <c r="BV128" s="267"/>
      <c r="BW128" s="1011"/>
      <c r="BX128" s="1007"/>
      <c r="BY128" s="265"/>
      <c r="BZ128" s="1015"/>
      <c r="CB128" s="1011"/>
      <c r="CC128" s="1007"/>
      <c r="CD128" s="267"/>
      <c r="CE128" s="1011"/>
      <c r="CF128" s="1007"/>
      <c r="CG128" s="267"/>
      <c r="CH128" s="1011"/>
      <c r="CI128" s="1007"/>
      <c r="CJ128" s="267"/>
      <c r="CK128" s="1011"/>
      <c r="CL128" s="1007"/>
      <c r="CM128" s="265"/>
      <c r="CN128" s="1015"/>
    </row>
    <row r="129" spans="2:94" ht="96" customHeight="1" x14ac:dyDescent="0.25">
      <c r="B129" s="970"/>
      <c r="C129" s="973"/>
      <c r="D129" s="956"/>
      <c r="E129" s="952"/>
      <c r="F129" s="1041"/>
      <c r="G129" s="952"/>
      <c r="H129" s="289" t="str">
        <f>+'Plan de Accion Proyectos estrat'!X10</f>
        <v>#Paquetes de recobros y reclamaciones 2019 entregados para pago con interventoría certificada / # Paquetes de recobros y reclamaciones 2019  con trámite de auditoría por realizar</v>
      </c>
      <c r="I129" s="303"/>
      <c r="J129" s="372">
        <f>+'Plan de Accion Proyectos estrat'!AG10</f>
        <v>1.6588424597315994E-5</v>
      </c>
      <c r="K129" s="615" t="e">
        <f>+'Plan de Accion Proyectos estrat'!BR10</f>
        <v>#VALUE!</v>
      </c>
      <c r="L129" s="615" t="e">
        <f>IF(K129&gt;100%,100%,K129)</f>
        <v>#VALUE!</v>
      </c>
      <c r="M129" s="615" t="e">
        <f>+'Plan de Accion Proyectos estrat'!AK10</f>
        <v>#VALUE!</v>
      </c>
      <c r="N129" s="615" t="e">
        <f t="shared" si="27"/>
        <v>#VALUE!</v>
      </c>
      <c r="O129" s="617" t="e">
        <f t="shared" si="37"/>
        <v>#VALUE!</v>
      </c>
      <c r="P129" s="277"/>
      <c r="Q129" s="372">
        <f>+'Plan de Accion Proyectos estrat'!AQ10</f>
        <v>0</v>
      </c>
      <c r="R129" s="373" t="e">
        <f>+'Plan de Accion Proyectos estrat'!BT10</f>
        <v>#VALUE!</v>
      </c>
      <c r="S129" s="276" t="e">
        <f>IF(R129&gt;100%,100%,R129)</f>
        <v>#VALUE!</v>
      </c>
      <c r="T129" s="373" t="e">
        <f>+'Plan de Accion Proyectos estrat'!AU10</f>
        <v>#VALUE!</v>
      </c>
      <c r="U129" s="373" t="e">
        <f>IF(T129&gt;100%,100%,T129)</f>
        <v>#VALUE!</v>
      </c>
      <c r="V129" s="275" t="e">
        <f>+U129</f>
        <v>#VALUE!</v>
      </c>
      <c r="W129" s="278"/>
      <c r="X129" s="372">
        <f>+'Plan de Accion Proyectos estrat'!BA10</f>
        <v>0</v>
      </c>
      <c r="Y129" s="373" t="e">
        <f>+'Plan de Accion Proyectos estrat'!BC10</f>
        <v>#VALUE!</v>
      </c>
      <c r="Z129" s="276" t="e">
        <f t="shared" si="31"/>
        <v>#VALUE!</v>
      </c>
      <c r="AA129" s="282" t="e">
        <f>+'Plan de Accion Proyectos estrat'!BE10</f>
        <v>#VALUE!</v>
      </c>
      <c r="AB129" s="282" t="e">
        <f>IF(AA129&gt;100%,100%,AA129)</f>
        <v>#VALUE!</v>
      </c>
      <c r="AC129" s="281" t="e">
        <f>+AB129</f>
        <v>#VALUE!</v>
      </c>
      <c r="AD129" s="277"/>
      <c r="AE129" s="372">
        <f>+'Plan de Accion Proyectos estrat'!BK10</f>
        <v>0</v>
      </c>
      <c r="AF129" s="373" t="e">
        <f>+'Plan de Accion Proyectos estrat'!BM10</f>
        <v>#VALUE!</v>
      </c>
      <c r="AG129" s="276" t="e">
        <f>IF(AF129&gt;100%,100%,AF129)</f>
        <v>#VALUE!</v>
      </c>
      <c r="AH129" s="373" t="e">
        <f>+'Plan de Accion Proyectos estrat'!BO10</f>
        <v>#VALUE!</v>
      </c>
      <c r="AI129" s="275" t="e">
        <f>IF(AH129&gt;100%,100%,AH129)</f>
        <v>#VALUE!</v>
      </c>
      <c r="AJ129" s="996"/>
      <c r="AK129" s="302"/>
      <c r="AL129" s="1012"/>
      <c r="AM129" s="998"/>
      <c r="AN129" s="267"/>
      <c r="AO129" s="1012"/>
      <c r="AP129" s="998"/>
      <c r="AQ129" s="267"/>
      <c r="AR129" s="1012"/>
      <c r="AS129" s="998"/>
      <c r="AT129" s="267"/>
      <c r="AU129" s="1012"/>
      <c r="AV129" s="998"/>
      <c r="AW129" s="265"/>
      <c r="AX129" s="1016"/>
      <c r="AY129" s="301"/>
      <c r="AZ129" s="1012"/>
      <c r="BA129" s="998"/>
      <c r="BB129" s="267"/>
      <c r="BC129" s="1012"/>
      <c r="BD129" s="998"/>
      <c r="BE129" s="267"/>
      <c r="BF129" s="1012"/>
      <c r="BG129" s="998"/>
      <c r="BH129" s="267"/>
      <c r="BI129" s="1012"/>
      <c r="BJ129" s="998"/>
      <c r="BK129" s="265"/>
      <c r="BL129" s="1016"/>
      <c r="BN129" s="1012"/>
      <c r="BO129" s="998"/>
      <c r="BP129" s="267"/>
      <c r="BQ129" s="1012"/>
      <c r="BR129" s="998"/>
      <c r="BS129" s="267"/>
      <c r="BT129" s="1012"/>
      <c r="BU129" s="998"/>
      <c r="BV129" s="267"/>
      <c r="BW129" s="1012"/>
      <c r="BX129" s="998"/>
      <c r="BY129" s="265"/>
      <c r="BZ129" s="1016"/>
      <c r="CB129" s="1012"/>
      <c r="CC129" s="998"/>
      <c r="CD129" s="267"/>
      <c r="CE129" s="1012"/>
      <c r="CF129" s="998"/>
      <c r="CG129" s="267"/>
      <c r="CH129" s="1012"/>
      <c r="CI129" s="998"/>
      <c r="CJ129" s="267"/>
      <c r="CK129" s="1012"/>
      <c r="CL129" s="998"/>
      <c r="CM129" s="265"/>
      <c r="CN129" s="1016"/>
    </row>
    <row r="130" spans="2:94" ht="57.75" thickBot="1" x14ac:dyDescent="0.3">
      <c r="B130" s="970"/>
      <c r="C130" s="973"/>
      <c r="D130" s="956"/>
      <c r="E130" s="952"/>
      <c r="F130" s="1041"/>
      <c r="G130" s="378" t="str">
        <f>+'Plan de Accion Proyectos estrat'!K13</f>
        <v>Comunicaciones de ordenación del gasto resultantes del proceso de giro previo</v>
      </c>
      <c r="H130" s="289" t="str">
        <f>+'Plan de Accion Proyectos estrat'!X13</f>
        <v xml:space="preserve"># Comunicaciones de ordenación de gasto del giro previo </v>
      </c>
      <c r="I130" s="303"/>
      <c r="J130" s="283">
        <f>+'Plan de Accion Proyectos estrat'!AG13</f>
        <v>3</v>
      </c>
      <c r="K130" s="615">
        <f>+'Plan de Accion Proyectos estrat'!AI13</f>
        <v>1</v>
      </c>
      <c r="L130" s="615">
        <f>IF(K130&gt;100%,100%,K130)</f>
        <v>1</v>
      </c>
      <c r="M130" s="615">
        <f>+'Plan de Accion Proyectos estrat'!AK13</f>
        <v>0.25</v>
      </c>
      <c r="N130" s="615">
        <f t="shared" si="27"/>
        <v>0.25</v>
      </c>
      <c r="O130" s="617">
        <f t="shared" si="37"/>
        <v>0.25</v>
      </c>
      <c r="P130" s="277"/>
      <c r="Q130" s="283">
        <f>+'Plan de Accion Proyectos estrat'!AQ13</f>
        <v>0</v>
      </c>
      <c r="R130" s="373">
        <f>+'Plan de Accion Proyectos estrat'!AS13</f>
        <v>0</v>
      </c>
      <c r="S130" s="276">
        <f>IF(R130&gt;100%,100%,R130)</f>
        <v>0</v>
      </c>
      <c r="T130" s="373">
        <f>+'Plan de Accion Proyectos estrat'!AU13</f>
        <v>0.25</v>
      </c>
      <c r="U130" s="373">
        <f>IF(T130&gt;100%,100%,T130)</f>
        <v>0.25</v>
      </c>
      <c r="V130" s="275">
        <f>+U130</f>
        <v>0.25</v>
      </c>
      <c r="W130" s="278"/>
      <c r="X130" s="283">
        <f>+'Plan de Accion Proyectos estrat'!BA13</f>
        <v>0</v>
      </c>
      <c r="Y130" s="373">
        <f>+'Plan de Accion Proyectos estrat'!BC13</f>
        <v>0</v>
      </c>
      <c r="Z130" s="276">
        <f t="shared" si="31"/>
        <v>0</v>
      </c>
      <c r="AA130" s="282">
        <f>+'Plan de Accion Proyectos estrat'!BE13</f>
        <v>0.25</v>
      </c>
      <c r="AB130" s="282">
        <f>IF(AA130&gt;100%,100%,AA130)</f>
        <v>0.25</v>
      </c>
      <c r="AC130" s="281">
        <f>+AB130</f>
        <v>0.25</v>
      </c>
      <c r="AD130" s="277"/>
      <c r="AE130" s="284">
        <f>+'Plan de Accion Proyectos estrat'!BK13</f>
        <v>0</v>
      </c>
      <c r="AF130" s="373">
        <f>+'Plan de Accion Proyectos estrat'!BM13</f>
        <v>0</v>
      </c>
      <c r="AG130" s="276">
        <f>IF(AF130&gt;100%,100%,AF130)</f>
        <v>0</v>
      </c>
      <c r="AH130" s="373">
        <f>+'Plan de Accion Proyectos estrat'!BO13</f>
        <v>0.25</v>
      </c>
      <c r="AI130" s="275">
        <f>IF(AH130&gt;100%,100%,AH130)</f>
        <v>0.25</v>
      </c>
      <c r="AJ130" s="997"/>
      <c r="AK130" s="302"/>
      <c r="AL130" s="1013"/>
      <c r="AM130" s="999"/>
      <c r="AN130" s="267"/>
      <c r="AO130" s="1013"/>
      <c r="AP130" s="999"/>
      <c r="AQ130" s="267"/>
      <c r="AR130" s="1013"/>
      <c r="AS130" s="999"/>
      <c r="AT130" s="267"/>
      <c r="AU130" s="1013"/>
      <c r="AV130" s="999"/>
      <c r="AW130" s="265"/>
      <c r="AX130" s="1017"/>
      <c r="AY130" s="301"/>
      <c r="AZ130" s="1013"/>
      <c r="BA130" s="999"/>
      <c r="BB130" s="267"/>
      <c r="BC130" s="1013"/>
      <c r="BD130" s="999"/>
      <c r="BE130" s="267"/>
      <c r="BF130" s="1013"/>
      <c r="BG130" s="999"/>
      <c r="BH130" s="267"/>
      <c r="BI130" s="1013"/>
      <c r="BJ130" s="999"/>
      <c r="BK130" s="265"/>
      <c r="BL130" s="1017"/>
      <c r="BN130" s="1013"/>
      <c r="BO130" s="999"/>
      <c r="BP130" s="267"/>
      <c r="BQ130" s="1013"/>
      <c r="BR130" s="999"/>
      <c r="BS130" s="267"/>
      <c r="BT130" s="1013"/>
      <c r="BU130" s="999"/>
      <c r="BV130" s="267"/>
      <c r="BW130" s="1013"/>
      <c r="BX130" s="999"/>
      <c r="BY130" s="265"/>
      <c r="BZ130" s="1017"/>
      <c r="CB130" s="1013"/>
      <c r="CC130" s="999"/>
      <c r="CD130" s="267"/>
      <c r="CE130" s="1013"/>
      <c r="CF130" s="999"/>
      <c r="CG130" s="267"/>
      <c r="CH130" s="1013"/>
      <c r="CI130" s="999"/>
      <c r="CJ130" s="267"/>
      <c r="CK130" s="1013"/>
      <c r="CL130" s="999"/>
      <c r="CM130" s="265"/>
      <c r="CN130" s="1017"/>
    </row>
    <row r="131" spans="2:94" ht="99.75" x14ac:dyDescent="0.25">
      <c r="B131" s="970"/>
      <c r="C131" s="973"/>
      <c r="D131" s="956"/>
      <c r="E131" s="952"/>
      <c r="F131" s="1041"/>
      <c r="G131" s="952" t="str">
        <f>+'Plan de Accion Proyectos estrat'!K14</f>
        <v>Comunicaciones de ordenación del gasto resultantes del proceso de pagos de los paquetes de recobros cuyo trámite de auditoria haya culminado</v>
      </c>
      <c r="H131" s="289" t="str">
        <f>+'Plan de Accion Proyectos estrat'!X14</f>
        <v># Ordenaciones realizadas de paquetes de recobros MYT0102 con resultado de auditoría culminado/ # paquetes MYT0102 cuyo tramite de auditoria haya culminado</v>
      </c>
      <c r="I131" s="303"/>
      <c r="J131" s="372">
        <f>+'Plan de Accion Proyectos estrat'!AG14</f>
        <v>0</v>
      </c>
      <c r="K131" s="930">
        <f>AVERAGE('Plan de Accion Proyectos estrat'!AI14:AI15)</f>
        <v>0</v>
      </c>
      <c r="L131" s="930">
        <f t="shared" ref="L131:L139" si="38">IF(K131&gt;100%,100%,K131)</f>
        <v>0</v>
      </c>
      <c r="M131" s="930">
        <f>AVERAGE('Plan de Accion Proyectos estrat'!AK14:AK15)</f>
        <v>0</v>
      </c>
      <c r="N131" s="930">
        <f t="shared" si="27"/>
        <v>0</v>
      </c>
      <c r="O131" s="933">
        <f t="shared" si="37"/>
        <v>0</v>
      </c>
      <c r="P131" s="277"/>
      <c r="Q131" s="372">
        <f>+'Plan de Accion Proyectos estrat'!AQ14</f>
        <v>0</v>
      </c>
      <c r="R131" s="930">
        <f>AVERAGE('Plan de Accion Proyectos estrat'!AS14:AS15)</f>
        <v>0</v>
      </c>
      <c r="S131" s="930">
        <f t="shared" ref="S131:S139" si="39">IF(R131&gt;100%,100%,R131)</f>
        <v>0</v>
      </c>
      <c r="T131" s="930">
        <f>AVERAGE('Plan de Accion Proyectos estrat'!AU14:AU15)</f>
        <v>0</v>
      </c>
      <c r="U131" s="930">
        <f t="shared" ref="U131:U139" si="40">IF(T131&gt;100%,100%,T131)</f>
        <v>0</v>
      </c>
      <c r="V131" s="933">
        <f t="shared" ref="V131:V146" si="41">+U131</f>
        <v>0</v>
      </c>
      <c r="W131" s="278"/>
      <c r="X131" s="372">
        <f>+'Plan de Accion Proyectos estrat'!BA14</f>
        <v>0</v>
      </c>
      <c r="Y131" s="930">
        <f>AVERAGE('Plan de Accion Proyectos estrat'!BC14:BC15)</f>
        <v>0</v>
      </c>
      <c r="Z131" s="930">
        <f t="shared" ref="Z131:Z146" si="42">IF(Y131&gt;100%,100%,Y131)</f>
        <v>0</v>
      </c>
      <c r="AA131" s="936">
        <f>AVERAGE('Plan de Accion Proyectos estrat'!BE14:BE15)</f>
        <v>0</v>
      </c>
      <c r="AB131" s="936">
        <f t="shared" ref="AB131:AB146" si="43">IF(AA131&gt;100%,100%,AA131)</f>
        <v>0</v>
      </c>
      <c r="AC131" s="939">
        <f t="shared" ref="AC131:AC146" si="44">+AB131</f>
        <v>0</v>
      </c>
      <c r="AD131" s="277"/>
      <c r="AE131" s="372">
        <f>+'Plan de Accion Proyectos estrat'!BK14</f>
        <v>0</v>
      </c>
      <c r="AF131" s="930">
        <f>AVERAGE('Plan de Accion Proyectos estrat'!BM14:BM15)</f>
        <v>0</v>
      </c>
      <c r="AG131" s="930">
        <f t="shared" ref="AG131:AG146" si="45">IF(AF131&gt;100%,100%,AF131)</f>
        <v>0</v>
      </c>
      <c r="AH131" s="930">
        <f>AVERAGE('Plan de Accion Proyectos estrat'!BO14:BO15)</f>
        <v>0</v>
      </c>
      <c r="AI131" s="933">
        <f t="shared" ref="AI131:AI146" si="46">IF(AH131&gt;100%,100%,AH131)</f>
        <v>0</v>
      </c>
      <c r="AJ131" s="1014"/>
      <c r="AK131" s="302"/>
      <c r="AL131" s="1018"/>
      <c r="AM131" s="1007"/>
      <c r="AN131" s="267"/>
      <c r="AO131" s="1018"/>
      <c r="AP131" s="1007"/>
      <c r="AQ131" s="267"/>
      <c r="AR131" s="1018"/>
      <c r="AS131" s="1007"/>
      <c r="AT131" s="267"/>
      <c r="AU131" s="1018"/>
      <c r="AV131" s="1007"/>
      <c r="AW131" s="265"/>
      <c r="AX131" s="1015"/>
      <c r="AY131" s="301"/>
      <c r="AZ131" s="1018"/>
      <c r="BA131" s="1007"/>
      <c r="BB131" s="267"/>
      <c r="BC131" s="1018"/>
      <c r="BD131" s="1007"/>
      <c r="BE131" s="267"/>
      <c r="BF131" s="1018"/>
      <c r="BG131" s="1007"/>
      <c r="BH131" s="267"/>
      <c r="BI131" s="1018"/>
      <c r="BJ131" s="1007"/>
      <c r="BK131" s="265"/>
      <c r="BL131" s="1015"/>
      <c r="BN131" s="1018"/>
      <c r="BO131" s="1007"/>
      <c r="BP131" s="267"/>
      <c r="BQ131" s="1018"/>
      <c r="BR131" s="1007"/>
      <c r="BS131" s="267"/>
      <c r="BT131" s="1018"/>
      <c r="BU131" s="1007"/>
      <c r="BV131" s="267"/>
      <c r="BW131" s="1018"/>
      <c r="BX131" s="1007"/>
      <c r="BY131" s="265"/>
      <c r="BZ131" s="1015"/>
      <c r="CB131" s="1018"/>
      <c r="CC131" s="1007"/>
      <c r="CD131" s="267"/>
      <c r="CE131" s="1018"/>
      <c r="CF131" s="1007"/>
      <c r="CG131" s="267"/>
      <c r="CH131" s="1018"/>
      <c r="CI131" s="1007"/>
      <c r="CJ131" s="267"/>
      <c r="CK131" s="1018"/>
      <c r="CL131" s="1007"/>
      <c r="CM131" s="265"/>
      <c r="CN131" s="1015"/>
    </row>
    <row r="132" spans="2:94" ht="85.5" x14ac:dyDescent="0.25">
      <c r="B132" s="970"/>
      <c r="C132" s="973"/>
      <c r="D132" s="956"/>
      <c r="E132" s="952"/>
      <c r="F132" s="1041"/>
      <c r="G132" s="952"/>
      <c r="H132" s="289" t="str">
        <f>+'Plan de Accion Proyectos estrat'!X15</f>
        <v># Ordenaciones realizadas de paquetes de recobros MYT04 con resultado de auditoría culminado/ # paquetes MYT04 cuyo tramite de auditoria haya culminado</v>
      </c>
      <c r="I132" s="303"/>
      <c r="J132" s="372">
        <f>+'Plan de Accion Proyectos estrat'!AG15</f>
        <v>0</v>
      </c>
      <c r="K132" s="932"/>
      <c r="L132" s="932"/>
      <c r="M132" s="932"/>
      <c r="N132" s="932"/>
      <c r="O132" s="935"/>
      <c r="P132" s="277"/>
      <c r="Q132" s="372">
        <f>+'Plan de Accion Proyectos estrat'!AQ15</f>
        <v>0</v>
      </c>
      <c r="R132" s="932"/>
      <c r="S132" s="932"/>
      <c r="T132" s="932"/>
      <c r="U132" s="932"/>
      <c r="V132" s="935"/>
      <c r="W132" s="278"/>
      <c r="X132" s="372">
        <f>+'Plan de Accion Proyectos estrat'!BA15</f>
        <v>0</v>
      </c>
      <c r="Y132" s="932"/>
      <c r="Z132" s="932"/>
      <c r="AA132" s="938"/>
      <c r="AB132" s="938"/>
      <c r="AC132" s="941"/>
      <c r="AD132" s="277"/>
      <c r="AE132" s="372">
        <f>+'Plan de Accion Proyectos estrat'!BK15</f>
        <v>0</v>
      </c>
      <c r="AF132" s="932"/>
      <c r="AG132" s="932"/>
      <c r="AH132" s="932"/>
      <c r="AI132" s="935"/>
      <c r="AJ132" s="996"/>
      <c r="AK132" s="302"/>
      <c r="AL132" s="1019"/>
      <c r="AM132" s="998"/>
      <c r="AN132" s="267"/>
      <c r="AO132" s="1019"/>
      <c r="AP132" s="998"/>
      <c r="AQ132" s="267"/>
      <c r="AR132" s="1019"/>
      <c r="AS132" s="998"/>
      <c r="AT132" s="267"/>
      <c r="AU132" s="1019"/>
      <c r="AV132" s="998"/>
      <c r="AW132" s="265"/>
      <c r="AX132" s="1016"/>
      <c r="AY132" s="301"/>
      <c r="AZ132" s="1019"/>
      <c r="BA132" s="998"/>
      <c r="BB132" s="267"/>
      <c r="BC132" s="1019"/>
      <c r="BD132" s="998"/>
      <c r="BE132" s="267"/>
      <c r="BF132" s="1019"/>
      <c r="BG132" s="998"/>
      <c r="BH132" s="267"/>
      <c r="BI132" s="1019"/>
      <c r="BJ132" s="998"/>
      <c r="BK132" s="265"/>
      <c r="BL132" s="1016"/>
      <c r="BN132" s="1019"/>
      <c r="BO132" s="998"/>
      <c r="BP132" s="267"/>
      <c r="BQ132" s="1019"/>
      <c r="BR132" s="998"/>
      <c r="BS132" s="267"/>
      <c r="BT132" s="1019"/>
      <c r="BU132" s="998"/>
      <c r="BV132" s="267"/>
      <c r="BW132" s="1019"/>
      <c r="BX132" s="998"/>
      <c r="BY132" s="265"/>
      <c r="BZ132" s="1016"/>
      <c r="CB132" s="1019"/>
      <c r="CC132" s="998"/>
      <c r="CD132" s="267"/>
      <c r="CE132" s="1019"/>
      <c r="CF132" s="998"/>
      <c r="CG132" s="267"/>
      <c r="CH132" s="1019"/>
      <c r="CI132" s="998"/>
      <c r="CJ132" s="267"/>
      <c r="CK132" s="1019"/>
      <c r="CL132" s="998"/>
      <c r="CM132" s="265"/>
      <c r="CN132" s="1016"/>
    </row>
    <row r="133" spans="2:94" ht="57" x14ac:dyDescent="0.25">
      <c r="B133" s="970"/>
      <c r="C133" s="973"/>
      <c r="D133" s="956"/>
      <c r="E133" s="952"/>
      <c r="F133" s="1041"/>
      <c r="G133" s="378" t="str">
        <f>+'Plan de Accion Proyectos estrat'!K16</f>
        <v>Correos electrónicos de solicitud de publicación del giro por recobros</v>
      </c>
      <c r="H133" s="289" t="str">
        <f>+'Plan de Accion Proyectos estrat'!X16</f>
        <v># Solicitudes de publicación de giros por recobros / # ordenaciones de giros por recobros</v>
      </c>
      <c r="I133" s="303"/>
      <c r="J133" s="372">
        <f>+'Plan de Accion Proyectos estrat'!AG16</f>
        <v>0.25</v>
      </c>
      <c r="K133" s="615">
        <f>+'Plan de Accion Proyectos estrat'!AI16</f>
        <v>1</v>
      </c>
      <c r="L133" s="615">
        <f t="shared" si="38"/>
        <v>1</v>
      </c>
      <c r="M133" s="615">
        <f>+'Plan de Accion Proyectos estrat'!AK16</f>
        <v>0.25</v>
      </c>
      <c r="N133" s="615">
        <f t="shared" si="27"/>
        <v>0.25</v>
      </c>
      <c r="O133" s="617">
        <f t="shared" si="37"/>
        <v>0.25</v>
      </c>
      <c r="P133" s="277"/>
      <c r="Q133" s="372">
        <f>+'Plan de Accion Proyectos estrat'!AQ16</f>
        <v>0</v>
      </c>
      <c r="R133" s="373">
        <f>+'Plan de Accion Proyectos estrat'!AS16</f>
        <v>0</v>
      </c>
      <c r="S133" s="276">
        <f t="shared" si="39"/>
        <v>0</v>
      </c>
      <c r="T133" s="373">
        <f>+'Plan de Accion Proyectos estrat'!AU16</f>
        <v>0.25</v>
      </c>
      <c r="U133" s="373">
        <f t="shared" si="40"/>
        <v>0.25</v>
      </c>
      <c r="V133" s="275">
        <f t="shared" si="41"/>
        <v>0.25</v>
      </c>
      <c r="W133" s="278"/>
      <c r="X133" s="372">
        <f>+'Plan de Accion Proyectos estrat'!BA16</f>
        <v>0</v>
      </c>
      <c r="Y133" s="373">
        <f>+'Plan de Accion Proyectos estrat'!BC16</f>
        <v>0</v>
      </c>
      <c r="Z133" s="276">
        <f t="shared" si="42"/>
        <v>0</v>
      </c>
      <c r="AA133" s="282">
        <f>+'Plan de Accion Proyectos estrat'!BE16</f>
        <v>0.25</v>
      </c>
      <c r="AB133" s="282">
        <f t="shared" si="43"/>
        <v>0.25</v>
      </c>
      <c r="AC133" s="281">
        <f t="shared" si="44"/>
        <v>0.25</v>
      </c>
      <c r="AD133" s="277"/>
      <c r="AE133" s="372">
        <f>+'Plan de Accion Proyectos estrat'!BK16</f>
        <v>0</v>
      </c>
      <c r="AF133" s="373">
        <f>+'Plan de Accion Proyectos estrat'!BM16</f>
        <v>0</v>
      </c>
      <c r="AG133" s="276">
        <f t="shared" si="45"/>
        <v>0</v>
      </c>
      <c r="AH133" s="373">
        <f>+'Plan de Accion Proyectos estrat'!BO16</f>
        <v>0.25</v>
      </c>
      <c r="AI133" s="275">
        <f t="shared" si="46"/>
        <v>0.25</v>
      </c>
      <c r="AJ133" s="996"/>
      <c r="AK133" s="302"/>
      <c r="AL133" s="1019"/>
      <c r="AM133" s="998"/>
      <c r="AN133" s="267"/>
      <c r="AO133" s="1019"/>
      <c r="AP133" s="998"/>
      <c r="AQ133" s="267"/>
      <c r="AR133" s="1019"/>
      <c r="AS133" s="998"/>
      <c r="AT133" s="267"/>
      <c r="AU133" s="1019"/>
      <c r="AV133" s="998"/>
      <c r="AW133" s="265"/>
      <c r="AX133" s="1016"/>
      <c r="AY133" s="301"/>
      <c r="AZ133" s="1019"/>
      <c r="BA133" s="998"/>
      <c r="BB133" s="267"/>
      <c r="BC133" s="1019"/>
      <c r="BD133" s="998"/>
      <c r="BE133" s="267"/>
      <c r="BF133" s="1019"/>
      <c r="BG133" s="998"/>
      <c r="BH133" s="267"/>
      <c r="BI133" s="1019"/>
      <c r="BJ133" s="998"/>
      <c r="BK133" s="265"/>
      <c r="BL133" s="1016"/>
      <c r="BN133" s="1019"/>
      <c r="BO133" s="998"/>
      <c r="BP133" s="267"/>
      <c r="BQ133" s="1019"/>
      <c r="BR133" s="998"/>
      <c r="BS133" s="267"/>
      <c r="BT133" s="1019"/>
      <c r="BU133" s="998"/>
      <c r="BV133" s="267"/>
      <c r="BW133" s="1019"/>
      <c r="BX133" s="998"/>
      <c r="BY133" s="265"/>
      <c r="BZ133" s="1016"/>
      <c r="CB133" s="1019"/>
      <c r="CC133" s="998"/>
      <c r="CD133" s="267"/>
      <c r="CE133" s="1019"/>
      <c r="CF133" s="998"/>
      <c r="CG133" s="267"/>
      <c r="CH133" s="1019"/>
      <c r="CI133" s="998"/>
      <c r="CJ133" s="267"/>
      <c r="CK133" s="1019"/>
      <c r="CL133" s="998"/>
      <c r="CM133" s="265"/>
      <c r="CN133" s="1016"/>
    </row>
    <row r="134" spans="2:94" ht="85.5" x14ac:dyDescent="0.25">
      <c r="B134" s="970"/>
      <c r="C134" s="973"/>
      <c r="D134" s="956"/>
      <c r="E134" s="952"/>
      <c r="F134" s="1041"/>
      <c r="G134" s="378" t="str">
        <f>+'Plan de Accion Proyectos estrat'!K17</f>
        <v>Comunicaciones de ordenación del gasto resultantes del proceso de pagos de los paquetes de reclamaciones cuyo trámite de auditoria haya culminado</v>
      </c>
      <c r="H134" s="289" t="str">
        <f>+'Plan de Accion Proyectos estrat'!X17</f>
        <v># Ordenaciones de paquetes de reclamaciones con resultado de auditoría culminado / # paquetes cuyo tramite de auditoría haya culminado</v>
      </c>
      <c r="I134" s="303"/>
      <c r="J134" s="372">
        <f>+'Plan de Accion Proyectos estrat'!AG17</f>
        <v>0.25</v>
      </c>
      <c r="K134" s="615">
        <f>+'Plan de Accion Proyectos estrat'!AI17</f>
        <v>1</v>
      </c>
      <c r="L134" s="615">
        <f t="shared" si="38"/>
        <v>1</v>
      </c>
      <c r="M134" s="615">
        <f>+'Plan de Accion Proyectos estrat'!AK17</f>
        <v>0.25</v>
      </c>
      <c r="N134" s="615">
        <f t="shared" si="27"/>
        <v>0.25</v>
      </c>
      <c r="O134" s="617">
        <f t="shared" si="37"/>
        <v>0.25</v>
      </c>
      <c r="P134" s="277"/>
      <c r="Q134" s="372">
        <f>+'Plan de Accion Proyectos estrat'!AQ17</f>
        <v>0</v>
      </c>
      <c r="R134" s="373">
        <f>+'Plan de Accion Proyectos estrat'!AS17</f>
        <v>0</v>
      </c>
      <c r="S134" s="276">
        <f t="shared" si="39"/>
        <v>0</v>
      </c>
      <c r="T134" s="373">
        <f>+'Plan de Accion Proyectos estrat'!AU17</f>
        <v>0.25</v>
      </c>
      <c r="U134" s="373">
        <f t="shared" si="40"/>
        <v>0.25</v>
      </c>
      <c r="V134" s="275">
        <f t="shared" si="41"/>
        <v>0.25</v>
      </c>
      <c r="W134" s="278"/>
      <c r="X134" s="372">
        <f>+'Plan de Accion Proyectos estrat'!BA17</f>
        <v>0</v>
      </c>
      <c r="Y134" s="373">
        <f>+'Plan de Accion Proyectos estrat'!BC17</f>
        <v>0</v>
      </c>
      <c r="Z134" s="276">
        <f t="shared" si="42"/>
        <v>0</v>
      </c>
      <c r="AA134" s="282">
        <f>+'Plan de Accion Proyectos estrat'!BE17</f>
        <v>0.25</v>
      </c>
      <c r="AB134" s="282">
        <f t="shared" si="43"/>
        <v>0.25</v>
      </c>
      <c r="AC134" s="281">
        <f t="shared" si="44"/>
        <v>0.25</v>
      </c>
      <c r="AD134" s="277"/>
      <c r="AE134" s="372">
        <f>+'Plan de Accion Proyectos estrat'!BK17</f>
        <v>0</v>
      </c>
      <c r="AF134" s="373">
        <f>+'Plan de Accion Proyectos estrat'!BM17</f>
        <v>0</v>
      </c>
      <c r="AG134" s="276">
        <f t="shared" si="45"/>
        <v>0</v>
      </c>
      <c r="AH134" s="373">
        <f>+'Plan de Accion Proyectos estrat'!BO17</f>
        <v>0.25</v>
      </c>
      <c r="AI134" s="275">
        <f t="shared" si="46"/>
        <v>0.25</v>
      </c>
      <c r="AJ134" s="996"/>
      <c r="AK134" s="302"/>
      <c r="AL134" s="1019"/>
      <c r="AM134" s="998"/>
      <c r="AN134" s="267"/>
      <c r="AO134" s="1019"/>
      <c r="AP134" s="998"/>
      <c r="AQ134" s="267"/>
      <c r="AR134" s="1019"/>
      <c r="AS134" s="998"/>
      <c r="AT134" s="267"/>
      <c r="AU134" s="1019"/>
      <c r="AV134" s="998"/>
      <c r="AW134" s="265"/>
      <c r="AX134" s="1016"/>
      <c r="AY134" s="301"/>
      <c r="AZ134" s="1019"/>
      <c r="BA134" s="998"/>
      <c r="BB134" s="267"/>
      <c r="BC134" s="1019"/>
      <c r="BD134" s="998"/>
      <c r="BE134" s="267"/>
      <c r="BF134" s="1019"/>
      <c r="BG134" s="998"/>
      <c r="BH134" s="267"/>
      <c r="BI134" s="1019"/>
      <c r="BJ134" s="998"/>
      <c r="BK134" s="265"/>
      <c r="BL134" s="1016"/>
      <c r="BN134" s="1019"/>
      <c r="BO134" s="998"/>
      <c r="BP134" s="267"/>
      <c r="BQ134" s="1019"/>
      <c r="BR134" s="998"/>
      <c r="BS134" s="267"/>
      <c r="BT134" s="1019"/>
      <c r="BU134" s="998"/>
      <c r="BV134" s="267"/>
      <c r="BW134" s="1019"/>
      <c r="BX134" s="998"/>
      <c r="BY134" s="265"/>
      <c r="BZ134" s="1016"/>
      <c r="CB134" s="1019"/>
      <c r="CC134" s="998"/>
      <c r="CD134" s="267"/>
      <c r="CE134" s="1019"/>
      <c r="CF134" s="998"/>
      <c r="CG134" s="267"/>
      <c r="CH134" s="1019"/>
      <c r="CI134" s="998"/>
      <c r="CJ134" s="267"/>
      <c r="CK134" s="1019"/>
      <c r="CL134" s="998"/>
      <c r="CM134" s="265"/>
      <c r="CN134" s="1016"/>
    </row>
    <row r="135" spans="2:94" ht="57" x14ac:dyDescent="0.25">
      <c r="B135" s="970"/>
      <c r="C135" s="974"/>
      <c r="D135" s="957"/>
      <c r="E135" s="952"/>
      <c r="F135" s="1041"/>
      <c r="G135" s="378" t="str">
        <f>+'Plan de Accion Proyectos estrat'!K18</f>
        <v>Correos electrónicos de solicitud de publicación del giro por reclamaciones</v>
      </c>
      <c r="H135" s="289" t="str">
        <f>+'Plan de Accion Proyectos estrat'!X18</f>
        <v># Solicitudes de publicación de giros por reclamaciones / # ordenaciones de giros por reclamaciones</v>
      </c>
      <c r="I135" s="303"/>
      <c r="J135" s="372">
        <f>+'Plan de Accion Proyectos estrat'!AG18</f>
        <v>0.25</v>
      </c>
      <c r="K135" s="615">
        <f>+'Plan de Accion Proyectos estrat'!AI18</f>
        <v>1</v>
      </c>
      <c r="L135" s="615">
        <f t="shared" si="38"/>
        <v>1</v>
      </c>
      <c r="M135" s="615">
        <f>+'Plan de Accion Proyectos estrat'!AK18</f>
        <v>0.25</v>
      </c>
      <c r="N135" s="615">
        <f t="shared" si="27"/>
        <v>0.25</v>
      </c>
      <c r="O135" s="617">
        <f t="shared" si="37"/>
        <v>0.25</v>
      </c>
      <c r="P135" s="277"/>
      <c r="Q135" s="372">
        <f>+'Plan de Accion Proyectos estrat'!AQ18</f>
        <v>0</v>
      </c>
      <c r="R135" s="373">
        <f>+'Plan de Accion Proyectos estrat'!AS18</f>
        <v>0</v>
      </c>
      <c r="S135" s="276">
        <f t="shared" si="39"/>
        <v>0</v>
      </c>
      <c r="T135" s="373">
        <f>+'Plan de Accion Proyectos estrat'!AU18</f>
        <v>0.25</v>
      </c>
      <c r="U135" s="373">
        <f t="shared" si="40"/>
        <v>0.25</v>
      </c>
      <c r="V135" s="275">
        <f t="shared" si="41"/>
        <v>0.25</v>
      </c>
      <c r="W135" s="278"/>
      <c r="X135" s="372">
        <f>+'Plan de Accion Proyectos estrat'!BA18</f>
        <v>0</v>
      </c>
      <c r="Y135" s="373">
        <f>+'Plan de Accion Proyectos estrat'!BC18</f>
        <v>0</v>
      </c>
      <c r="Z135" s="276">
        <f t="shared" si="42"/>
        <v>0</v>
      </c>
      <c r="AA135" s="282">
        <f>+'Plan de Accion Proyectos estrat'!BE18</f>
        <v>0.25</v>
      </c>
      <c r="AB135" s="282">
        <f t="shared" si="43"/>
        <v>0.25</v>
      </c>
      <c r="AC135" s="281">
        <f t="shared" si="44"/>
        <v>0.25</v>
      </c>
      <c r="AD135" s="277"/>
      <c r="AE135" s="372">
        <f>+'Plan de Accion Proyectos estrat'!BK18</f>
        <v>0</v>
      </c>
      <c r="AF135" s="373">
        <f>+'Plan de Accion Proyectos estrat'!BM18</f>
        <v>0</v>
      </c>
      <c r="AG135" s="276">
        <f t="shared" si="45"/>
        <v>0</v>
      </c>
      <c r="AH135" s="373">
        <f>+'Plan de Accion Proyectos estrat'!BO18</f>
        <v>0.25</v>
      </c>
      <c r="AI135" s="275">
        <f t="shared" si="46"/>
        <v>0.25</v>
      </c>
      <c r="AJ135" s="996"/>
      <c r="AK135" s="302"/>
      <c r="AL135" s="1019"/>
      <c r="AM135" s="998"/>
      <c r="AN135" s="267"/>
      <c r="AO135" s="1019"/>
      <c r="AP135" s="998"/>
      <c r="AQ135" s="267"/>
      <c r="AR135" s="1019"/>
      <c r="AS135" s="998"/>
      <c r="AT135" s="267"/>
      <c r="AU135" s="1019"/>
      <c r="AV135" s="998"/>
      <c r="AW135" s="265"/>
      <c r="AX135" s="1016"/>
      <c r="AY135" s="301"/>
      <c r="AZ135" s="1019"/>
      <c r="BA135" s="998"/>
      <c r="BB135" s="267"/>
      <c r="BC135" s="1019"/>
      <c r="BD135" s="998"/>
      <c r="BE135" s="267"/>
      <c r="BF135" s="1019"/>
      <c r="BG135" s="998"/>
      <c r="BH135" s="267"/>
      <c r="BI135" s="1019"/>
      <c r="BJ135" s="998"/>
      <c r="BK135" s="265"/>
      <c r="BL135" s="1016"/>
      <c r="BN135" s="1019"/>
      <c r="BO135" s="998"/>
      <c r="BP135" s="267"/>
      <c r="BQ135" s="1019"/>
      <c r="BR135" s="998"/>
      <c r="BS135" s="267"/>
      <c r="BT135" s="1019"/>
      <c r="BU135" s="998"/>
      <c r="BV135" s="267"/>
      <c r="BW135" s="1019"/>
      <c r="BX135" s="998"/>
      <c r="BY135" s="265"/>
      <c r="BZ135" s="1016"/>
      <c r="CB135" s="1019"/>
      <c r="CC135" s="998"/>
      <c r="CD135" s="267"/>
      <c r="CE135" s="1019"/>
      <c r="CF135" s="998"/>
      <c r="CG135" s="267"/>
      <c r="CH135" s="1019"/>
      <c r="CI135" s="998"/>
      <c r="CJ135" s="267"/>
      <c r="CK135" s="1019"/>
      <c r="CL135" s="998"/>
      <c r="CM135" s="265"/>
      <c r="CN135" s="1016"/>
    </row>
    <row r="136" spans="2:94" ht="71.25" customHeight="1" x14ac:dyDescent="0.25">
      <c r="B136" s="970"/>
      <c r="C136" s="955" t="s">
        <v>1285</v>
      </c>
      <c r="D136" s="955" t="s">
        <v>1287</v>
      </c>
      <c r="E136" s="945" t="s">
        <v>1286</v>
      </c>
      <c r="F136" s="951" t="s">
        <v>332</v>
      </c>
      <c r="G136" s="378" t="str">
        <f>+'Plan de Accion Proyectos estrat'!K19</f>
        <v xml:space="preserve">Estadísticas de registros de las auditorias preventivas por entidad con errores </v>
      </c>
      <c r="H136" s="289" t="str">
        <f>+'Plan de Accion Proyectos estrat'!X19</f>
        <v xml:space="preserve"># Registros corregidos en la BDUA / # Registros notificados en auditorias preventivas </v>
      </c>
      <c r="I136" s="303"/>
      <c r="J136" s="693">
        <f>+'Plan de Accion Proyectos estrat'!AG19</f>
        <v>2.5000705854830534E-2</v>
      </c>
      <c r="K136" s="694">
        <f>+'Plan de Accion Proyectos estrat'!AI19</f>
        <v>1.0000282341932214</v>
      </c>
      <c r="L136" s="615">
        <f t="shared" si="38"/>
        <v>1</v>
      </c>
      <c r="M136" s="615">
        <f>+'Plan de Accion Proyectos estrat'!AK19</f>
        <v>0.25000705854830535</v>
      </c>
      <c r="N136" s="615">
        <f t="shared" si="27"/>
        <v>0.25000705854830535</v>
      </c>
      <c r="O136" s="617">
        <f t="shared" si="37"/>
        <v>0.25000705854830535</v>
      </c>
      <c r="P136" s="277"/>
      <c r="Q136" s="372">
        <f>+'Plan de Accion Proyectos estrat'!AQ19</f>
        <v>0</v>
      </c>
      <c r="R136" s="373">
        <f>+'Plan de Accion Proyectos estrat'!AS19</f>
        <v>0</v>
      </c>
      <c r="S136" s="276">
        <f t="shared" si="39"/>
        <v>0</v>
      </c>
      <c r="T136" s="373">
        <f>+'Plan de Accion Proyectos estrat'!AU19</f>
        <v>0.25000705854830535</v>
      </c>
      <c r="U136" s="373">
        <f t="shared" si="40"/>
        <v>0.25000705854830535</v>
      </c>
      <c r="V136" s="275">
        <f t="shared" si="41"/>
        <v>0.25000705854830535</v>
      </c>
      <c r="W136" s="278"/>
      <c r="X136" s="372">
        <f>+'Plan de Accion Proyectos estrat'!BA19</f>
        <v>0</v>
      </c>
      <c r="Y136" s="373">
        <f>+'Plan de Accion Proyectos estrat'!BC19</f>
        <v>0</v>
      </c>
      <c r="Z136" s="276">
        <f t="shared" si="42"/>
        <v>0</v>
      </c>
      <c r="AA136" s="282">
        <f>+'Plan de Accion Proyectos estrat'!BE19</f>
        <v>0.25000705854830535</v>
      </c>
      <c r="AB136" s="282">
        <f t="shared" si="43"/>
        <v>0.25000705854830535</v>
      </c>
      <c r="AC136" s="281">
        <f t="shared" si="44"/>
        <v>0.25000705854830535</v>
      </c>
      <c r="AD136" s="277"/>
      <c r="AE136" s="372">
        <f>+'Plan de Accion Proyectos estrat'!BK19</f>
        <v>0</v>
      </c>
      <c r="AF136" s="373">
        <f>+'Plan de Accion Proyectos estrat'!BM19</f>
        <v>0</v>
      </c>
      <c r="AG136" s="276">
        <f t="shared" si="45"/>
        <v>0</v>
      </c>
      <c r="AH136" s="373">
        <f>+'Plan de Accion Proyectos estrat'!BO19</f>
        <v>0.25000705854830535</v>
      </c>
      <c r="AI136" s="275">
        <f t="shared" si="46"/>
        <v>0.25000705854830535</v>
      </c>
      <c r="AJ136" s="996"/>
      <c r="AK136" s="302"/>
      <c r="AL136" s="1019"/>
      <c r="AM136" s="998"/>
      <c r="AN136" s="267"/>
      <c r="AO136" s="1019"/>
      <c r="AP136" s="998"/>
      <c r="AQ136" s="267"/>
      <c r="AR136" s="1019"/>
      <c r="AS136" s="998"/>
      <c r="AT136" s="267"/>
      <c r="AU136" s="1019"/>
      <c r="AV136" s="998"/>
      <c r="AW136" s="265"/>
      <c r="AX136" s="1016"/>
      <c r="AY136" s="301"/>
      <c r="AZ136" s="1019"/>
      <c r="BA136" s="998"/>
      <c r="BB136" s="267"/>
      <c r="BC136" s="1019"/>
      <c r="BD136" s="998"/>
      <c r="BE136" s="267"/>
      <c r="BF136" s="1019"/>
      <c r="BG136" s="998"/>
      <c r="BH136" s="267"/>
      <c r="BI136" s="1019"/>
      <c r="BJ136" s="998"/>
      <c r="BK136" s="265"/>
      <c r="BL136" s="1016"/>
      <c r="BN136" s="1019"/>
      <c r="BO136" s="998"/>
      <c r="BP136" s="267"/>
      <c r="BQ136" s="1019"/>
      <c r="BR136" s="998"/>
      <c r="BS136" s="267"/>
      <c r="BT136" s="1019"/>
      <c r="BU136" s="998"/>
      <c r="BV136" s="267"/>
      <c r="BW136" s="1019"/>
      <c r="BX136" s="998"/>
      <c r="BY136" s="265"/>
      <c r="BZ136" s="1016"/>
      <c r="CB136" s="1019"/>
      <c r="CC136" s="998"/>
      <c r="CD136" s="267"/>
      <c r="CE136" s="1019"/>
      <c r="CF136" s="998"/>
      <c r="CG136" s="267"/>
      <c r="CH136" s="1019"/>
      <c r="CI136" s="998"/>
      <c r="CJ136" s="267"/>
      <c r="CK136" s="1019"/>
      <c r="CL136" s="998"/>
      <c r="CM136" s="265"/>
      <c r="CN136" s="1016"/>
    </row>
    <row r="137" spans="2:94" ht="42.75" customHeight="1" x14ac:dyDescent="0.25">
      <c r="B137" s="970"/>
      <c r="C137" s="956"/>
      <c r="D137" s="956"/>
      <c r="E137" s="946"/>
      <c r="F137" s="951"/>
      <c r="G137" s="378" t="str">
        <f>+'Plan de Accion Proyectos estrat'!K20</f>
        <v>Informes de auditorias correctivas según resolución 2199 de 2013 y 4894 de 2015</v>
      </c>
      <c r="H137" s="1042" t="str">
        <f>+'Plan de Accion Proyectos estrat'!X20</f>
        <v># de registro depurados por ADRES + # Registros correctos / # Número total de registros notificados en auditorias correctivas</v>
      </c>
      <c r="I137" s="303"/>
      <c r="J137" s="993">
        <f>+'Plan de Accion Proyectos estrat'!AG20</f>
        <v>0.25</v>
      </c>
      <c r="K137" s="930">
        <f>+'Plan de Accion Proyectos estrat'!AI20</f>
        <v>1</v>
      </c>
      <c r="L137" s="930">
        <f t="shared" si="38"/>
        <v>1</v>
      </c>
      <c r="M137" s="930">
        <f>+'Plan de Accion Proyectos estrat'!AK20</f>
        <v>0.25</v>
      </c>
      <c r="N137" s="930">
        <f>IF(M137&gt;100%,100%,M137)</f>
        <v>0.25</v>
      </c>
      <c r="O137" s="933">
        <f t="shared" si="37"/>
        <v>0.25</v>
      </c>
      <c r="P137" s="277"/>
      <c r="Q137" s="993">
        <f>+'Plan de Accion Proyectos estrat'!AQ20</f>
        <v>0</v>
      </c>
      <c r="R137" s="981">
        <f>+'Plan de Accion Proyectos estrat'!AS20</f>
        <v>0</v>
      </c>
      <c r="S137" s="981">
        <f t="shared" si="39"/>
        <v>0</v>
      </c>
      <c r="T137" s="981">
        <f>+'Plan de Accion Proyectos estrat'!AU20</f>
        <v>2.5</v>
      </c>
      <c r="U137" s="981">
        <f t="shared" si="40"/>
        <v>1</v>
      </c>
      <c r="V137" s="987">
        <f t="shared" si="41"/>
        <v>1</v>
      </c>
      <c r="W137" s="278"/>
      <c r="X137" s="993">
        <f>+'Plan de Accion Proyectos estrat'!BA20</f>
        <v>0</v>
      </c>
      <c r="Y137" s="981">
        <f>+'Plan de Accion Proyectos estrat'!BC20</f>
        <v>0</v>
      </c>
      <c r="Z137" s="981">
        <f t="shared" si="42"/>
        <v>0</v>
      </c>
      <c r="AA137" s="984">
        <f>+'Plan de Accion Proyectos estrat'!BE20</f>
        <v>2.5</v>
      </c>
      <c r="AB137" s="984">
        <f t="shared" si="43"/>
        <v>1</v>
      </c>
      <c r="AC137" s="979">
        <f t="shared" si="44"/>
        <v>1</v>
      </c>
      <c r="AD137" s="277"/>
      <c r="AE137" s="993">
        <f>+'Plan de Accion Proyectos estrat'!BK20</f>
        <v>0</v>
      </c>
      <c r="AF137" s="981">
        <f>+'Plan de Accion Proyectos estrat'!BM20</f>
        <v>0</v>
      </c>
      <c r="AG137" s="981">
        <f t="shared" si="45"/>
        <v>0</v>
      </c>
      <c r="AH137" s="981">
        <f>+'Plan de Accion Proyectos estrat'!BO20</f>
        <v>2.5</v>
      </c>
      <c r="AI137" s="987">
        <f t="shared" si="46"/>
        <v>1</v>
      </c>
      <c r="AJ137" s="996"/>
      <c r="AK137" s="302"/>
      <c r="AL137" s="1019"/>
      <c r="AM137" s="998"/>
      <c r="AN137" s="267"/>
      <c r="AO137" s="1019"/>
      <c r="AP137" s="998"/>
      <c r="AQ137" s="267"/>
      <c r="AR137" s="1019"/>
      <c r="AS137" s="998"/>
      <c r="AT137" s="267"/>
      <c r="AU137" s="1019"/>
      <c r="AV137" s="998"/>
      <c r="AW137" s="265"/>
      <c r="AX137" s="1016"/>
      <c r="AY137" s="301"/>
      <c r="AZ137" s="1019"/>
      <c r="BA137" s="998"/>
      <c r="BB137" s="267"/>
      <c r="BC137" s="1019"/>
      <c r="BD137" s="998"/>
      <c r="BE137" s="267"/>
      <c r="BF137" s="1019"/>
      <c r="BG137" s="998"/>
      <c r="BH137" s="267"/>
      <c r="BI137" s="1019"/>
      <c r="BJ137" s="998"/>
      <c r="BK137" s="265"/>
      <c r="BL137" s="1016"/>
      <c r="BN137" s="1019"/>
      <c r="BO137" s="998"/>
      <c r="BP137" s="267"/>
      <c r="BQ137" s="1019"/>
      <c r="BR137" s="998"/>
      <c r="BS137" s="267"/>
      <c r="BT137" s="1019"/>
      <c r="BU137" s="998"/>
      <c r="BV137" s="267"/>
      <c r="BW137" s="1019"/>
      <c r="BX137" s="998"/>
      <c r="BY137" s="265"/>
      <c r="BZ137" s="1016"/>
      <c r="CB137" s="1019"/>
      <c r="CC137" s="998"/>
      <c r="CD137" s="267"/>
      <c r="CE137" s="1019"/>
      <c r="CF137" s="998"/>
      <c r="CG137" s="267"/>
      <c r="CH137" s="1019"/>
      <c r="CI137" s="998"/>
      <c r="CJ137" s="267"/>
      <c r="CK137" s="1019"/>
      <c r="CL137" s="998"/>
      <c r="CM137" s="265"/>
      <c r="CN137" s="1016"/>
    </row>
    <row r="138" spans="2:94" ht="87.75" customHeight="1" x14ac:dyDescent="0.25">
      <c r="B138" s="970"/>
      <c r="C138" s="956"/>
      <c r="D138" s="956"/>
      <c r="E138" s="946"/>
      <c r="F138" s="951"/>
      <c r="G138" s="378" t="str">
        <f>+'Plan de Accion Proyectos estrat'!K21</f>
        <v>Depuración de registros de BDUA de acuerdo con solicitudes del MSPS, según resolución 2199 de 2013 y 4894 de 2015</v>
      </c>
      <c r="H138" s="1043"/>
      <c r="I138" s="303"/>
      <c r="J138" s="995"/>
      <c r="K138" s="932"/>
      <c r="L138" s="932"/>
      <c r="M138" s="932"/>
      <c r="N138" s="932"/>
      <c r="O138" s="935"/>
      <c r="P138" s="277"/>
      <c r="Q138" s="995"/>
      <c r="R138" s="983"/>
      <c r="S138" s="983"/>
      <c r="T138" s="983"/>
      <c r="U138" s="983"/>
      <c r="V138" s="989"/>
      <c r="W138" s="278"/>
      <c r="X138" s="995"/>
      <c r="Y138" s="983"/>
      <c r="Z138" s="983"/>
      <c r="AA138" s="986"/>
      <c r="AB138" s="986"/>
      <c r="AC138" s="980"/>
      <c r="AD138" s="277"/>
      <c r="AE138" s="995"/>
      <c r="AF138" s="983"/>
      <c r="AG138" s="983"/>
      <c r="AH138" s="983"/>
      <c r="AI138" s="989"/>
      <c r="AJ138" s="996"/>
      <c r="AK138" s="302"/>
      <c r="AL138" s="1019"/>
      <c r="AM138" s="998"/>
      <c r="AN138" s="267"/>
      <c r="AO138" s="1019"/>
      <c r="AP138" s="998"/>
      <c r="AQ138" s="267"/>
      <c r="AR138" s="1019"/>
      <c r="AS138" s="998"/>
      <c r="AT138" s="267"/>
      <c r="AU138" s="1019"/>
      <c r="AV138" s="998"/>
      <c r="AW138" s="265"/>
      <c r="AX138" s="1016"/>
      <c r="AY138" s="301"/>
      <c r="AZ138" s="1019"/>
      <c r="BA138" s="998"/>
      <c r="BB138" s="267"/>
      <c r="BC138" s="1019"/>
      <c r="BD138" s="998"/>
      <c r="BE138" s="267"/>
      <c r="BF138" s="1019"/>
      <c r="BG138" s="998"/>
      <c r="BH138" s="267"/>
      <c r="BI138" s="1019"/>
      <c r="BJ138" s="998"/>
      <c r="BK138" s="265"/>
      <c r="BL138" s="1016"/>
      <c r="BN138" s="1019"/>
      <c r="BO138" s="998"/>
      <c r="BP138" s="267"/>
      <c r="BQ138" s="1019"/>
      <c r="BR138" s="998"/>
      <c r="BS138" s="267"/>
      <c r="BT138" s="1019"/>
      <c r="BU138" s="998"/>
      <c r="BV138" s="267"/>
      <c r="BW138" s="1019"/>
      <c r="BX138" s="998"/>
      <c r="BY138" s="265"/>
      <c r="BZ138" s="1016"/>
      <c r="CB138" s="1019"/>
      <c r="CC138" s="998"/>
      <c r="CD138" s="267"/>
      <c r="CE138" s="1019"/>
      <c r="CF138" s="998"/>
      <c r="CG138" s="267"/>
      <c r="CH138" s="1019"/>
      <c r="CI138" s="998"/>
      <c r="CJ138" s="267"/>
      <c r="CK138" s="1019"/>
      <c r="CL138" s="998"/>
      <c r="CM138" s="265"/>
      <c r="CN138" s="1016"/>
    </row>
    <row r="139" spans="2:94" ht="114" customHeight="1" x14ac:dyDescent="0.25">
      <c r="B139" s="970"/>
      <c r="C139" s="956"/>
      <c r="D139" s="956"/>
      <c r="E139" s="946"/>
      <c r="F139" s="951"/>
      <c r="G139" s="378" t="str">
        <f>+'Plan de Accion Proyectos estrat'!K22</f>
        <v>Apoyo técnico para respuestas a PQRSD relacionadas con BDUA</v>
      </c>
      <c r="H139" s="289" t="str">
        <f>+'Plan de Accion Proyectos estrat'!X22</f>
        <v># PQRSD BDUA atendidas en términos de ley en el trimestre  / #PQRSD BDUA recibidas con fecha máxima de respuesta en el trimestre</v>
      </c>
      <c r="I139" s="303"/>
      <c r="J139" s="372">
        <f>+'Plan de Accion Proyectos estrat'!AG22</f>
        <v>0.24805295950155765</v>
      </c>
      <c r="K139" s="615">
        <f>+'Plan de Accion Proyectos estrat'!AI22</f>
        <v>0.99221183800623058</v>
      </c>
      <c r="L139" s="615">
        <f t="shared" si="38"/>
        <v>0.99221183800623058</v>
      </c>
      <c r="M139" s="615">
        <f>+'Plan de Accion Proyectos estrat'!AK22</f>
        <v>0.24805295950155765</v>
      </c>
      <c r="N139" s="615">
        <f t="shared" ref="N139:N222" si="47">IF(M139&gt;100%,100%,M139)</f>
        <v>0.24805295950155765</v>
      </c>
      <c r="O139" s="617">
        <f t="shared" ref="O139:O148" si="48">+N139</f>
        <v>0.24805295950155765</v>
      </c>
      <c r="P139" s="277"/>
      <c r="Q139" s="372">
        <f>+'Plan de Accion Proyectos estrat'!AQ22</f>
        <v>0</v>
      </c>
      <c r="R139" s="373">
        <f>+'Plan de Accion Proyectos estrat'!AS22</f>
        <v>0</v>
      </c>
      <c r="S139" s="276">
        <f t="shared" si="39"/>
        <v>0</v>
      </c>
      <c r="T139" s="373">
        <f>+'Plan de Accion Proyectos estrat'!AU22</f>
        <v>2.4805295950155761</v>
      </c>
      <c r="U139" s="373">
        <f t="shared" si="40"/>
        <v>1</v>
      </c>
      <c r="V139" s="275">
        <f t="shared" si="41"/>
        <v>1</v>
      </c>
      <c r="W139" s="278"/>
      <c r="X139" s="372">
        <f>+'Plan de Accion Proyectos estrat'!BA22</f>
        <v>0</v>
      </c>
      <c r="Y139" s="373">
        <f>+'Plan de Accion Proyectos estrat'!BC22</f>
        <v>0</v>
      </c>
      <c r="Z139" s="276">
        <f t="shared" si="42"/>
        <v>0</v>
      </c>
      <c r="AA139" s="282">
        <f>+'Plan de Accion Proyectos estrat'!BE22</f>
        <v>2.4805295950155761</v>
      </c>
      <c r="AB139" s="282">
        <f t="shared" si="43"/>
        <v>1</v>
      </c>
      <c r="AC139" s="281">
        <f t="shared" si="44"/>
        <v>1</v>
      </c>
      <c r="AD139" s="277"/>
      <c r="AE139" s="372">
        <f>+'Plan de Accion Proyectos estrat'!BK22</f>
        <v>0</v>
      </c>
      <c r="AF139" s="373">
        <f>+'Plan de Accion Proyectos estrat'!BM22</f>
        <v>0</v>
      </c>
      <c r="AG139" s="276">
        <f t="shared" si="45"/>
        <v>0</v>
      </c>
      <c r="AH139" s="373">
        <f>+'Plan de Accion Proyectos estrat'!BO22</f>
        <v>2.4805295950155761</v>
      </c>
      <c r="AI139" s="275">
        <f t="shared" si="46"/>
        <v>1</v>
      </c>
      <c r="AJ139" s="996"/>
      <c r="AK139" s="302"/>
      <c r="AL139" s="1019"/>
      <c r="AM139" s="998"/>
      <c r="AN139" s="267"/>
      <c r="AO139" s="1019"/>
      <c r="AP139" s="998"/>
      <c r="AQ139" s="267"/>
      <c r="AR139" s="1019"/>
      <c r="AS139" s="998"/>
      <c r="AT139" s="267"/>
      <c r="AU139" s="1019"/>
      <c r="AV139" s="998"/>
      <c r="AW139" s="265"/>
      <c r="AX139" s="1016"/>
      <c r="AY139" s="301"/>
      <c r="AZ139" s="1019"/>
      <c r="BA139" s="998"/>
      <c r="BB139" s="267"/>
      <c r="BC139" s="1019"/>
      <c r="BD139" s="998"/>
      <c r="BE139" s="267"/>
      <c r="BF139" s="1019"/>
      <c r="BG139" s="998"/>
      <c r="BH139" s="267"/>
      <c r="BI139" s="1019"/>
      <c r="BJ139" s="998"/>
      <c r="BK139" s="265"/>
      <c r="BL139" s="1016"/>
      <c r="BN139" s="1019"/>
      <c r="BO139" s="998"/>
      <c r="BP139" s="267"/>
      <c r="BQ139" s="1019"/>
      <c r="BR139" s="998"/>
      <c r="BS139" s="267"/>
      <c r="BT139" s="1019"/>
      <c r="BU139" s="998"/>
      <c r="BV139" s="267"/>
      <c r="BW139" s="1019"/>
      <c r="BX139" s="998"/>
      <c r="BY139" s="265"/>
      <c r="BZ139" s="1016"/>
      <c r="CB139" s="1019"/>
      <c r="CC139" s="998"/>
      <c r="CD139" s="267"/>
      <c r="CE139" s="1019"/>
      <c r="CF139" s="998"/>
      <c r="CG139" s="267"/>
      <c r="CH139" s="1019"/>
      <c r="CI139" s="998"/>
      <c r="CJ139" s="267"/>
      <c r="CK139" s="1019"/>
      <c r="CL139" s="998"/>
      <c r="CM139" s="265"/>
      <c r="CN139" s="1016"/>
      <c r="CP139" s="284"/>
    </row>
    <row r="140" spans="2:94" ht="71.25" customHeight="1" x14ac:dyDescent="0.25">
      <c r="B140" s="970"/>
      <c r="C140" s="972" t="s">
        <v>346</v>
      </c>
      <c r="D140" s="955" t="s">
        <v>342</v>
      </c>
      <c r="E140" s="953" t="s">
        <v>12</v>
      </c>
      <c r="F140" s="951" t="s">
        <v>332</v>
      </c>
      <c r="G140" s="378" t="str">
        <f>+'Plan de Accion Proyectos estrat'!K24</f>
        <v>Proceso de saneamiento de aportes ejecutado</v>
      </c>
      <c r="H140" s="289" t="str">
        <f>+'Plan de Accion Proyectos estrat'!X24</f>
        <v># Procesos de saneamiento de aportes ejecutados / # procesos de saneamiento de aportes programados en el cronograma</v>
      </c>
      <c r="I140" s="303"/>
      <c r="J140" s="372">
        <f>+'Plan de Accion Proyectos estrat'!AG24</f>
        <v>0.25</v>
      </c>
      <c r="K140" s="615">
        <f>+'Plan de Accion Proyectos estrat'!AI24</f>
        <v>1</v>
      </c>
      <c r="L140" s="615">
        <f t="shared" ref="L140:L148" si="49">IF(K140&gt;100%,100%,K140)</f>
        <v>1</v>
      </c>
      <c r="M140" s="615">
        <f>+'Plan de Accion Proyectos estrat'!AK24</f>
        <v>0.25</v>
      </c>
      <c r="N140" s="615">
        <f t="shared" si="47"/>
        <v>0.25</v>
      </c>
      <c r="O140" s="617">
        <f t="shared" si="48"/>
        <v>0.25</v>
      </c>
      <c r="P140" s="277"/>
      <c r="Q140" s="372">
        <f>+'Plan de Accion Proyectos estrat'!AQ24</f>
        <v>0</v>
      </c>
      <c r="R140" s="373">
        <f>+'Plan de Accion Proyectos estrat'!AS24</f>
        <v>0</v>
      </c>
      <c r="S140" s="276">
        <f t="shared" ref="S140:S148" si="50">IF(R140&gt;100%,100%,R140)</f>
        <v>0</v>
      </c>
      <c r="T140" s="373">
        <f>+'Plan de Accion Proyectos estrat'!AU24</f>
        <v>0.25</v>
      </c>
      <c r="U140" s="373">
        <f t="shared" ref="U140:U146" si="51">IF(T140&gt;100%,100%,T140)</f>
        <v>0.25</v>
      </c>
      <c r="V140" s="275">
        <f t="shared" si="41"/>
        <v>0.25</v>
      </c>
      <c r="W140" s="278"/>
      <c r="X140" s="372">
        <f>+'Plan de Accion Proyectos estrat'!BA24</f>
        <v>0</v>
      </c>
      <c r="Y140" s="373">
        <f>+'Plan de Accion Proyectos estrat'!BC24</f>
        <v>0</v>
      </c>
      <c r="Z140" s="276">
        <f t="shared" si="42"/>
        <v>0</v>
      </c>
      <c r="AA140" s="282">
        <f>+'Plan de Accion Proyectos estrat'!BE24</f>
        <v>0.25</v>
      </c>
      <c r="AB140" s="282">
        <f t="shared" si="43"/>
        <v>0.25</v>
      </c>
      <c r="AC140" s="281">
        <f t="shared" si="44"/>
        <v>0.25</v>
      </c>
      <c r="AD140" s="277"/>
      <c r="AE140" s="372">
        <f>+'Plan de Accion Proyectos estrat'!BK24</f>
        <v>0</v>
      </c>
      <c r="AF140" s="373">
        <f>+'Plan de Accion Proyectos estrat'!BM24</f>
        <v>0</v>
      </c>
      <c r="AG140" s="276">
        <f t="shared" si="45"/>
        <v>0</v>
      </c>
      <c r="AH140" s="373">
        <f>+'Plan de Accion Proyectos estrat'!BO24</f>
        <v>0.25</v>
      </c>
      <c r="AI140" s="275">
        <f t="shared" si="46"/>
        <v>0.25</v>
      </c>
      <c r="AJ140" s="996"/>
      <c r="AK140" s="302"/>
      <c r="AL140" s="1019"/>
      <c r="AM140" s="998"/>
      <c r="AN140" s="267"/>
      <c r="AO140" s="1019"/>
      <c r="AP140" s="998"/>
      <c r="AQ140" s="267"/>
      <c r="AR140" s="1019"/>
      <c r="AS140" s="998"/>
      <c r="AT140" s="267"/>
      <c r="AU140" s="1019"/>
      <c r="AV140" s="998"/>
      <c r="AW140" s="265"/>
      <c r="AX140" s="1016"/>
      <c r="AY140" s="301"/>
      <c r="AZ140" s="1019"/>
      <c r="BA140" s="998"/>
      <c r="BB140" s="267"/>
      <c r="BC140" s="1019"/>
      <c r="BD140" s="998"/>
      <c r="BE140" s="267"/>
      <c r="BF140" s="1019"/>
      <c r="BG140" s="998"/>
      <c r="BH140" s="267"/>
      <c r="BI140" s="1019"/>
      <c r="BJ140" s="998"/>
      <c r="BK140" s="265"/>
      <c r="BL140" s="1016"/>
      <c r="BN140" s="1019"/>
      <c r="BO140" s="998"/>
      <c r="BP140" s="267"/>
      <c r="BQ140" s="1019"/>
      <c r="BR140" s="998"/>
      <c r="BS140" s="267"/>
      <c r="BT140" s="1019"/>
      <c r="BU140" s="998"/>
      <c r="BV140" s="267"/>
      <c r="BW140" s="1019"/>
      <c r="BX140" s="998"/>
      <c r="BY140" s="265"/>
      <c r="BZ140" s="1016"/>
      <c r="CB140" s="1019"/>
      <c r="CC140" s="998"/>
      <c r="CD140" s="267"/>
      <c r="CE140" s="1019"/>
      <c r="CF140" s="998"/>
      <c r="CG140" s="267"/>
      <c r="CH140" s="1019"/>
      <c r="CI140" s="998"/>
      <c r="CJ140" s="267"/>
      <c r="CK140" s="1019"/>
      <c r="CL140" s="998"/>
      <c r="CM140" s="265"/>
      <c r="CN140" s="1016"/>
    </row>
    <row r="141" spans="2:94" ht="71.25" customHeight="1" x14ac:dyDescent="0.25">
      <c r="B141" s="970"/>
      <c r="C141" s="973"/>
      <c r="D141" s="956"/>
      <c r="E141" s="953"/>
      <c r="F141" s="951"/>
      <c r="G141" s="378" t="str">
        <f>+'Plan de Accion Proyectos estrat'!K27</f>
        <v>Proceso de Compensación ejecutado</v>
      </c>
      <c r="H141" s="289" t="str">
        <f>+'Plan de Accion Proyectos estrat'!X27</f>
        <v># Procesos de compensación ejecutados / # procesos de compensación programados en el cronograma</v>
      </c>
      <c r="I141" s="303"/>
      <c r="J141" s="372">
        <f>+'Plan de Accion Proyectos estrat'!AG27</f>
        <v>0.25</v>
      </c>
      <c r="K141" s="615">
        <f>+'Plan de Accion Proyectos estrat'!AI27</f>
        <v>1</v>
      </c>
      <c r="L141" s="615">
        <f t="shared" si="49"/>
        <v>1</v>
      </c>
      <c r="M141" s="615">
        <f>+'Plan de Accion Proyectos estrat'!AK27</f>
        <v>0.25</v>
      </c>
      <c r="N141" s="615">
        <f t="shared" si="47"/>
        <v>0.25</v>
      </c>
      <c r="O141" s="617">
        <f t="shared" si="48"/>
        <v>0.25</v>
      </c>
      <c r="P141" s="277"/>
      <c r="Q141" s="372">
        <f>+'Plan de Accion Proyectos estrat'!AQ27</f>
        <v>0</v>
      </c>
      <c r="R141" s="373">
        <f>+'Plan de Accion Proyectos estrat'!AS27</f>
        <v>0</v>
      </c>
      <c r="S141" s="276">
        <f t="shared" si="50"/>
        <v>0</v>
      </c>
      <c r="T141" s="373">
        <f>+'Plan de Accion Proyectos estrat'!AU27</f>
        <v>0.25</v>
      </c>
      <c r="U141" s="373">
        <f t="shared" si="51"/>
        <v>0.25</v>
      </c>
      <c r="V141" s="275">
        <f t="shared" si="41"/>
        <v>0.25</v>
      </c>
      <c r="W141" s="278"/>
      <c r="X141" s="372">
        <f>+'Plan de Accion Proyectos estrat'!BA27</f>
        <v>0</v>
      </c>
      <c r="Y141" s="373">
        <f>+'Plan de Accion Proyectos estrat'!BC27</f>
        <v>0</v>
      </c>
      <c r="Z141" s="276">
        <f t="shared" si="42"/>
        <v>0</v>
      </c>
      <c r="AA141" s="282">
        <f>+'Plan de Accion Proyectos estrat'!BE27</f>
        <v>0.25</v>
      </c>
      <c r="AB141" s="282">
        <f t="shared" si="43"/>
        <v>0.25</v>
      </c>
      <c r="AC141" s="281">
        <f t="shared" si="44"/>
        <v>0.25</v>
      </c>
      <c r="AD141" s="277"/>
      <c r="AE141" s="372">
        <f>+'Plan de Accion Proyectos estrat'!BK27</f>
        <v>0</v>
      </c>
      <c r="AF141" s="373">
        <f>+'Plan de Accion Proyectos estrat'!BM27</f>
        <v>0</v>
      </c>
      <c r="AG141" s="276">
        <f t="shared" si="45"/>
        <v>0</v>
      </c>
      <c r="AH141" s="373">
        <f>+'Plan de Accion Proyectos estrat'!BO27</f>
        <v>0.25</v>
      </c>
      <c r="AI141" s="275">
        <f t="shared" si="46"/>
        <v>0.25</v>
      </c>
      <c r="AJ141" s="996"/>
      <c r="AK141" s="302"/>
      <c r="AL141" s="1019"/>
      <c r="AM141" s="998"/>
      <c r="AN141" s="267"/>
      <c r="AO141" s="1019"/>
      <c r="AP141" s="998"/>
      <c r="AQ141" s="267"/>
      <c r="AR141" s="1019"/>
      <c r="AS141" s="998"/>
      <c r="AT141" s="267"/>
      <c r="AU141" s="1019"/>
      <c r="AV141" s="998"/>
      <c r="AW141" s="265"/>
      <c r="AX141" s="1016"/>
      <c r="AY141" s="301"/>
      <c r="AZ141" s="1019"/>
      <c r="BA141" s="998"/>
      <c r="BB141" s="267"/>
      <c r="BC141" s="1019"/>
      <c r="BD141" s="998"/>
      <c r="BE141" s="267"/>
      <c r="BF141" s="1019"/>
      <c r="BG141" s="998"/>
      <c r="BH141" s="267"/>
      <c r="BI141" s="1019"/>
      <c r="BJ141" s="998"/>
      <c r="BK141" s="265"/>
      <c r="BL141" s="1016"/>
      <c r="BN141" s="1019"/>
      <c r="BO141" s="998"/>
      <c r="BP141" s="267"/>
      <c r="BQ141" s="1019"/>
      <c r="BR141" s="998"/>
      <c r="BS141" s="267"/>
      <c r="BT141" s="1019"/>
      <c r="BU141" s="998"/>
      <c r="BV141" s="267"/>
      <c r="BW141" s="1019"/>
      <c r="BX141" s="998"/>
      <c r="BY141" s="265"/>
      <c r="BZ141" s="1016"/>
      <c r="CB141" s="1019"/>
      <c r="CC141" s="998"/>
      <c r="CD141" s="267"/>
      <c r="CE141" s="1019"/>
      <c r="CF141" s="998"/>
      <c r="CG141" s="267"/>
      <c r="CH141" s="1019"/>
      <c r="CI141" s="998"/>
      <c r="CJ141" s="267"/>
      <c r="CK141" s="1019"/>
      <c r="CL141" s="998"/>
      <c r="CM141" s="265"/>
      <c r="CN141" s="1016"/>
    </row>
    <row r="142" spans="2:94" ht="42.75" customHeight="1" x14ac:dyDescent="0.25">
      <c r="B142" s="970"/>
      <c r="C142" s="973"/>
      <c r="D142" s="956"/>
      <c r="E142" s="953"/>
      <c r="F142" s="951"/>
      <c r="G142" s="378" t="str">
        <f>+'Plan de Accion Proyectos estrat'!K28</f>
        <v>Prestaciones económicas REX</v>
      </c>
      <c r="H142" s="289" t="str">
        <f>+'Plan de Accion Proyectos estrat'!X28</f>
        <v># Solicitudes de prestaciones económicas tramitadas / # solicitudes de prestaciones económicas radicadas</v>
      </c>
      <c r="I142" s="303"/>
      <c r="J142" s="372">
        <f>+'Plan de Accion Proyectos estrat'!AG28</f>
        <v>0.24896265560165975</v>
      </c>
      <c r="K142" s="615">
        <f>+'Plan de Accion Proyectos estrat'!AI28</f>
        <v>0.99585062240663902</v>
      </c>
      <c r="L142" s="615">
        <f t="shared" si="49"/>
        <v>0.99585062240663902</v>
      </c>
      <c r="M142" s="615">
        <f>+'Plan de Accion Proyectos estrat'!AK28</f>
        <v>0.24896265560165975</v>
      </c>
      <c r="N142" s="615">
        <f t="shared" si="47"/>
        <v>0.24896265560165975</v>
      </c>
      <c r="O142" s="617">
        <f t="shared" si="48"/>
        <v>0.24896265560165975</v>
      </c>
      <c r="P142" s="277"/>
      <c r="Q142" s="372">
        <f>+'Plan de Accion Proyectos estrat'!AQ28</f>
        <v>0</v>
      </c>
      <c r="R142" s="373">
        <f>+'Plan de Accion Proyectos estrat'!AS28</f>
        <v>0</v>
      </c>
      <c r="S142" s="276">
        <f t="shared" si="50"/>
        <v>0</v>
      </c>
      <c r="T142" s="373">
        <f>+'Plan de Accion Proyectos estrat'!AU28</f>
        <v>0.24896265560165975</v>
      </c>
      <c r="U142" s="373">
        <f t="shared" si="51"/>
        <v>0.24896265560165975</v>
      </c>
      <c r="V142" s="275">
        <f t="shared" si="41"/>
        <v>0.24896265560165975</v>
      </c>
      <c r="W142" s="278"/>
      <c r="X142" s="372">
        <f>+'Plan de Accion Proyectos estrat'!BA28</f>
        <v>0</v>
      </c>
      <c r="Y142" s="373">
        <f>+'Plan de Accion Proyectos estrat'!BC28</f>
        <v>0</v>
      </c>
      <c r="Z142" s="276">
        <f t="shared" si="42"/>
        <v>0</v>
      </c>
      <c r="AA142" s="282">
        <f>+'Plan de Accion Proyectos estrat'!BE28</f>
        <v>0.24896265560165975</v>
      </c>
      <c r="AB142" s="282">
        <f t="shared" si="43"/>
        <v>0.24896265560165975</v>
      </c>
      <c r="AC142" s="281">
        <f t="shared" si="44"/>
        <v>0.24896265560165975</v>
      </c>
      <c r="AD142" s="277"/>
      <c r="AE142" s="372">
        <f>+'Plan de Accion Proyectos estrat'!BK28</f>
        <v>0</v>
      </c>
      <c r="AF142" s="373">
        <f>+'Plan de Accion Proyectos estrat'!BM28</f>
        <v>0</v>
      </c>
      <c r="AG142" s="276">
        <f t="shared" si="45"/>
        <v>0</v>
      </c>
      <c r="AH142" s="373">
        <f>+'Plan de Accion Proyectos estrat'!BO28</f>
        <v>0.24896265560165975</v>
      </c>
      <c r="AI142" s="275">
        <f t="shared" si="46"/>
        <v>0.24896265560165975</v>
      </c>
      <c r="AJ142" s="996"/>
      <c r="AK142" s="302"/>
      <c r="AL142" s="1019"/>
      <c r="AM142" s="998"/>
      <c r="AN142" s="267"/>
      <c r="AO142" s="1019"/>
      <c r="AP142" s="998"/>
      <c r="AQ142" s="267"/>
      <c r="AR142" s="1019"/>
      <c r="AS142" s="998"/>
      <c r="AT142" s="267"/>
      <c r="AU142" s="1019"/>
      <c r="AV142" s="998"/>
      <c r="AW142" s="265"/>
      <c r="AX142" s="1016"/>
      <c r="AY142" s="301"/>
      <c r="AZ142" s="1019"/>
      <c r="BA142" s="998"/>
      <c r="BB142" s="267"/>
      <c r="BC142" s="1019"/>
      <c r="BD142" s="998"/>
      <c r="BE142" s="267"/>
      <c r="BF142" s="1019"/>
      <c r="BG142" s="998"/>
      <c r="BH142" s="267"/>
      <c r="BI142" s="1019"/>
      <c r="BJ142" s="998"/>
      <c r="BK142" s="265"/>
      <c r="BL142" s="1016"/>
      <c r="BN142" s="1019"/>
      <c r="BO142" s="998"/>
      <c r="BP142" s="267"/>
      <c r="BQ142" s="1019"/>
      <c r="BR142" s="998"/>
      <c r="BS142" s="267"/>
      <c r="BT142" s="1019"/>
      <c r="BU142" s="998"/>
      <c r="BV142" s="267"/>
      <c r="BW142" s="1019"/>
      <c r="BX142" s="998"/>
      <c r="BY142" s="265"/>
      <c r="BZ142" s="1016"/>
      <c r="CB142" s="1019"/>
      <c r="CC142" s="998"/>
      <c r="CD142" s="267"/>
      <c r="CE142" s="1019"/>
      <c r="CF142" s="998"/>
      <c r="CG142" s="267"/>
      <c r="CH142" s="1019"/>
      <c r="CI142" s="998"/>
      <c r="CJ142" s="267"/>
      <c r="CK142" s="1019"/>
      <c r="CL142" s="998"/>
      <c r="CM142" s="265"/>
      <c r="CN142" s="1016"/>
    </row>
    <row r="143" spans="2:94" ht="57" x14ac:dyDescent="0.25">
      <c r="B143" s="970"/>
      <c r="C143" s="973"/>
      <c r="D143" s="956"/>
      <c r="E143" s="953"/>
      <c r="F143" s="951"/>
      <c r="G143" s="378" t="str">
        <f>+'Plan de Accion Proyectos estrat'!K29</f>
        <v>Devoluciones económicas REX</v>
      </c>
      <c r="H143" s="289" t="str">
        <f>+'Plan de Accion Proyectos estrat'!X29</f>
        <v># Solicitudes de devolución de aportes tramitadas / # Solicitudes de devolución de aportes radicadas</v>
      </c>
      <c r="I143" s="303"/>
      <c r="J143" s="372">
        <f>+'Plan de Accion Proyectos estrat'!AG29</f>
        <v>0.24726775956284153</v>
      </c>
      <c r="K143" s="615">
        <f>+'Plan de Accion Proyectos estrat'!AI29</f>
        <v>0.98907103825136611</v>
      </c>
      <c r="L143" s="615">
        <f t="shared" si="49"/>
        <v>0.98907103825136611</v>
      </c>
      <c r="M143" s="615">
        <f>+'Plan de Accion Proyectos estrat'!AK29</f>
        <v>0.24726775956284153</v>
      </c>
      <c r="N143" s="615">
        <f t="shared" si="47"/>
        <v>0.24726775956284153</v>
      </c>
      <c r="O143" s="617">
        <f t="shared" si="48"/>
        <v>0.24726775956284153</v>
      </c>
      <c r="P143" s="277"/>
      <c r="Q143" s="372">
        <f>+'Plan de Accion Proyectos estrat'!AQ29</f>
        <v>0</v>
      </c>
      <c r="R143" s="373">
        <f>+'Plan de Accion Proyectos estrat'!AS29</f>
        <v>0</v>
      </c>
      <c r="S143" s="276">
        <f t="shared" si="50"/>
        <v>0</v>
      </c>
      <c r="T143" s="373">
        <f>+'Plan de Accion Proyectos estrat'!AU29</f>
        <v>0.24726775956284153</v>
      </c>
      <c r="U143" s="373">
        <f t="shared" si="51"/>
        <v>0.24726775956284153</v>
      </c>
      <c r="V143" s="275">
        <f t="shared" si="41"/>
        <v>0.24726775956284153</v>
      </c>
      <c r="W143" s="278"/>
      <c r="X143" s="372">
        <f>+'Plan de Accion Proyectos estrat'!BA29</f>
        <v>0</v>
      </c>
      <c r="Y143" s="373">
        <f>+'Plan de Accion Proyectos estrat'!BC29</f>
        <v>0</v>
      </c>
      <c r="Z143" s="276">
        <f t="shared" si="42"/>
        <v>0</v>
      </c>
      <c r="AA143" s="282">
        <f>+'Plan de Accion Proyectos estrat'!BE29</f>
        <v>0.24726775956284153</v>
      </c>
      <c r="AB143" s="282">
        <f t="shared" si="43"/>
        <v>0.24726775956284153</v>
      </c>
      <c r="AC143" s="281">
        <f t="shared" si="44"/>
        <v>0.24726775956284153</v>
      </c>
      <c r="AD143" s="277"/>
      <c r="AE143" s="372">
        <f>+'Plan de Accion Proyectos estrat'!BK29</f>
        <v>0</v>
      </c>
      <c r="AF143" s="373">
        <f>+'Plan de Accion Proyectos estrat'!BM29</f>
        <v>0</v>
      </c>
      <c r="AG143" s="276">
        <f t="shared" si="45"/>
        <v>0</v>
      </c>
      <c r="AH143" s="373">
        <f>+'Plan de Accion Proyectos estrat'!BO29</f>
        <v>0.24726775956284153</v>
      </c>
      <c r="AI143" s="275">
        <f t="shared" si="46"/>
        <v>0.24726775956284153</v>
      </c>
      <c r="AJ143" s="996"/>
      <c r="AK143" s="302"/>
      <c r="AL143" s="1019"/>
      <c r="AM143" s="998"/>
      <c r="AN143" s="267"/>
      <c r="AO143" s="1019"/>
      <c r="AP143" s="998"/>
      <c r="AQ143" s="267"/>
      <c r="AR143" s="1019"/>
      <c r="AS143" s="998"/>
      <c r="AT143" s="267"/>
      <c r="AU143" s="1019"/>
      <c r="AV143" s="998"/>
      <c r="AW143" s="265"/>
      <c r="AX143" s="1016"/>
      <c r="AY143" s="301"/>
      <c r="AZ143" s="1019"/>
      <c r="BA143" s="998"/>
      <c r="BB143" s="267"/>
      <c r="BC143" s="1019"/>
      <c r="BD143" s="998"/>
      <c r="BE143" s="267"/>
      <c r="BF143" s="1019"/>
      <c r="BG143" s="998"/>
      <c r="BH143" s="267"/>
      <c r="BI143" s="1019"/>
      <c r="BJ143" s="998"/>
      <c r="BK143" s="265"/>
      <c r="BL143" s="1016"/>
      <c r="BN143" s="1019"/>
      <c r="BO143" s="998"/>
      <c r="BP143" s="267"/>
      <c r="BQ143" s="1019"/>
      <c r="BR143" s="998"/>
      <c r="BS143" s="267"/>
      <c r="BT143" s="1019"/>
      <c r="BU143" s="998"/>
      <c r="BV143" s="267"/>
      <c r="BW143" s="1019"/>
      <c r="BX143" s="998"/>
      <c r="BY143" s="265"/>
      <c r="BZ143" s="1016"/>
      <c r="CB143" s="1019"/>
      <c r="CC143" s="998"/>
      <c r="CD143" s="267"/>
      <c r="CE143" s="1019"/>
      <c r="CF143" s="998"/>
      <c r="CG143" s="267"/>
      <c r="CH143" s="1019"/>
      <c r="CI143" s="998"/>
      <c r="CJ143" s="267"/>
      <c r="CK143" s="1019"/>
      <c r="CL143" s="998"/>
      <c r="CM143" s="265"/>
      <c r="CN143" s="1016"/>
    </row>
    <row r="144" spans="2:94" ht="57" x14ac:dyDescent="0.25">
      <c r="B144" s="970"/>
      <c r="C144" s="973"/>
      <c r="D144" s="956"/>
      <c r="E144" s="953"/>
      <c r="F144" s="951"/>
      <c r="G144" s="378" t="str">
        <f>+'Plan de Accion Proyectos estrat'!K30</f>
        <v>Liquidación y reconocimiento de la UPC de los Afiliados del Régimen Subsidiado</v>
      </c>
      <c r="H144" s="289" t="str">
        <f>+'Plan de Accion Proyectos estrat'!X30</f>
        <v xml:space="preserve"># Procesos de LMA ejecutados </v>
      </c>
      <c r="I144" s="303"/>
      <c r="J144" s="283">
        <f>+'Plan de Accion Proyectos estrat'!AG30</f>
        <v>3</v>
      </c>
      <c r="K144" s="615">
        <f>+'Plan de Accion Proyectos estrat'!AI30</f>
        <v>1</v>
      </c>
      <c r="L144" s="615">
        <f t="shared" si="49"/>
        <v>1</v>
      </c>
      <c r="M144" s="615">
        <f>+'Plan de Accion Proyectos estrat'!AK30</f>
        <v>0.25</v>
      </c>
      <c r="N144" s="615">
        <f t="shared" si="47"/>
        <v>0.25</v>
      </c>
      <c r="O144" s="617">
        <f t="shared" si="48"/>
        <v>0.25</v>
      </c>
      <c r="P144" s="277"/>
      <c r="Q144" s="283">
        <f>+'Plan de Accion Proyectos estrat'!AQ30</f>
        <v>0</v>
      </c>
      <c r="R144" s="373">
        <f>+'Plan de Accion Proyectos estrat'!AS30</f>
        <v>0</v>
      </c>
      <c r="S144" s="276">
        <f t="shared" si="50"/>
        <v>0</v>
      </c>
      <c r="T144" s="373">
        <f>+'Plan de Accion Proyectos estrat'!AU30</f>
        <v>0.25</v>
      </c>
      <c r="U144" s="373">
        <f t="shared" si="51"/>
        <v>0.25</v>
      </c>
      <c r="V144" s="275">
        <f t="shared" si="41"/>
        <v>0.25</v>
      </c>
      <c r="W144" s="278"/>
      <c r="X144" s="283">
        <f>+'Plan de Accion Proyectos estrat'!BA30</f>
        <v>0</v>
      </c>
      <c r="Y144" s="373">
        <f>+'Plan de Accion Proyectos estrat'!BC30</f>
        <v>0</v>
      </c>
      <c r="Z144" s="276">
        <f t="shared" si="42"/>
        <v>0</v>
      </c>
      <c r="AA144" s="282">
        <f>+'Plan de Accion Proyectos estrat'!BE30</f>
        <v>0.25</v>
      </c>
      <c r="AB144" s="282">
        <f t="shared" si="43"/>
        <v>0.25</v>
      </c>
      <c r="AC144" s="281">
        <f t="shared" si="44"/>
        <v>0.25</v>
      </c>
      <c r="AD144" s="277"/>
      <c r="AE144" s="284">
        <f>+'Plan de Accion Proyectos estrat'!BK30</f>
        <v>0</v>
      </c>
      <c r="AF144" s="373">
        <f>+'Plan de Accion Proyectos estrat'!BM30</f>
        <v>0</v>
      </c>
      <c r="AG144" s="276">
        <f t="shared" si="45"/>
        <v>0</v>
      </c>
      <c r="AH144" s="373">
        <f>+'Plan de Accion Proyectos estrat'!BO30</f>
        <v>0.25</v>
      </c>
      <c r="AI144" s="275">
        <f t="shared" si="46"/>
        <v>0.25</v>
      </c>
      <c r="AJ144" s="996"/>
      <c r="AK144" s="302"/>
      <c r="AL144" s="1019"/>
      <c r="AM144" s="998"/>
      <c r="AN144" s="267"/>
      <c r="AO144" s="1019"/>
      <c r="AP144" s="998"/>
      <c r="AQ144" s="267"/>
      <c r="AR144" s="1019"/>
      <c r="AS144" s="998"/>
      <c r="AT144" s="267"/>
      <c r="AU144" s="1019"/>
      <c r="AV144" s="998"/>
      <c r="AW144" s="265"/>
      <c r="AX144" s="1016"/>
      <c r="AY144" s="301"/>
      <c r="AZ144" s="1019"/>
      <c r="BA144" s="998"/>
      <c r="BB144" s="267"/>
      <c r="BC144" s="1019"/>
      <c r="BD144" s="998"/>
      <c r="BE144" s="267"/>
      <c r="BF144" s="1019"/>
      <c r="BG144" s="998"/>
      <c r="BH144" s="267"/>
      <c r="BI144" s="1019"/>
      <c r="BJ144" s="998"/>
      <c r="BK144" s="265"/>
      <c r="BL144" s="1016"/>
      <c r="BN144" s="1019"/>
      <c r="BO144" s="998"/>
      <c r="BP144" s="267"/>
      <c r="BQ144" s="1019"/>
      <c r="BR144" s="998"/>
      <c r="BS144" s="267"/>
      <c r="BT144" s="1019"/>
      <c r="BU144" s="998"/>
      <c r="BV144" s="267"/>
      <c r="BW144" s="1019"/>
      <c r="BX144" s="998"/>
      <c r="BY144" s="265"/>
      <c r="BZ144" s="1016"/>
      <c r="CB144" s="1019"/>
      <c r="CC144" s="998"/>
      <c r="CD144" s="267"/>
      <c r="CE144" s="1019"/>
      <c r="CF144" s="998"/>
      <c r="CG144" s="267"/>
      <c r="CH144" s="1019"/>
      <c r="CI144" s="998"/>
      <c r="CJ144" s="267"/>
      <c r="CK144" s="1019"/>
      <c r="CL144" s="998"/>
      <c r="CM144" s="265"/>
      <c r="CN144" s="1016"/>
    </row>
    <row r="145" spans="2:92" ht="57" customHeight="1" x14ac:dyDescent="0.25">
      <c r="B145" s="970"/>
      <c r="C145" s="974"/>
      <c r="D145" s="957"/>
      <c r="E145" s="953"/>
      <c r="F145" s="951"/>
      <c r="G145" s="378" t="str">
        <f>+'Plan de Accion Proyectos estrat'!K31</f>
        <v xml:space="preserve">Liquidación y reconocimiento de licencias de maternidad y paternidad </v>
      </c>
      <c r="H145" s="289" t="str">
        <f>+'Plan de Accion Proyectos estrat'!X31</f>
        <v xml:space="preserve"># Procesos de liquidación y reconocimiento de licencias de maternidad y paternidad ejecutados </v>
      </c>
      <c r="I145" s="303"/>
      <c r="J145" s="283">
        <f>+'Plan de Accion Proyectos estrat'!AG31</f>
        <v>3</v>
      </c>
      <c r="K145" s="615">
        <f>+'Plan de Accion Proyectos estrat'!AI31</f>
        <v>1</v>
      </c>
      <c r="L145" s="615">
        <f t="shared" si="49"/>
        <v>1</v>
      </c>
      <c r="M145" s="615">
        <f>+'Plan de Accion Proyectos estrat'!AK31</f>
        <v>0.25</v>
      </c>
      <c r="N145" s="615">
        <f t="shared" si="47"/>
        <v>0.25</v>
      </c>
      <c r="O145" s="617">
        <f t="shared" si="48"/>
        <v>0.25</v>
      </c>
      <c r="P145" s="277"/>
      <c r="Q145" s="283">
        <f>+'Plan de Accion Proyectos estrat'!AQ31</f>
        <v>0</v>
      </c>
      <c r="R145" s="373">
        <f>+'Plan de Accion Proyectos estrat'!AS31</f>
        <v>0</v>
      </c>
      <c r="S145" s="276">
        <f t="shared" si="50"/>
        <v>0</v>
      </c>
      <c r="T145" s="373">
        <f>+'Plan de Accion Proyectos estrat'!AU31</f>
        <v>0.25</v>
      </c>
      <c r="U145" s="373">
        <f t="shared" si="51"/>
        <v>0.25</v>
      </c>
      <c r="V145" s="275">
        <f t="shared" si="41"/>
        <v>0.25</v>
      </c>
      <c r="W145" s="278"/>
      <c r="X145" s="283">
        <f>+'Plan de Accion Proyectos estrat'!BA31</f>
        <v>0</v>
      </c>
      <c r="Y145" s="373">
        <f>+'Plan de Accion Proyectos estrat'!BC31</f>
        <v>0</v>
      </c>
      <c r="Z145" s="276">
        <f t="shared" si="42"/>
        <v>0</v>
      </c>
      <c r="AA145" s="282">
        <f>+'Plan de Accion Proyectos estrat'!BE31</f>
        <v>0.25</v>
      </c>
      <c r="AB145" s="282">
        <f t="shared" si="43"/>
        <v>0.25</v>
      </c>
      <c r="AC145" s="281">
        <f t="shared" si="44"/>
        <v>0.25</v>
      </c>
      <c r="AD145" s="277"/>
      <c r="AE145" s="284">
        <f>+'Plan de Accion Proyectos estrat'!BK31</f>
        <v>0</v>
      </c>
      <c r="AF145" s="373">
        <f>+'Plan de Accion Proyectos estrat'!BM31</f>
        <v>0</v>
      </c>
      <c r="AG145" s="276">
        <f t="shared" si="45"/>
        <v>0</v>
      </c>
      <c r="AH145" s="373">
        <f>+'Plan de Accion Proyectos estrat'!BO31</f>
        <v>0.25</v>
      </c>
      <c r="AI145" s="275">
        <f t="shared" si="46"/>
        <v>0.25</v>
      </c>
      <c r="AJ145" s="996"/>
      <c r="AK145" s="302"/>
      <c r="AL145" s="1019"/>
      <c r="AM145" s="998"/>
      <c r="AN145" s="267"/>
      <c r="AO145" s="1019"/>
      <c r="AP145" s="998"/>
      <c r="AQ145" s="267"/>
      <c r="AR145" s="1019"/>
      <c r="AS145" s="998"/>
      <c r="AT145" s="267"/>
      <c r="AU145" s="1019"/>
      <c r="AV145" s="998"/>
      <c r="AW145" s="265"/>
      <c r="AX145" s="1016"/>
      <c r="AY145" s="301"/>
      <c r="AZ145" s="1019"/>
      <c r="BA145" s="998"/>
      <c r="BB145" s="267"/>
      <c r="BC145" s="1019"/>
      <c r="BD145" s="998"/>
      <c r="BE145" s="267"/>
      <c r="BF145" s="1019"/>
      <c r="BG145" s="998"/>
      <c r="BH145" s="267"/>
      <c r="BI145" s="1019"/>
      <c r="BJ145" s="998"/>
      <c r="BK145" s="265"/>
      <c r="BL145" s="1016"/>
      <c r="BN145" s="1019"/>
      <c r="BO145" s="998"/>
      <c r="BP145" s="267"/>
      <c r="BQ145" s="1019"/>
      <c r="BR145" s="998"/>
      <c r="BS145" s="267"/>
      <c r="BT145" s="1019"/>
      <c r="BU145" s="998"/>
      <c r="BV145" s="267"/>
      <c r="BW145" s="1019"/>
      <c r="BX145" s="998"/>
      <c r="BY145" s="265"/>
      <c r="BZ145" s="1016"/>
      <c r="CB145" s="1019"/>
      <c r="CC145" s="998"/>
      <c r="CD145" s="267"/>
      <c r="CE145" s="1019"/>
      <c r="CF145" s="998"/>
      <c r="CG145" s="267"/>
      <c r="CH145" s="1019"/>
      <c r="CI145" s="998"/>
      <c r="CJ145" s="267"/>
      <c r="CK145" s="1019"/>
      <c r="CL145" s="998"/>
      <c r="CM145" s="265"/>
      <c r="CN145" s="1016"/>
    </row>
    <row r="146" spans="2:92" ht="105" customHeight="1" x14ac:dyDescent="0.25">
      <c r="B146" s="970"/>
      <c r="C146" s="407" t="s">
        <v>406</v>
      </c>
      <c r="D146" s="377" t="s">
        <v>1288</v>
      </c>
      <c r="E146" s="378" t="s">
        <v>12</v>
      </c>
      <c r="F146" s="370" t="s">
        <v>332</v>
      </c>
      <c r="G146" s="378" t="str">
        <f>+'Plan de Accion Proyectos estrat'!K33</f>
        <v>Informe de análisis sobre procesos o tecnologías reconocidas por la ADRES</v>
      </c>
      <c r="H146" s="289" t="str">
        <f>+'Plan de Accion Proyectos estrat'!X33</f>
        <v>#  Informes de análisis sobre procesos o tecnologías reconocidas por la ADRES</v>
      </c>
      <c r="I146" s="303"/>
      <c r="J146" s="283">
        <f>+'Plan de Accion Proyectos estrat'!AG33</f>
        <v>2</v>
      </c>
      <c r="K146" s="615">
        <f>+'Plan de Accion Proyectos estrat'!BR33</f>
        <v>1</v>
      </c>
      <c r="L146" s="615">
        <f t="shared" si="49"/>
        <v>1</v>
      </c>
      <c r="M146" s="615">
        <f>+'Plan de Accion Proyectos estrat'!AK33</f>
        <v>0.25</v>
      </c>
      <c r="N146" s="615">
        <f t="shared" si="47"/>
        <v>0.25</v>
      </c>
      <c r="O146" s="617">
        <f t="shared" si="48"/>
        <v>0.25</v>
      </c>
      <c r="P146" s="277"/>
      <c r="Q146" s="283">
        <f>+'Plan de Accion Proyectos estrat'!AQ33</f>
        <v>0</v>
      </c>
      <c r="R146" s="373">
        <f>+'Plan de Accion Proyectos estrat'!AS3</f>
        <v>0</v>
      </c>
      <c r="S146" s="276">
        <f t="shared" si="50"/>
        <v>0</v>
      </c>
      <c r="T146" s="373">
        <f>+'Plan de Accion Proyectos estrat'!AU33</f>
        <v>0.25</v>
      </c>
      <c r="U146" s="373">
        <f t="shared" si="51"/>
        <v>0.25</v>
      </c>
      <c r="V146" s="275">
        <f t="shared" si="41"/>
        <v>0.25</v>
      </c>
      <c r="W146" s="278"/>
      <c r="X146" s="283">
        <f>+'Plan de Accion Proyectos estrat'!BA33</f>
        <v>0</v>
      </c>
      <c r="Y146" s="373">
        <f>+'Plan de Accion Proyectos estrat'!BC33</f>
        <v>0</v>
      </c>
      <c r="Z146" s="276">
        <f t="shared" si="42"/>
        <v>0</v>
      </c>
      <c r="AA146" s="282">
        <f>+'Plan de Accion Proyectos estrat'!BE33</f>
        <v>0.25</v>
      </c>
      <c r="AB146" s="282">
        <f t="shared" si="43"/>
        <v>0.25</v>
      </c>
      <c r="AC146" s="281">
        <f t="shared" si="44"/>
        <v>0.25</v>
      </c>
      <c r="AD146" s="277"/>
      <c r="AE146" s="284">
        <f>+'Plan de Accion Proyectos estrat'!BK33</f>
        <v>0</v>
      </c>
      <c r="AF146" s="373">
        <f>+'Plan de Accion Proyectos estrat'!BM33</f>
        <v>0</v>
      </c>
      <c r="AG146" s="276">
        <f t="shared" si="45"/>
        <v>0</v>
      </c>
      <c r="AH146" s="373">
        <f>+'Plan de Accion Proyectos estrat'!BO33</f>
        <v>0.25</v>
      </c>
      <c r="AI146" s="275">
        <f t="shared" si="46"/>
        <v>0.25</v>
      </c>
      <c r="AJ146" s="996"/>
      <c r="AK146" s="302"/>
      <c r="AL146" s="1019"/>
      <c r="AM146" s="998"/>
      <c r="AN146" s="267"/>
      <c r="AO146" s="1019"/>
      <c r="AP146" s="998"/>
      <c r="AQ146" s="267"/>
      <c r="AR146" s="1019"/>
      <c r="AS146" s="998"/>
      <c r="AT146" s="267"/>
      <c r="AU146" s="1019"/>
      <c r="AV146" s="998"/>
      <c r="AW146" s="265"/>
      <c r="AX146" s="1016"/>
      <c r="AY146" s="301"/>
      <c r="AZ146" s="1019"/>
      <c r="BA146" s="998"/>
      <c r="BB146" s="267"/>
      <c r="BC146" s="1019"/>
      <c r="BD146" s="998"/>
      <c r="BE146" s="267"/>
      <c r="BF146" s="1019"/>
      <c r="BG146" s="998"/>
      <c r="BH146" s="267"/>
      <c r="BI146" s="1019"/>
      <c r="BJ146" s="998"/>
      <c r="BK146" s="265"/>
      <c r="BL146" s="1016"/>
      <c r="BN146" s="1019"/>
      <c r="BO146" s="998"/>
      <c r="BP146" s="267"/>
      <c r="BQ146" s="1019"/>
      <c r="BR146" s="998"/>
      <c r="BS146" s="267"/>
      <c r="BT146" s="1019"/>
      <c r="BU146" s="998"/>
      <c r="BV146" s="267"/>
      <c r="BW146" s="1019"/>
      <c r="BX146" s="998"/>
      <c r="BY146" s="265"/>
      <c r="BZ146" s="1016"/>
      <c r="CB146" s="1019"/>
      <c r="CC146" s="998"/>
      <c r="CD146" s="267"/>
      <c r="CE146" s="1019"/>
      <c r="CF146" s="998"/>
      <c r="CG146" s="267"/>
      <c r="CH146" s="1019"/>
      <c r="CI146" s="998"/>
      <c r="CJ146" s="267"/>
      <c r="CK146" s="1019"/>
      <c r="CL146" s="998"/>
      <c r="CM146" s="265"/>
      <c r="CN146" s="1016"/>
    </row>
    <row r="147" spans="2:92" ht="94.5" customHeight="1" x14ac:dyDescent="0.2">
      <c r="B147" s="970"/>
      <c r="C147" s="972" t="s">
        <v>60</v>
      </c>
      <c r="D147" s="958" t="s">
        <v>206</v>
      </c>
      <c r="E147" s="945" t="s">
        <v>125</v>
      </c>
      <c r="F147" s="948" t="s">
        <v>332</v>
      </c>
      <c r="G147" s="385" t="str">
        <f>+'Plan de Accion Misional'!K9</f>
        <v>Cobro efectivo de las acreencias por todo concepto a favor de la Administradora de los Recursos del Sistema General de Seguridad Social en Salud – ADRES.</v>
      </c>
      <c r="H147" s="280" t="str">
        <f>+'Plan de Accion Misional'!X9</f>
        <v xml:space="preserve"># Resoluciones que ordenan el cobro </v>
      </c>
      <c r="J147" s="283">
        <f>+'Plan de Accion Misional'!AG9</f>
        <v>2287</v>
      </c>
      <c r="K147" s="615">
        <f>+'Plan de Accion Misional'!BR9</f>
        <v>2.8587500000000001</v>
      </c>
      <c r="L147" s="615">
        <f t="shared" si="49"/>
        <v>1</v>
      </c>
      <c r="M147" s="615">
        <f>+'Plan de Accion Misional'!AK9</f>
        <v>0.51977272727272728</v>
      </c>
      <c r="N147" s="615">
        <f>IF(M147&gt;100%,100%,M147)</f>
        <v>0.51977272727272728</v>
      </c>
      <c r="O147" s="617">
        <f t="shared" si="48"/>
        <v>0.51977272727272728</v>
      </c>
      <c r="P147" s="277"/>
      <c r="Q147" s="283">
        <f>+'Plan de Accion Misional'!AQ9</f>
        <v>0</v>
      </c>
      <c r="R147" s="315">
        <f>+'Plan de Accion Misional'!BT9</f>
        <v>0</v>
      </c>
      <c r="S147" s="276">
        <f t="shared" si="50"/>
        <v>0</v>
      </c>
      <c r="T147" s="373">
        <f>+'Plan de Accion Misional'!AU9</f>
        <v>0.51977272727272728</v>
      </c>
      <c r="U147" s="373">
        <f t="shared" ref="U147:U159" si="52">IF(T147&gt;100%,100%,T147)</f>
        <v>0.51977272727272728</v>
      </c>
      <c r="V147" s="275">
        <f>+U147</f>
        <v>0.51977272727272728</v>
      </c>
      <c r="W147" s="278"/>
      <c r="X147" s="283">
        <f>+'Plan de Accion Misional'!BA9</f>
        <v>0</v>
      </c>
      <c r="Y147" s="315">
        <f>+'Plan de Accion Misional'!BV9</f>
        <v>0</v>
      </c>
      <c r="Z147" s="276">
        <f>IF(Y147&gt;100%,100%,Y147)</f>
        <v>0</v>
      </c>
      <c r="AA147" s="282">
        <f>+'Plan de Accion Misional'!BE9</f>
        <v>0.51977272727272728</v>
      </c>
      <c r="AB147" s="282">
        <f t="shared" ref="AB147:AB159" si="53">IF(AA147&gt;100%,100%,AA147)</f>
        <v>0.51977272727272728</v>
      </c>
      <c r="AC147" s="281">
        <f>+AB147</f>
        <v>0.51977272727272728</v>
      </c>
      <c r="AD147" s="277"/>
      <c r="AE147" s="284">
        <f>+'Plan de Accion Misional'!BK9</f>
        <v>0</v>
      </c>
      <c r="AF147" s="315">
        <f>+'Plan de Accion Misional'!BX9</f>
        <v>0</v>
      </c>
      <c r="AG147" s="276">
        <f t="shared" ref="AG147:AG152" si="54">IF(AF147&gt;100%,100%,AF147)</f>
        <v>0</v>
      </c>
      <c r="AH147" s="315">
        <f>+'Plan de Accion Misional'!BO9</f>
        <v>0.51977272727272728</v>
      </c>
      <c r="AI147" s="275">
        <f t="shared" ref="AI147:AI159" si="55">IF(AH147&gt;100%,100%,AH147)</f>
        <v>0.51977272727272728</v>
      </c>
      <c r="AJ147" s="996"/>
      <c r="AK147" s="302"/>
      <c r="AL147" s="1019"/>
      <c r="AM147" s="998"/>
      <c r="AN147" s="267"/>
      <c r="AO147" s="1019"/>
      <c r="AP147" s="998"/>
      <c r="AQ147" s="267"/>
      <c r="AR147" s="1019"/>
      <c r="AS147" s="998"/>
      <c r="AT147" s="267"/>
      <c r="AU147" s="1019"/>
      <c r="AV147" s="998"/>
      <c r="AW147" s="265"/>
      <c r="AX147" s="1016"/>
      <c r="AY147" s="301"/>
      <c r="AZ147" s="1019"/>
      <c r="BA147" s="998"/>
      <c r="BB147" s="267"/>
      <c r="BC147" s="1019"/>
      <c r="BD147" s="998"/>
      <c r="BE147" s="267"/>
      <c r="BF147" s="1019"/>
      <c r="BG147" s="998"/>
      <c r="BH147" s="267"/>
      <c r="BI147" s="1019"/>
      <c r="BJ147" s="998"/>
      <c r="BK147" s="265"/>
      <c r="BL147" s="1016"/>
      <c r="BN147" s="1019"/>
      <c r="BO147" s="998"/>
      <c r="BP147" s="267"/>
      <c r="BQ147" s="1019"/>
      <c r="BR147" s="998"/>
      <c r="BS147" s="267"/>
      <c r="BT147" s="1019"/>
      <c r="BU147" s="998"/>
      <c r="BV147" s="267"/>
      <c r="BW147" s="1019"/>
      <c r="BX147" s="998"/>
      <c r="BY147" s="265"/>
      <c r="BZ147" s="1016"/>
      <c r="CB147" s="1019"/>
      <c r="CC147" s="998"/>
      <c r="CD147" s="267"/>
      <c r="CE147" s="1019"/>
      <c r="CF147" s="998"/>
      <c r="CG147" s="267"/>
      <c r="CH147" s="1019"/>
      <c r="CI147" s="998"/>
      <c r="CJ147" s="267"/>
      <c r="CK147" s="1019"/>
      <c r="CL147" s="998"/>
      <c r="CM147" s="265"/>
      <c r="CN147" s="1016"/>
    </row>
    <row r="148" spans="2:92" ht="33" customHeight="1" x14ac:dyDescent="0.2">
      <c r="B148" s="970"/>
      <c r="C148" s="973"/>
      <c r="D148" s="943"/>
      <c r="E148" s="946"/>
      <c r="F148" s="949"/>
      <c r="G148" s="385" t="str">
        <f>+'Plan de Accion Misional'!K10</f>
        <v>Comunicaciones enviadas</v>
      </c>
      <c r="H148" s="280" t="str">
        <f>+'Plan de Accion Misional'!X10</f>
        <v># Comunicaciones enviadas</v>
      </c>
      <c r="J148" s="283">
        <f>+'Plan de Accion Misional'!AG10</f>
        <v>0</v>
      </c>
      <c r="K148" s="615">
        <f>+'Plan de Accion Misional'!BR10</f>
        <v>0</v>
      </c>
      <c r="L148" s="615">
        <f t="shared" si="49"/>
        <v>0</v>
      </c>
      <c r="M148" s="615">
        <f>+'Plan de Accion Misional'!AK10</f>
        <v>0</v>
      </c>
      <c r="N148" s="615">
        <f t="shared" si="47"/>
        <v>0</v>
      </c>
      <c r="O148" s="617">
        <f t="shared" si="48"/>
        <v>0</v>
      </c>
      <c r="P148" s="277"/>
      <c r="Q148" s="283">
        <f>+'Plan de Accion Misional'!AQ10</f>
        <v>0</v>
      </c>
      <c r="R148" s="315">
        <f>+'Plan de Accion Misional'!BT10</f>
        <v>0</v>
      </c>
      <c r="S148" s="276">
        <f t="shared" si="50"/>
        <v>0</v>
      </c>
      <c r="T148" s="373">
        <f>+'Plan de Accion Misional'!AU10</f>
        <v>0</v>
      </c>
      <c r="U148" s="373">
        <f t="shared" si="52"/>
        <v>0</v>
      </c>
      <c r="V148" s="275">
        <f>+U148</f>
        <v>0</v>
      </c>
      <c r="W148" s="278"/>
      <c r="X148" s="283">
        <f>+'Plan de Accion Misional'!BA10</f>
        <v>0</v>
      </c>
      <c r="Y148" s="315">
        <f>+'Plan de Accion Misional'!BV10</f>
        <v>0</v>
      </c>
      <c r="Z148" s="276">
        <f>IF(Y148&gt;100%,100%,Y148)</f>
        <v>0</v>
      </c>
      <c r="AA148" s="282">
        <f>+'Plan de Accion Misional'!BE10</f>
        <v>0</v>
      </c>
      <c r="AB148" s="282">
        <f t="shared" si="53"/>
        <v>0</v>
      </c>
      <c r="AC148" s="281">
        <f>+AB148</f>
        <v>0</v>
      </c>
      <c r="AD148" s="277"/>
      <c r="AE148" s="284">
        <f>+'Plan de Accion Misional'!BK10</f>
        <v>0</v>
      </c>
      <c r="AF148" s="315">
        <f>+'Plan de Accion Misional'!BX10</f>
        <v>0</v>
      </c>
      <c r="AG148" s="276">
        <f t="shared" si="54"/>
        <v>0</v>
      </c>
      <c r="AH148" s="315">
        <f>+'Plan de Accion Misional'!BO10</f>
        <v>0</v>
      </c>
      <c r="AI148" s="275">
        <f t="shared" si="55"/>
        <v>0</v>
      </c>
      <c r="AJ148" s="996"/>
      <c r="AK148" s="302"/>
      <c r="AL148" s="1019"/>
      <c r="AM148" s="998"/>
      <c r="AN148" s="267"/>
      <c r="AO148" s="1019"/>
      <c r="AP148" s="998"/>
      <c r="AQ148" s="267"/>
      <c r="AR148" s="1019"/>
      <c r="AS148" s="998"/>
      <c r="AT148" s="267"/>
      <c r="AU148" s="1019"/>
      <c r="AV148" s="998"/>
      <c r="AW148" s="265"/>
      <c r="AX148" s="1016"/>
      <c r="AY148" s="301"/>
      <c r="AZ148" s="1019"/>
      <c r="BA148" s="998"/>
      <c r="BB148" s="267"/>
      <c r="BC148" s="1019"/>
      <c r="BD148" s="998"/>
      <c r="BE148" s="267"/>
      <c r="BF148" s="1019"/>
      <c r="BG148" s="998"/>
      <c r="BH148" s="267"/>
      <c r="BI148" s="1019"/>
      <c r="BJ148" s="998"/>
      <c r="BK148" s="265"/>
      <c r="BL148" s="1016"/>
      <c r="BN148" s="1019"/>
      <c r="BO148" s="998"/>
      <c r="BP148" s="267"/>
      <c r="BQ148" s="1019"/>
      <c r="BR148" s="998"/>
      <c r="BS148" s="267"/>
      <c r="BT148" s="1019"/>
      <c r="BU148" s="998"/>
      <c r="BV148" s="267"/>
      <c r="BW148" s="1019"/>
      <c r="BX148" s="998"/>
      <c r="BY148" s="265"/>
      <c r="BZ148" s="1016"/>
      <c r="CB148" s="1019"/>
      <c r="CC148" s="998"/>
      <c r="CD148" s="267"/>
      <c r="CE148" s="1019"/>
      <c r="CF148" s="998"/>
      <c r="CG148" s="267"/>
      <c r="CH148" s="1019"/>
      <c r="CI148" s="998"/>
      <c r="CJ148" s="267"/>
      <c r="CK148" s="1019"/>
      <c r="CL148" s="998"/>
      <c r="CM148" s="265"/>
      <c r="CN148" s="1016"/>
    </row>
    <row r="149" spans="2:92" ht="105" customHeight="1" x14ac:dyDescent="0.2">
      <c r="B149" s="970"/>
      <c r="C149" s="974"/>
      <c r="D149" s="944"/>
      <c r="E149" s="947"/>
      <c r="F149" s="950"/>
      <c r="G149" s="385" t="str">
        <f>+'Plan de Accion Misional'!K14</f>
        <v>Pago de la cartera vendida a CISA S.A de resoluciones ejecutoriadas con mas de 180 días</v>
      </c>
      <c r="H149" s="280" t="str">
        <f>+'Plan de Accion Misional'!X14</f>
        <v xml:space="preserve"># Reclamaciones Vendidas contenidas en actos administrativos ejecutoriados con mora mayor a 180 días / # Reclamaciones contenidas actos administrativos ejecutoriados con mora mayor a 180 días </v>
      </c>
      <c r="J149" s="279">
        <f>+'Plan de Accion Misional'!AG14</f>
        <v>0</v>
      </c>
      <c r="K149" s="615" t="str">
        <f>+'Plan de Accion Misional'!BR14</f>
        <v>No Prog ni Ejec</v>
      </c>
      <c r="L149" s="615" t="s">
        <v>206</v>
      </c>
      <c r="M149" s="615">
        <f>+'Plan de Accion Misional'!AK14</f>
        <v>0</v>
      </c>
      <c r="N149" s="615">
        <f t="shared" si="47"/>
        <v>0</v>
      </c>
      <c r="O149" s="617" t="s">
        <v>206</v>
      </c>
      <c r="P149" s="277"/>
      <c r="Q149" s="279">
        <f>+'Plan de Accion Misional'!AQ14</f>
        <v>0</v>
      </c>
      <c r="R149" s="315" t="str">
        <f>+'Plan de Accion Misional'!BT14</f>
        <v>No Prog ni Ejec</v>
      </c>
      <c r="S149" s="276" t="s">
        <v>206</v>
      </c>
      <c r="T149" s="373">
        <f>+'Plan de Accion Misional'!AU14</f>
        <v>0</v>
      </c>
      <c r="U149" s="373">
        <f t="shared" si="52"/>
        <v>0</v>
      </c>
      <c r="V149" s="275" t="s">
        <v>206</v>
      </c>
      <c r="W149" s="278"/>
      <c r="X149" s="279">
        <f>+'Plan de Accion Misional'!BA14</f>
        <v>0</v>
      </c>
      <c r="Y149" s="315" t="str">
        <f>+'Plan de Accion Misional'!BV14</f>
        <v>No Prog ni Ejec</v>
      </c>
      <c r="Z149" s="276" t="s">
        <v>206</v>
      </c>
      <c r="AA149" s="282">
        <f>+'Plan de Accion Misional'!BE14</f>
        <v>0</v>
      </c>
      <c r="AB149" s="282">
        <f t="shared" si="53"/>
        <v>0</v>
      </c>
      <c r="AC149" s="281" t="s">
        <v>206</v>
      </c>
      <c r="AD149" s="277"/>
      <c r="AE149" s="279">
        <f>+'Plan de Accion Misional'!BK14</f>
        <v>0</v>
      </c>
      <c r="AF149" s="315">
        <f>+'Plan de Accion Misional'!BX14</f>
        <v>0</v>
      </c>
      <c r="AG149" s="276">
        <f t="shared" si="54"/>
        <v>0</v>
      </c>
      <c r="AH149" s="315">
        <f>+'Plan de Accion Misional'!BO14</f>
        <v>0</v>
      </c>
      <c r="AI149" s="275">
        <f t="shared" si="55"/>
        <v>0</v>
      </c>
      <c r="AJ149" s="996"/>
      <c r="AK149" s="302"/>
      <c r="AL149" s="1019"/>
      <c r="AM149" s="998"/>
      <c r="AN149" s="267"/>
      <c r="AO149" s="1019"/>
      <c r="AP149" s="998"/>
      <c r="AQ149" s="267"/>
      <c r="AR149" s="1019"/>
      <c r="AS149" s="998"/>
      <c r="AT149" s="267"/>
      <c r="AU149" s="1019"/>
      <c r="AV149" s="998"/>
      <c r="AW149" s="265"/>
      <c r="AX149" s="1016"/>
      <c r="AY149" s="301"/>
      <c r="AZ149" s="1019"/>
      <c r="BA149" s="998"/>
      <c r="BB149" s="267"/>
      <c r="BC149" s="1019"/>
      <c r="BD149" s="998"/>
      <c r="BE149" s="267"/>
      <c r="BF149" s="1019"/>
      <c r="BG149" s="998"/>
      <c r="BH149" s="267"/>
      <c r="BI149" s="1019"/>
      <c r="BJ149" s="998"/>
      <c r="BK149" s="265"/>
      <c r="BL149" s="1016"/>
      <c r="BN149" s="1019"/>
      <c r="BO149" s="998"/>
      <c r="BP149" s="267"/>
      <c r="BQ149" s="1019"/>
      <c r="BR149" s="998"/>
      <c r="BS149" s="267"/>
      <c r="BT149" s="1019"/>
      <c r="BU149" s="998"/>
      <c r="BV149" s="267"/>
      <c r="BW149" s="1019"/>
      <c r="BX149" s="998"/>
      <c r="BY149" s="265"/>
      <c r="BZ149" s="1016"/>
      <c r="CB149" s="1019"/>
      <c r="CC149" s="998"/>
      <c r="CD149" s="267"/>
      <c r="CE149" s="1019"/>
      <c r="CF149" s="998"/>
      <c r="CG149" s="267"/>
      <c r="CH149" s="1019"/>
      <c r="CI149" s="998"/>
      <c r="CJ149" s="267"/>
      <c r="CK149" s="1019"/>
      <c r="CL149" s="998"/>
      <c r="CM149" s="265"/>
      <c r="CN149" s="1016"/>
    </row>
    <row r="150" spans="2:92" ht="50.1" customHeight="1" x14ac:dyDescent="0.2">
      <c r="B150" s="970"/>
      <c r="C150" s="1073" t="s">
        <v>59</v>
      </c>
      <c r="D150" s="958" t="s">
        <v>206</v>
      </c>
      <c r="E150" s="948" t="s">
        <v>1291</v>
      </c>
      <c r="F150" s="948" t="s">
        <v>332</v>
      </c>
      <c r="G150" s="393" t="str">
        <f>+'Plan de Accion Misional'!K16</f>
        <v>Publicación  Ejecución Presupuestal</v>
      </c>
      <c r="H150" s="280" t="str">
        <f>+'Plan de Accion Misional'!X16</f>
        <v># Ejecuciones Presupuestales Publicadas</v>
      </c>
      <c r="J150" s="284">
        <f>+'Plan de Accion Misional'!AG16</f>
        <v>3</v>
      </c>
      <c r="K150" s="615">
        <f>+'Plan de Accion Misional'!BR16</f>
        <v>1</v>
      </c>
      <c r="L150" s="615">
        <f>IF(K150&gt;100%,100%,K150)</f>
        <v>1</v>
      </c>
      <c r="M150" s="615">
        <f>+'Plan de Accion Misional'!AK16</f>
        <v>0.25</v>
      </c>
      <c r="N150" s="615">
        <f>IF(M150&gt;100%,100%,M150)</f>
        <v>0.25</v>
      </c>
      <c r="O150" s="617">
        <f>+N150</f>
        <v>0.25</v>
      </c>
      <c r="P150" s="277"/>
      <c r="Q150" s="279">
        <f>+'Plan de Accion Misional'!AQ16</f>
        <v>0</v>
      </c>
      <c r="R150" s="315">
        <f>+'Plan de Accion Misional'!BT16</f>
        <v>0</v>
      </c>
      <c r="S150" s="276">
        <f>IF(R150&gt;100%,100%,R150)</f>
        <v>0</v>
      </c>
      <c r="T150" s="396">
        <f>+'Plan de Accion Misional'!AU16</f>
        <v>0.25</v>
      </c>
      <c r="U150" s="396">
        <f>IF(T150&gt;100%,100%,T150)</f>
        <v>0.25</v>
      </c>
      <c r="V150" s="275">
        <f>+U150</f>
        <v>0.25</v>
      </c>
      <c r="W150" s="278"/>
      <c r="X150" s="279">
        <f>+'Plan de Accion Misional'!BA16</f>
        <v>0</v>
      </c>
      <c r="Y150" s="315">
        <f>+'Plan de Accion Misional'!BV16</f>
        <v>0</v>
      </c>
      <c r="Z150" s="276">
        <f>IF(Y150&gt;100%,100%,Y150)</f>
        <v>0</v>
      </c>
      <c r="AA150" s="282">
        <f>+'Plan de Accion Misional'!BE16</f>
        <v>0.25</v>
      </c>
      <c r="AB150" s="282">
        <f>IF(AA150&gt;100%,100%,AA150)</f>
        <v>0.25</v>
      </c>
      <c r="AC150" s="281">
        <f>+AB150</f>
        <v>0.25</v>
      </c>
      <c r="AD150" s="277"/>
      <c r="AE150" s="279">
        <f>+'Plan de Accion Misional'!BK16</f>
        <v>0</v>
      </c>
      <c r="AF150" s="315">
        <f>+'Plan de Accion Misional'!BX16</f>
        <v>0</v>
      </c>
      <c r="AG150" s="276">
        <f t="shared" si="54"/>
        <v>0</v>
      </c>
      <c r="AH150" s="315">
        <f>+'Plan de Accion Misional'!BO16</f>
        <v>0.25</v>
      </c>
      <c r="AI150" s="275">
        <f>IF(AH150&gt;100%,100%,AH150)</f>
        <v>0.25</v>
      </c>
      <c r="AJ150" s="996"/>
      <c r="AK150" s="302"/>
      <c r="AL150" s="1019"/>
      <c r="AM150" s="998"/>
      <c r="AN150" s="267"/>
      <c r="AO150" s="1019"/>
      <c r="AP150" s="998"/>
      <c r="AQ150" s="267"/>
      <c r="AR150" s="1019"/>
      <c r="AS150" s="998"/>
      <c r="AT150" s="267"/>
      <c r="AU150" s="1019"/>
      <c r="AV150" s="998"/>
      <c r="AW150" s="265"/>
      <c r="AX150" s="1016"/>
      <c r="AY150" s="301"/>
      <c r="AZ150" s="1019"/>
      <c r="BA150" s="998"/>
      <c r="BB150" s="267"/>
      <c r="BC150" s="1019"/>
      <c r="BD150" s="998"/>
      <c r="BE150" s="267"/>
      <c r="BF150" s="1019"/>
      <c r="BG150" s="998"/>
      <c r="BH150" s="267"/>
      <c r="BI150" s="1019"/>
      <c r="BJ150" s="998"/>
      <c r="BK150" s="265"/>
      <c r="BL150" s="1016"/>
      <c r="BN150" s="1019"/>
      <c r="BO150" s="998"/>
      <c r="BP150" s="267"/>
      <c r="BQ150" s="1019"/>
      <c r="BR150" s="998"/>
      <c r="BS150" s="267"/>
      <c r="BT150" s="1019"/>
      <c r="BU150" s="998"/>
      <c r="BV150" s="267"/>
      <c r="BW150" s="1019"/>
      <c r="BX150" s="998"/>
      <c r="BY150" s="265"/>
      <c r="BZ150" s="1016"/>
      <c r="CB150" s="1019"/>
      <c r="CC150" s="998"/>
      <c r="CD150" s="267"/>
      <c r="CE150" s="1019"/>
      <c r="CF150" s="998"/>
      <c r="CG150" s="267"/>
      <c r="CH150" s="1019"/>
      <c r="CI150" s="998"/>
      <c r="CJ150" s="267"/>
      <c r="CK150" s="1019"/>
      <c r="CL150" s="998"/>
      <c r="CM150" s="265"/>
      <c r="CN150" s="1016"/>
    </row>
    <row r="151" spans="2:92" ht="50.1" customHeight="1" x14ac:dyDescent="0.2">
      <c r="B151" s="970"/>
      <c r="C151" s="1074"/>
      <c r="D151" s="943"/>
      <c r="E151" s="949"/>
      <c r="F151" s="949"/>
      <c r="G151" s="393" t="str">
        <f>+'Plan de Accion Misional'!K18</f>
        <v>Ordenes de Giros tramitadas</v>
      </c>
      <c r="H151" s="280" t="str">
        <f>+'Plan de Accion Misional'!X18</f>
        <v># Ordenes Giradas / # Ordenes solicitadas</v>
      </c>
      <c r="J151" s="279">
        <f>+'Plan de Accion Misional'!AG18</f>
        <v>0.25</v>
      </c>
      <c r="K151" s="615">
        <f>+'Plan de Accion Misional'!BR18</f>
        <v>1</v>
      </c>
      <c r="L151" s="615">
        <f>IF(K151&gt;100%,100%,K151)</f>
        <v>1</v>
      </c>
      <c r="M151" s="615">
        <f>+'Plan de Accion Misional'!AK18</f>
        <v>0.25</v>
      </c>
      <c r="N151" s="615">
        <f>IF(M151&gt;100%,100%,M151)</f>
        <v>0.25</v>
      </c>
      <c r="O151" s="617">
        <f>+N151</f>
        <v>0.25</v>
      </c>
      <c r="P151" s="277"/>
      <c r="Q151" s="279">
        <f>+'Plan de Accion Misional'!AQ18</f>
        <v>0</v>
      </c>
      <c r="R151" s="315">
        <f>+'Plan de Accion Misional'!BT18</f>
        <v>0</v>
      </c>
      <c r="S151" s="276">
        <f>IF(R151&gt;100%,100%,R151)</f>
        <v>0</v>
      </c>
      <c r="T151" s="396">
        <f>+'Plan de Accion Misional'!AU18</f>
        <v>0.25</v>
      </c>
      <c r="U151" s="396">
        <f>IF(T151&gt;100%,100%,T151)</f>
        <v>0.25</v>
      </c>
      <c r="V151" s="275">
        <f>+U151</f>
        <v>0.25</v>
      </c>
      <c r="W151" s="278"/>
      <c r="X151" s="279">
        <f>+'Plan de Accion Misional'!BA18</f>
        <v>0</v>
      </c>
      <c r="Y151" s="315">
        <f>+'Plan de Accion Misional'!BV18</f>
        <v>0</v>
      </c>
      <c r="Z151" s="276">
        <f>IF(Y151&gt;100%,100%,Y151)</f>
        <v>0</v>
      </c>
      <c r="AA151" s="282">
        <f>+'Plan de Accion Misional'!BE18</f>
        <v>0.25</v>
      </c>
      <c r="AB151" s="282">
        <f>IF(AA151&gt;100%,100%,AA151)</f>
        <v>0.25</v>
      </c>
      <c r="AC151" s="281">
        <f>+AB151</f>
        <v>0.25</v>
      </c>
      <c r="AD151" s="277"/>
      <c r="AE151" s="279">
        <f>+'Plan de Accion Misional'!BK18</f>
        <v>0</v>
      </c>
      <c r="AF151" s="315">
        <f>+'Plan de Accion Misional'!BX18</f>
        <v>0</v>
      </c>
      <c r="AG151" s="276">
        <f t="shared" si="54"/>
        <v>0</v>
      </c>
      <c r="AH151" s="315">
        <f>+'Plan de Accion Misional'!BO18</f>
        <v>0.25</v>
      </c>
      <c r="AI151" s="275">
        <f>IF(AH151&gt;100%,100%,AH151)</f>
        <v>0.25</v>
      </c>
      <c r="AJ151" s="996"/>
      <c r="AK151" s="302"/>
      <c r="AL151" s="1019"/>
      <c r="AM151" s="998"/>
      <c r="AN151" s="267"/>
      <c r="AO151" s="1019"/>
      <c r="AP151" s="998"/>
      <c r="AQ151" s="267"/>
      <c r="AR151" s="1019"/>
      <c r="AS151" s="998"/>
      <c r="AT151" s="267"/>
      <c r="AU151" s="1019"/>
      <c r="AV151" s="998"/>
      <c r="AW151" s="265"/>
      <c r="AX151" s="1016"/>
      <c r="AY151" s="301"/>
      <c r="AZ151" s="1019"/>
      <c r="BA151" s="998"/>
      <c r="BB151" s="267"/>
      <c r="BC151" s="1019"/>
      <c r="BD151" s="998"/>
      <c r="BE151" s="267"/>
      <c r="BF151" s="1019"/>
      <c r="BG151" s="998"/>
      <c r="BH151" s="267"/>
      <c r="BI151" s="1019"/>
      <c r="BJ151" s="998"/>
      <c r="BK151" s="265"/>
      <c r="BL151" s="1016"/>
      <c r="BN151" s="1019"/>
      <c r="BO151" s="998"/>
      <c r="BP151" s="267"/>
      <c r="BQ151" s="1019"/>
      <c r="BR151" s="998"/>
      <c r="BS151" s="267"/>
      <c r="BT151" s="1019"/>
      <c r="BU151" s="998"/>
      <c r="BV151" s="267"/>
      <c r="BW151" s="1019"/>
      <c r="BX151" s="998"/>
      <c r="BY151" s="265"/>
      <c r="BZ151" s="1016"/>
      <c r="CB151" s="1019"/>
      <c r="CC151" s="998"/>
      <c r="CD151" s="267"/>
      <c r="CE151" s="1019"/>
      <c r="CF151" s="998"/>
      <c r="CG151" s="267"/>
      <c r="CH151" s="1019"/>
      <c r="CI151" s="998"/>
      <c r="CJ151" s="267"/>
      <c r="CK151" s="1019"/>
      <c r="CL151" s="998"/>
      <c r="CM151" s="265"/>
      <c r="CN151" s="1016"/>
    </row>
    <row r="152" spans="2:92" ht="75" customHeight="1" x14ac:dyDescent="0.2">
      <c r="B152" s="970"/>
      <c r="C152" s="1075"/>
      <c r="D152" s="944"/>
      <c r="E152" s="950"/>
      <c r="F152" s="950"/>
      <c r="G152" s="393" t="str">
        <f>+'Plan de Accion Misional'!K20</f>
        <v>Estados Financieros</v>
      </c>
      <c r="H152" s="280" t="str">
        <f>+'Plan de Accion Misional'!X20</f>
        <v># Estados Financieros reportados a entes de control  / # Estados Financieros solicitados por entes de control</v>
      </c>
      <c r="J152" s="279">
        <f>+'Plan de Accion Misional'!AG20</f>
        <v>1</v>
      </c>
      <c r="K152" s="615">
        <f>+'Plan de Accion Misional'!BR20</f>
        <v>1</v>
      </c>
      <c r="L152" s="615">
        <f>IF(K152&gt;100%,100%,K152)</f>
        <v>1</v>
      </c>
      <c r="M152" s="615">
        <f>+'Plan de Accion Misional'!AK20</f>
        <v>0.25</v>
      </c>
      <c r="N152" s="615">
        <f>IF(M152&gt;100%,100%,M152)</f>
        <v>0.25</v>
      </c>
      <c r="O152" s="617">
        <f>+N152</f>
        <v>0.25</v>
      </c>
      <c r="P152" s="277"/>
      <c r="Q152" s="279">
        <f>+'Plan de Accion Misional'!AQ20</f>
        <v>0</v>
      </c>
      <c r="R152" s="315">
        <f>+'Plan de Accion Misional'!BT20</f>
        <v>0</v>
      </c>
      <c r="S152" s="276">
        <f>IF(R152&gt;100%,100%,R152)</f>
        <v>0</v>
      </c>
      <c r="T152" s="396">
        <f>+'Plan de Accion Misional'!AU20</f>
        <v>0.25</v>
      </c>
      <c r="U152" s="396">
        <f>IF(T152&gt;100%,100%,T152)</f>
        <v>0.25</v>
      </c>
      <c r="V152" s="275">
        <f>+U152</f>
        <v>0.25</v>
      </c>
      <c r="W152" s="278"/>
      <c r="X152" s="279">
        <f>+'Plan de Accion Misional'!BA20</f>
        <v>0</v>
      </c>
      <c r="Y152" s="315">
        <f>+'Plan de Accion Misional'!BV20</f>
        <v>0</v>
      </c>
      <c r="Z152" s="276">
        <f>IF(Y152&gt;100%,100%,Y152)</f>
        <v>0</v>
      </c>
      <c r="AA152" s="282">
        <f>+'Plan de Accion Misional'!BE20</f>
        <v>0.25</v>
      </c>
      <c r="AB152" s="282">
        <f>IF(AA152&gt;100%,100%,AA152)</f>
        <v>0.25</v>
      </c>
      <c r="AC152" s="281">
        <f>+AB152</f>
        <v>0.25</v>
      </c>
      <c r="AD152" s="277"/>
      <c r="AE152" s="279">
        <f>+'Plan de Accion Misional'!BK20</f>
        <v>0</v>
      </c>
      <c r="AF152" s="315">
        <f>+'Plan de Accion Misional'!BX20</f>
        <v>0</v>
      </c>
      <c r="AG152" s="276">
        <f t="shared" si="54"/>
        <v>0</v>
      </c>
      <c r="AH152" s="315">
        <f>+'Plan de Accion Misional'!BO20</f>
        <v>0.25</v>
      </c>
      <c r="AI152" s="275">
        <f>IF(AH152&gt;100%,100%,AH152)</f>
        <v>0.25</v>
      </c>
      <c r="AJ152" s="996"/>
      <c r="AK152" s="302"/>
      <c r="AL152" s="1019"/>
      <c r="AM152" s="998"/>
      <c r="AN152" s="267"/>
      <c r="AO152" s="1019"/>
      <c r="AP152" s="998"/>
      <c r="AQ152" s="267"/>
      <c r="AR152" s="1019"/>
      <c r="AS152" s="998"/>
      <c r="AT152" s="267"/>
      <c r="AU152" s="1019"/>
      <c r="AV152" s="998"/>
      <c r="AW152" s="265"/>
      <c r="AX152" s="1016"/>
      <c r="AY152" s="301"/>
      <c r="AZ152" s="1019"/>
      <c r="BA152" s="998"/>
      <c r="BB152" s="267"/>
      <c r="BC152" s="1019"/>
      <c r="BD152" s="998"/>
      <c r="BE152" s="267"/>
      <c r="BF152" s="1019"/>
      <c r="BG152" s="998"/>
      <c r="BH152" s="267"/>
      <c r="BI152" s="1019"/>
      <c r="BJ152" s="998"/>
      <c r="BK152" s="265"/>
      <c r="BL152" s="1016"/>
      <c r="BN152" s="1019"/>
      <c r="BO152" s="998"/>
      <c r="BP152" s="267"/>
      <c r="BQ152" s="1019"/>
      <c r="BR152" s="998"/>
      <c r="BS152" s="267"/>
      <c r="BT152" s="1019"/>
      <c r="BU152" s="998"/>
      <c r="BV152" s="267"/>
      <c r="BW152" s="1019"/>
      <c r="BX152" s="998"/>
      <c r="BY152" s="265"/>
      <c r="BZ152" s="1016"/>
      <c r="CB152" s="1019"/>
      <c r="CC152" s="998"/>
      <c r="CD152" s="267"/>
      <c r="CE152" s="1019"/>
      <c r="CF152" s="998"/>
      <c r="CG152" s="267"/>
      <c r="CH152" s="1019"/>
      <c r="CI152" s="998"/>
      <c r="CJ152" s="267"/>
      <c r="CK152" s="1019"/>
      <c r="CL152" s="998"/>
      <c r="CM152" s="265"/>
      <c r="CN152" s="1016"/>
    </row>
    <row r="153" spans="2:92" ht="105" customHeight="1" x14ac:dyDescent="0.2">
      <c r="B153" s="970"/>
      <c r="C153" s="1073" t="s">
        <v>60</v>
      </c>
      <c r="D153" s="958" t="s">
        <v>206</v>
      </c>
      <c r="E153" s="948" t="s">
        <v>125</v>
      </c>
      <c r="F153" s="948" t="s">
        <v>332</v>
      </c>
      <c r="G153" s="385" t="str">
        <f>+'Plan de Accion apoyo transversa'!X26</f>
        <v>Revisión, análisis y liquidación de sentencias condenatorias</v>
      </c>
      <c r="H153" s="280" t="str">
        <f>+'Plan de Accion apoyo transversa'!AK26</f>
        <v># sentencias condenatorias en firme contra ADRES cuyo sentido de las mismas nos requiere el reconocimiento y pago de intereses moratorios, corrientes bancarios y/o indexaciones efectivamente entregadas para liquidación / # liquidaciones de intereses y/o indexaciones proyectadas</v>
      </c>
      <c r="J153" s="279">
        <f>+'Plan de Accion apoyo transversa'!AT26</f>
        <v>0</v>
      </c>
      <c r="K153" s="615" t="str">
        <f>+'Plan de Accion apoyo transversa'!CE26</f>
        <v>No Prog ni Ejec</v>
      </c>
      <c r="L153" s="615" t="s">
        <v>206</v>
      </c>
      <c r="M153" s="615">
        <f>+'Plan de Accion apoyo transversa'!AX26</f>
        <v>0</v>
      </c>
      <c r="N153" s="615">
        <f t="shared" si="47"/>
        <v>0</v>
      </c>
      <c r="O153" s="617" t="s">
        <v>206</v>
      </c>
      <c r="P153" s="277"/>
      <c r="Q153" s="279">
        <f>+'Plan de Accion apoyo transversa'!BD26</f>
        <v>0</v>
      </c>
      <c r="R153" s="315">
        <f>+'Plan de Accion apoyo transversa'!CG26</f>
        <v>0</v>
      </c>
      <c r="S153" s="276">
        <f t="shared" ref="S153:S158" si="56">IF(R153&gt;100%,100%,R153)</f>
        <v>0</v>
      </c>
      <c r="T153" s="373">
        <f>+'Plan de Accion apoyo transversa'!BH26</f>
        <v>0</v>
      </c>
      <c r="U153" s="373">
        <f t="shared" si="52"/>
        <v>0</v>
      </c>
      <c r="V153" s="275">
        <f t="shared" ref="V153:V158" si="57">+U153</f>
        <v>0</v>
      </c>
      <c r="W153" s="278"/>
      <c r="X153" s="279">
        <f>+'Plan de Accion apoyo transversa'!BN26</f>
        <v>0</v>
      </c>
      <c r="Y153" s="315" t="str">
        <f>+'Plan de Accion apoyo transversa'!CI26</f>
        <v>No Prog ni Ejec</v>
      </c>
      <c r="Z153" s="276" t="s">
        <v>206</v>
      </c>
      <c r="AA153" s="282">
        <f>+'Plan de Accion apoyo transversa'!BR26</f>
        <v>0</v>
      </c>
      <c r="AB153" s="282">
        <f t="shared" si="53"/>
        <v>0</v>
      </c>
      <c r="AC153" s="281">
        <f t="shared" ref="AC153:AC158" si="58">+AB153</f>
        <v>0</v>
      </c>
      <c r="AD153" s="277"/>
      <c r="AE153" s="279">
        <f>+'Plan de Accion apoyo transversa'!BX26</f>
        <v>0</v>
      </c>
      <c r="AF153" s="315">
        <f>+'Plan de Accion apoyo transversa'!CK26</f>
        <v>0</v>
      </c>
      <c r="AG153" s="276">
        <f t="shared" ref="AG153:AG159" si="59">IF(AF153&gt;100%,100%,AF153)</f>
        <v>0</v>
      </c>
      <c r="AH153" s="315">
        <f>+'Plan de Accion apoyo transversa'!CB26</f>
        <v>0</v>
      </c>
      <c r="AI153" s="275">
        <f t="shared" si="55"/>
        <v>0</v>
      </c>
      <c r="AJ153" s="996"/>
      <c r="AK153" s="302"/>
      <c r="AL153" s="1019"/>
      <c r="AM153" s="998"/>
      <c r="AN153" s="267"/>
      <c r="AO153" s="1019"/>
      <c r="AP153" s="998"/>
      <c r="AQ153" s="267"/>
      <c r="AR153" s="1019"/>
      <c r="AS153" s="998"/>
      <c r="AT153" s="267"/>
      <c r="AU153" s="1019"/>
      <c r="AV153" s="998"/>
      <c r="AW153" s="265"/>
      <c r="AX153" s="1016"/>
      <c r="AY153" s="301"/>
      <c r="AZ153" s="1019"/>
      <c r="BA153" s="998"/>
      <c r="BB153" s="267"/>
      <c r="BC153" s="1019"/>
      <c r="BD153" s="998"/>
      <c r="BE153" s="267"/>
      <c r="BF153" s="1019"/>
      <c r="BG153" s="998"/>
      <c r="BH153" s="267"/>
      <c r="BI153" s="1019"/>
      <c r="BJ153" s="998"/>
      <c r="BK153" s="265"/>
      <c r="BL153" s="1016"/>
      <c r="BN153" s="1019"/>
      <c r="BO153" s="998"/>
      <c r="BP153" s="267"/>
      <c r="BQ153" s="1019"/>
      <c r="BR153" s="998"/>
      <c r="BS153" s="267"/>
      <c r="BT153" s="1019"/>
      <c r="BU153" s="998"/>
      <c r="BV153" s="267"/>
      <c r="BW153" s="1019"/>
      <c r="BX153" s="998"/>
      <c r="BY153" s="265"/>
      <c r="BZ153" s="1016"/>
      <c r="CB153" s="1019"/>
      <c r="CC153" s="998"/>
      <c r="CD153" s="267"/>
      <c r="CE153" s="1019"/>
      <c r="CF153" s="998"/>
      <c r="CG153" s="267"/>
      <c r="CH153" s="1019"/>
      <c r="CI153" s="998"/>
      <c r="CJ153" s="267"/>
      <c r="CK153" s="1019"/>
      <c r="CL153" s="998"/>
      <c r="CM153" s="265"/>
      <c r="CN153" s="1016"/>
    </row>
    <row r="154" spans="2:92" ht="105" customHeight="1" x14ac:dyDescent="0.2">
      <c r="B154" s="970"/>
      <c r="C154" s="1074"/>
      <c r="D154" s="943"/>
      <c r="E154" s="949"/>
      <c r="F154" s="949"/>
      <c r="G154" s="385" t="str">
        <f>+'Plan de Accion apoyo transversa'!X31</f>
        <v>Demandas Contestadas Oportunamente</v>
      </c>
      <c r="H154" s="280" t="str">
        <f>+'Plan de Accion apoyo transversa'!AK31</f>
        <v># Demandas Contestadas Oportunamente / # Demandas en término de contestación en el trimestre</v>
      </c>
      <c r="J154" s="279">
        <f>+'Plan de Accion apoyo transversa'!AT31</f>
        <v>0.25</v>
      </c>
      <c r="K154" s="615">
        <f>+'Plan de Accion apoyo transversa'!CE31</f>
        <v>1</v>
      </c>
      <c r="L154" s="615">
        <f>IF(K154&gt;100%,100%,K154)</f>
        <v>1</v>
      </c>
      <c r="M154" s="615">
        <f>+'Plan de Accion apoyo transversa'!AX31</f>
        <v>0.25</v>
      </c>
      <c r="N154" s="615">
        <f t="shared" si="47"/>
        <v>0.25</v>
      </c>
      <c r="O154" s="617">
        <f>+N154</f>
        <v>0.25</v>
      </c>
      <c r="P154" s="277"/>
      <c r="Q154" s="279">
        <f>+'Plan de Accion apoyo transversa'!BD31</f>
        <v>0</v>
      </c>
      <c r="R154" s="315">
        <f>+'Plan de Accion apoyo transversa'!CG31</f>
        <v>0</v>
      </c>
      <c r="S154" s="276">
        <f t="shared" si="56"/>
        <v>0</v>
      </c>
      <c r="T154" s="373">
        <f>+'Plan de Accion apoyo transversa'!BH31</f>
        <v>0.25</v>
      </c>
      <c r="U154" s="373">
        <f t="shared" si="52"/>
        <v>0.25</v>
      </c>
      <c r="V154" s="275">
        <f t="shared" si="57"/>
        <v>0.25</v>
      </c>
      <c r="W154" s="278"/>
      <c r="X154" s="279">
        <f>+'Plan de Accion apoyo transversa'!BN31</f>
        <v>0</v>
      </c>
      <c r="Y154" s="315">
        <f>+'Plan de Accion apoyo transversa'!CI31</f>
        <v>0</v>
      </c>
      <c r="Z154" s="276">
        <f>IF(Y154&gt;100%,100%,Y154)</f>
        <v>0</v>
      </c>
      <c r="AA154" s="282">
        <f>+'Plan de Accion apoyo transversa'!BR31</f>
        <v>0.25</v>
      </c>
      <c r="AB154" s="282">
        <f t="shared" si="53"/>
        <v>0.25</v>
      </c>
      <c r="AC154" s="281">
        <f t="shared" si="58"/>
        <v>0.25</v>
      </c>
      <c r="AD154" s="277"/>
      <c r="AE154" s="279">
        <f>+'Plan de Accion apoyo transversa'!BX31</f>
        <v>0</v>
      </c>
      <c r="AF154" s="315">
        <f>+'Plan de Accion apoyo transversa'!CK31</f>
        <v>0</v>
      </c>
      <c r="AG154" s="276">
        <f t="shared" si="59"/>
        <v>0</v>
      </c>
      <c r="AH154" s="315">
        <f>+'Plan de Accion apoyo transversa'!CB31</f>
        <v>0.25</v>
      </c>
      <c r="AI154" s="275">
        <f t="shared" si="55"/>
        <v>0.25</v>
      </c>
      <c r="AJ154" s="996"/>
      <c r="AK154" s="302"/>
      <c r="AL154" s="1019"/>
      <c r="AM154" s="998"/>
      <c r="AN154" s="267"/>
      <c r="AO154" s="1019"/>
      <c r="AP154" s="998"/>
      <c r="AQ154" s="267"/>
      <c r="AR154" s="1019"/>
      <c r="AS154" s="998"/>
      <c r="AT154" s="267"/>
      <c r="AU154" s="1019"/>
      <c r="AV154" s="998"/>
      <c r="AW154" s="265"/>
      <c r="AX154" s="1016"/>
      <c r="AY154" s="301"/>
      <c r="AZ154" s="1019"/>
      <c r="BA154" s="998"/>
      <c r="BB154" s="267"/>
      <c r="BC154" s="1019"/>
      <c r="BD154" s="998"/>
      <c r="BE154" s="267"/>
      <c r="BF154" s="1019"/>
      <c r="BG154" s="998"/>
      <c r="BH154" s="267"/>
      <c r="BI154" s="1019"/>
      <c r="BJ154" s="998"/>
      <c r="BK154" s="265"/>
      <c r="BL154" s="1016"/>
      <c r="BN154" s="1019"/>
      <c r="BO154" s="998"/>
      <c r="BP154" s="267"/>
      <c r="BQ154" s="1019"/>
      <c r="BR154" s="998"/>
      <c r="BS154" s="267"/>
      <c r="BT154" s="1019"/>
      <c r="BU154" s="998"/>
      <c r="BV154" s="267"/>
      <c r="BW154" s="1019"/>
      <c r="BX154" s="998"/>
      <c r="BY154" s="265"/>
      <c r="BZ154" s="1016"/>
      <c r="CB154" s="1019"/>
      <c r="CC154" s="998"/>
      <c r="CD154" s="267"/>
      <c r="CE154" s="1019"/>
      <c r="CF154" s="998"/>
      <c r="CG154" s="267"/>
      <c r="CH154" s="1019"/>
      <c r="CI154" s="998"/>
      <c r="CJ154" s="267"/>
      <c r="CK154" s="1019"/>
      <c r="CL154" s="998"/>
      <c r="CM154" s="265"/>
      <c r="CN154" s="1016"/>
    </row>
    <row r="155" spans="2:92" ht="105" customHeight="1" x14ac:dyDescent="0.2">
      <c r="B155" s="970"/>
      <c r="C155" s="1074"/>
      <c r="D155" s="943"/>
      <c r="E155" s="949"/>
      <c r="F155" s="949"/>
      <c r="G155" s="385" t="str">
        <f>+'Plan de Accion apoyo transversa'!X32</f>
        <v>Respuestas a solicitudes de pruebas</v>
      </c>
      <c r="H155" s="280" t="str">
        <f>+'Plan de Accion apoyo transversa'!AK32</f>
        <v># Respuestas a solicitudes de pruebas en términos / # peticiones realizadas en término de contestación en el trimestre</v>
      </c>
      <c r="J155" s="279">
        <f>+'Plan de Accion apoyo transversa'!AT32</f>
        <v>0.25</v>
      </c>
      <c r="K155" s="615">
        <f>+'Plan de Accion apoyo transversa'!CE32</f>
        <v>1</v>
      </c>
      <c r="L155" s="615">
        <f>IF(K155&gt;100%,100%,K155)</f>
        <v>1</v>
      </c>
      <c r="M155" s="615">
        <f>+'Plan de Accion apoyo transversa'!AX32</f>
        <v>0.25</v>
      </c>
      <c r="N155" s="615">
        <f t="shared" si="47"/>
        <v>0.25</v>
      </c>
      <c r="O155" s="617">
        <f>+N155</f>
        <v>0.25</v>
      </c>
      <c r="P155" s="277"/>
      <c r="Q155" s="279">
        <f>+'Plan de Accion apoyo transversa'!BD32</f>
        <v>0</v>
      </c>
      <c r="R155" s="315">
        <f>+'Plan de Accion apoyo transversa'!CG32</f>
        <v>0</v>
      </c>
      <c r="S155" s="276">
        <f t="shared" si="56"/>
        <v>0</v>
      </c>
      <c r="T155" s="373">
        <f>+'Plan de Accion apoyo transversa'!BH32</f>
        <v>0.25</v>
      </c>
      <c r="U155" s="373">
        <f t="shared" si="52"/>
        <v>0.25</v>
      </c>
      <c r="V155" s="275">
        <f t="shared" si="57"/>
        <v>0.25</v>
      </c>
      <c r="W155" s="278"/>
      <c r="X155" s="279">
        <f>+'Plan de Accion apoyo transversa'!BN32</f>
        <v>0</v>
      </c>
      <c r="Y155" s="315">
        <f>+'Plan de Accion apoyo transversa'!CI32</f>
        <v>0</v>
      </c>
      <c r="Z155" s="276">
        <f>IF(Y155&gt;100%,100%,Y155)</f>
        <v>0</v>
      </c>
      <c r="AA155" s="282">
        <f>+'Plan de Accion apoyo transversa'!BR32</f>
        <v>0.25</v>
      </c>
      <c r="AB155" s="282">
        <f t="shared" si="53"/>
        <v>0.25</v>
      </c>
      <c r="AC155" s="281">
        <f t="shared" si="58"/>
        <v>0.25</v>
      </c>
      <c r="AD155" s="277"/>
      <c r="AE155" s="279">
        <f>+'Plan de Accion apoyo transversa'!BX32</f>
        <v>0</v>
      </c>
      <c r="AF155" s="315">
        <f>+'Plan de Accion apoyo transversa'!CK32</f>
        <v>0</v>
      </c>
      <c r="AG155" s="276">
        <f t="shared" si="59"/>
        <v>0</v>
      </c>
      <c r="AH155" s="315">
        <f>+'Plan de Accion apoyo transversa'!CB32</f>
        <v>0.25</v>
      </c>
      <c r="AI155" s="275">
        <f t="shared" si="55"/>
        <v>0.25</v>
      </c>
      <c r="AJ155" s="996"/>
      <c r="AK155" s="302"/>
      <c r="AL155" s="1019"/>
      <c r="AM155" s="998"/>
      <c r="AN155" s="267"/>
      <c r="AO155" s="1019"/>
      <c r="AP155" s="998"/>
      <c r="AQ155" s="267"/>
      <c r="AR155" s="1019"/>
      <c r="AS155" s="998"/>
      <c r="AT155" s="267"/>
      <c r="AU155" s="1019"/>
      <c r="AV155" s="998"/>
      <c r="AW155" s="265"/>
      <c r="AX155" s="1016"/>
      <c r="AY155" s="301"/>
      <c r="AZ155" s="1019"/>
      <c r="BA155" s="998"/>
      <c r="BB155" s="267"/>
      <c r="BC155" s="1019"/>
      <c r="BD155" s="998"/>
      <c r="BE155" s="267"/>
      <c r="BF155" s="1019"/>
      <c r="BG155" s="998"/>
      <c r="BH155" s="267"/>
      <c r="BI155" s="1019"/>
      <c r="BJ155" s="998"/>
      <c r="BK155" s="265"/>
      <c r="BL155" s="1016"/>
      <c r="BN155" s="1019"/>
      <c r="BO155" s="998"/>
      <c r="BP155" s="267"/>
      <c r="BQ155" s="1019"/>
      <c r="BR155" s="998"/>
      <c r="BS155" s="267"/>
      <c r="BT155" s="1019"/>
      <c r="BU155" s="998"/>
      <c r="BV155" s="267"/>
      <c r="BW155" s="1019"/>
      <c r="BX155" s="998"/>
      <c r="BY155" s="265"/>
      <c r="BZ155" s="1016"/>
      <c r="CB155" s="1019"/>
      <c r="CC155" s="998"/>
      <c r="CD155" s="267"/>
      <c r="CE155" s="1019"/>
      <c r="CF155" s="998"/>
      <c r="CG155" s="267"/>
      <c r="CH155" s="1019"/>
      <c r="CI155" s="998"/>
      <c r="CJ155" s="267"/>
      <c r="CK155" s="1019"/>
      <c r="CL155" s="998"/>
      <c r="CM155" s="265"/>
      <c r="CN155" s="1016"/>
    </row>
    <row r="156" spans="2:92" ht="105" customHeight="1" x14ac:dyDescent="0.2">
      <c r="B156" s="970"/>
      <c r="C156" s="1074"/>
      <c r="D156" s="943"/>
      <c r="E156" s="949"/>
      <c r="F156" s="949"/>
      <c r="G156" s="385" t="str">
        <f>+'Plan de Accion apoyo transversa'!X35</f>
        <v>Recurrir los Actos Administrativos interpuestos por COLPENSIONES</v>
      </c>
      <c r="H156" s="280" t="str">
        <f>+'Plan de Accion apoyo transversa'!AK35</f>
        <v># Recursos interpuestos oportunamente contra actos administrativos expedidos por Colpensiones / # Actos administrativos expedidos por Colpensiones notificados por aviso a la Entidad</v>
      </c>
      <c r="J156" s="279">
        <f>+'Plan de Accion apoyo transversa'!AT35</f>
        <v>0.25</v>
      </c>
      <c r="K156" s="615">
        <f>+'Plan de Accion apoyo transversa'!CE35</f>
        <v>1</v>
      </c>
      <c r="L156" s="615">
        <f>IF(K156&gt;100%,100%,K156)</f>
        <v>1</v>
      </c>
      <c r="M156" s="615">
        <f>+'Plan de Accion apoyo transversa'!AX35</f>
        <v>0.25</v>
      </c>
      <c r="N156" s="615">
        <f t="shared" si="47"/>
        <v>0.25</v>
      </c>
      <c r="O156" s="617">
        <f>+N156</f>
        <v>0.25</v>
      </c>
      <c r="P156" s="277"/>
      <c r="Q156" s="279">
        <f>+'Plan de Accion apoyo transversa'!BD35</f>
        <v>0</v>
      </c>
      <c r="R156" s="315">
        <f>+'Plan de Accion apoyo transversa'!CG35</f>
        <v>0</v>
      </c>
      <c r="S156" s="276">
        <f t="shared" si="56"/>
        <v>0</v>
      </c>
      <c r="T156" s="373">
        <f>+'Plan de Accion apoyo transversa'!BH35</f>
        <v>0.25</v>
      </c>
      <c r="U156" s="373">
        <f t="shared" si="52"/>
        <v>0.25</v>
      </c>
      <c r="V156" s="275">
        <f t="shared" si="57"/>
        <v>0.25</v>
      </c>
      <c r="W156" s="278"/>
      <c r="X156" s="279">
        <f>+'Plan de Accion apoyo transversa'!BN35</f>
        <v>0</v>
      </c>
      <c r="Y156" s="315">
        <f>+'Plan de Accion apoyo transversa'!CI35</f>
        <v>0</v>
      </c>
      <c r="Z156" s="276">
        <f>IF(Y156&gt;100%,100%,Y156)</f>
        <v>0</v>
      </c>
      <c r="AA156" s="282">
        <f>+'Plan de Accion apoyo transversa'!BR35</f>
        <v>0.25</v>
      </c>
      <c r="AB156" s="282">
        <f t="shared" si="53"/>
        <v>0.25</v>
      </c>
      <c r="AC156" s="281">
        <f t="shared" si="58"/>
        <v>0.25</v>
      </c>
      <c r="AD156" s="277"/>
      <c r="AE156" s="279">
        <f>+'Plan de Accion apoyo transversa'!BX35</f>
        <v>0</v>
      </c>
      <c r="AF156" s="315">
        <f>+'Plan de Accion apoyo transversa'!CK35</f>
        <v>0</v>
      </c>
      <c r="AG156" s="276">
        <f t="shared" si="59"/>
        <v>0</v>
      </c>
      <c r="AH156" s="315">
        <f>+'Plan de Accion apoyo transversa'!CB35</f>
        <v>0.25</v>
      </c>
      <c r="AI156" s="275">
        <f t="shared" si="55"/>
        <v>0.25</v>
      </c>
      <c r="AJ156" s="996"/>
      <c r="AK156" s="302"/>
      <c r="AL156" s="1019"/>
      <c r="AM156" s="998"/>
      <c r="AN156" s="267"/>
      <c r="AO156" s="1019"/>
      <c r="AP156" s="998"/>
      <c r="AQ156" s="267"/>
      <c r="AR156" s="1019"/>
      <c r="AS156" s="998"/>
      <c r="AT156" s="267"/>
      <c r="AU156" s="1019"/>
      <c r="AV156" s="998"/>
      <c r="AW156" s="265"/>
      <c r="AX156" s="1016"/>
      <c r="AY156" s="301"/>
      <c r="AZ156" s="1019"/>
      <c r="BA156" s="998"/>
      <c r="BB156" s="267"/>
      <c r="BC156" s="1019"/>
      <c r="BD156" s="998"/>
      <c r="BE156" s="267"/>
      <c r="BF156" s="1019"/>
      <c r="BG156" s="998"/>
      <c r="BH156" s="267"/>
      <c r="BI156" s="1019"/>
      <c r="BJ156" s="998"/>
      <c r="BK156" s="265"/>
      <c r="BL156" s="1016"/>
      <c r="BN156" s="1019"/>
      <c r="BO156" s="998"/>
      <c r="BP156" s="267"/>
      <c r="BQ156" s="1019"/>
      <c r="BR156" s="998"/>
      <c r="BS156" s="267"/>
      <c r="BT156" s="1019"/>
      <c r="BU156" s="998"/>
      <c r="BV156" s="267"/>
      <c r="BW156" s="1019"/>
      <c r="BX156" s="998"/>
      <c r="BY156" s="265"/>
      <c r="BZ156" s="1016"/>
      <c r="CB156" s="1019"/>
      <c r="CC156" s="998"/>
      <c r="CD156" s="267"/>
      <c r="CE156" s="1019"/>
      <c r="CF156" s="998"/>
      <c r="CG156" s="267"/>
      <c r="CH156" s="1019"/>
      <c r="CI156" s="998"/>
      <c r="CJ156" s="267"/>
      <c r="CK156" s="1019"/>
      <c r="CL156" s="998"/>
      <c r="CM156" s="265"/>
      <c r="CN156" s="1016"/>
    </row>
    <row r="157" spans="2:92" ht="105" customHeight="1" x14ac:dyDescent="0.2">
      <c r="B157" s="970"/>
      <c r="C157" s="1074"/>
      <c r="D157" s="943"/>
      <c r="E157" s="949"/>
      <c r="F157" s="949"/>
      <c r="G157" s="385" t="str">
        <f>+'Plan de Accion apoyo transversa'!X36</f>
        <v>Respuestas a reclamaciones</v>
      </c>
      <c r="H157" s="280" t="str">
        <f>+'Plan de Accion apoyo transversa'!AK36</f>
        <v># Respuestas a reclamaciones / # solicitudes de reclamación radicadas por las EPS en el mes anterior</v>
      </c>
      <c r="J157" s="279">
        <f>+'Plan de Accion apoyo transversa'!AT36</f>
        <v>0</v>
      </c>
      <c r="K157" s="615">
        <f>+'Plan de Accion apoyo transversa'!CE36</f>
        <v>0</v>
      </c>
      <c r="L157" s="615">
        <f>IF(K157&gt;100%,100%,K157)</f>
        <v>0</v>
      </c>
      <c r="M157" s="615">
        <f>+'Plan de Accion apoyo transversa'!AX36</f>
        <v>0</v>
      </c>
      <c r="N157" s="615">
        <f t="shared" si="47"/>
        <v>0</v>
      </c>
      <c r="O157" s="617">
        <f>+N157</f>
        <v>0</v>
      </c>
      <c r="P157" s="277"/>
      <c r="Q157" s="279">
        <f>+'Plan de Accion apoyo transversa'!BD36</f>
        <v>0</v>
      </c>
      <c r="R157" s="315">
        <f>+'Plan de Accion apoyo transversa'!CG36</f>
        <v>0</v>
      </c>
      <c r="S157" s="276">
        <f t="shared" si="56"/>
        <v>0</v>
      </c>
      <c r="T157" s="373">
        <f>+'Plan de Accion apoyo transversa'!BH36</f>
        <v>0</v>
      </c>
      <c r="U157" s="373">
        <f t="shared" si="52"/>
        <v>0</v>
      </c>
      <c r="V157" s="275">
        <f t="shared" si="57"/>
        <v>0</v>
      </c>
      <c r="W157" s="278"/>
      <c r="X157" s="279">
        <f>+'Plan de Accion apoyo transversa'!BN36</f>
        <v>0</v>
      </c>
      <c r="Y157" s="315">
        <f>+'Plan de Accion apoyo transversa'!CI36</f>
        <v>0</v>
      </c>
      <c r="Z157" s="276">
        <f>IF(Y157&gt;100%,100%,Y157)</f>
        <v>0</v>
      </c>
      <c r="AA157" s="282">
        <f>+'Plan de Accion apoyo transversa'!BR36</f>
        <v>0</v>
      </c>
      <c r="AB157" s="282">
        <f t="shared" si="53"/>
        <v>0</v>
      </c>
      <c r="AC157" s="281">
        <f t="shared" si="58"/>
        <v>0</v>
      </c>
      <c r="AD157" s="277"/>
      <c r="AE157" s="279">
        <f>+'Plan de Accion apoyo transversa'!BX36</f>
        <v>0</v>
      </c>
      <c r="AF157" s="315">
        <f>+'Plan de Accion apoyo transversa'!CK36</f>
        <v>0</v>
      </c>
      <c r="AG157" s="276">
        <f t="shared" si="59"/>
        <v>0</v>
      </c>
      <c r="AH157" s="315">
        <f>+'Plan de Accion apoyo transversa'!CB36</f>
        <v>0</v>
      </c>
      <c r="AI157" s="275">
        <f t="shared" si="55"/>
        <v>0</v>
      </c>
      <c r="AJ157" s="996"/>
      <c r="AK157" s="302"/>
      <c r="AL157" s="1019"/>
      <c r="AM157" s="998"/>
      <c r="AN157" s="267"/>
      <c r="AO157" s="1019"/>
      <c r="AP157" s="998"/>
      <c r="AQ157" s="267"/>
      <c r="AR157" s="1019"/>
      <c r="AS157" s="998"/>
      <c r="AT157" s="267"/>
      <c r="AU157" s="1019"/>
      <c r="AV157" s="998"/>
      <c r="AW157" s="265"/>
      <c r="AX157" s="1016"/>
      <c r="AY157" s="301"/>
      <c r="AZ157" s="1019"/>
      <c r="BA157" s="998"/>
      <c r="BB157" s="267"/>
      <c r="BC157" s="1019"/>
      <c r="BD157" s="998"/>
      <c r="BE157" s="267"/>
      <c r="BF157" s="1019"/>
      <c r="BG157" s="998"/>
      <c r="BH157" s="267"/>
      <c r="BI157" s="1019"/>
      <c r="BJ157" s="998"/>
      <c r="BK157" s="265"/>
      <c r="BL157" s="1016"/>
      <c r="BN157" s="1019"/>
      <c r="BO157" s="998"/>
      <c r="BP157" s="267"/>
      <c r="BQ157" s="1019"/>
      <c r="BR157" s="998"/>
      <c r="BS157" s="267"/>
      <c r="BT157" s="1019"/>
      <c r="BU157" s="998"/>
      <c r="BV157" s="267"/>
      <c r="BW157" s="1019"/>
      <c r="BX157" s="998"/>
      <c r="BY157" s="265"/>
      <c r="BZ157" s="1016"/>
      <c r="CB157" s="1019"/>
      <c r="CC157" s="998"/>
      <c r="CD157" s="267"/>
      <c r="CE157" s="1019"/>
      <c r="CF157" s="998"/>
      <c r="CG157" s="267"/>
      <c r="CH157" s="1019"/>
      <c r="CI157" s="998"/>
      <c r="CJ157" s="267"/>
      <c r="CK157" s="1019"/>
      <c r="CL157" s="998"/>
      <c r="CM157" s="265"/>
      <c r="CN157" s="1016"/>
    </row>
    <row r="158" spans="2:92" ht="105" customHeight="1" x14ac:dyDescent="0.2">
      <c r="B158" s="970"/>
      <c r="C158" s="1075"/>
      <c r="D158" s="944"/>
      <c r="E158" s="950"/>
      <c r="F158" s="950"/>
      <c r="G158" s="385" t="str">
        <f>+'Plan de Accion apoyo transversa'!X40</f>
        <v xml:space="preserve">Atender las solicitudes de informes derivadas de acciones constitucionales </v>
      </c>
      <c r="H158" s="280" t="str">
        <f>+'Plan de Accion apoyo transversa'!AK40</f>
        <v># Acciones constitucionales tramitadas Oportunamente / # Acciones constitucionales  radicadas que requieren Trámite</v>
      </c>
      <c r="J158" s="279">
        <f>+'Plan de Accion apoyo transversa'!AT40</f>
        <v>0.24055225317968984</v>
      </c>
      <c r="K158" s="615">
        <f>+'Plan de Accion apoyo transversa'!CE40</f>
        <v>0.96220901271875936</v>
      </c>
      <c r="L158" s="615">
        <f>IF(K158&gt;100%,100%,K158)</f>
        <v>0.96220901271875936</v>
      </c>
      <c r="M158" s="615">
        <f>+'Plan de Accion apoyo transversa'!AX40</f>
        <v>0.24055225317968984</v>
      </c>
      <c r="N158" s="615">
        <f t="shared" si="47"/>
        <v>0.24055225317968984</v>
      </c>
      <c r="O158" s="617">
        <f>+N158</f>
        <v>0.24055225317968984</v>
      </c>
      <c r="P158" s="277"/>
      <c r="Q158" s="279">
        <f>+'Plan de Accion apoyo transversa'!BD40</f>
        <v>0</v>
      </c>
      <c r="R158" s="315">
        <f>+'Plan de Accion apoyo transversa'!CG40</f>
        <v>0</v>
      </c>
      <c r="S158" s="276">
        <f t="shared" si="56"/>
        <v>0</v>
      </c>
      <c r="T158" s="373">
        <f>+'Plan de Accion apoyo transversa'!BH40</f>
        <v>0.24055225317968984</v>
      </c>
      <c r="U158" s="373">
        <f t="shared" si="52"/>
        <v>0.24055225317968984</v>
      </c>
      <c r="V158" s="275">
        <f t="shared" si="57"/>
        <v>0.24055225317968984</v>
      </c>
      <c r="W158" s="278"/>
      <c r="X158" s="279">
        <f>+'Plan de Accion apoyo transversa'!BN40</f>
        <v>0</v>
      </c>
      <c r="Y158" s="315">
        <f>+'Plan de Accion apoyo transversa'!CI40</f>
        <v>0</v>
      </c>
      <c r="Z158" s="276">
        <f>IF(Y158&gt;100%,100%,Y158)</f>
        <v>0</v>
      </c>
      <c r="AA158" s="282">
        <f>+'Plan de Accion apoyo transversa'!BR40</f>
        <v>0.24055225317968984</v>
      </c>
      <c r="AB158" s="282">
        <f t="shared" si="53"/>
        <v>0.24055225317968984</v>
      </c>
      <c r="AC158" s="281">
        <f t="shared" si="58"/>
        <v>0.24055225317968984</v>
      </c>
      <c r="AD158" s="277"/>
      <c r="AE158" s="279">
        <f>+'Plan de Accion apoyo transversa'!BX40</f>
        <v>0</v>
      </c>
      <c r="AF158" s="315">
        <f>+'Plan de Accion apoyo transversa'!CK40</f>
        <v>0</v>
      </c>
      <c r="AG158" s="276">
        <f t="shared" si="59"/>
        <v>0</v>
      </c>
      <c r="AH158" s="315">
        <f>+'Plan de Accion apoyo transversa'!CB40</f>
        <v>0.24055225317968984</v>
      </c>
      <c r="AI158" s="275">
        <f t="shared" si="55"/>
        <v>0.24055225317968984</v>
      </c>
      <c r="AJ158" s="996"/>
      <c r="AK158" s="302"/>
      <c r="AL158" s="1019"/>
      <c r="AM158" s="998"/>
      <c r="AN158" s="267"/>
      <c r="AO158" s="1019"/>
      <c r="AP158" s="998"/>
      <c r="AQ158" s="267"/>
      <c r="AR158" s="1019"/>
      <c r="AS158" s="998"/>
      <c r="AT158" s="267"/>
      <c r="AU158" s="1019"/>
      <c r="AV158" s="998"/>
      <c r="AW158" s="265"/>
      <c r="AX158" s="1016"/>
      <c r="AY158" s="301"/>
      <c r="AZ158" s="1019"/>
      <c r="BA158" s="998"/>
      <c r="BB158" s="267"/>
      <c r="BC158" s="1019"/>
      <c r="BD158" s="998"/>
      <c r="BE158" s="267"/>
      <c r="BF158" s="1019"/>
      <c r="BG158" s="998"/>
      <c r="BH158" s="267"/>
      <c r="BI158" s="1019"/>
      <c r="BJ158" s="998"/>
      <c r="BK158" s="265"/>
      <c r="BL158" s="1016"/>
      <c r="BN158" s="1019"/>
      <c r="BO158" s="998"/>
      <c r="BP158" s="267"/>
      <c r="BQ158" s="1019"/>
      <c r="BR158" s="998"/>
      <c r="BS158" s="267"/>
      <c r="BT158" s="1019"/>
      <c r="BU158" s="998"/>
      <c r="BV158" s="267"/>
      <c r="BW158" s="1019"/>
      <c r="BX158" s="998"/>
      <c r="BY158" s="265"/>
      <c r="BZ158" s="1016"/>
      <c r="CB158" s="1019"/>
      <c r="CC158" s="998"/>
      <c r="CD158" s="267"/>
      <c r="CE158" s="1019"/>
      <c r="CF158" s="998"/>
      <c r="CG158" s="267"/>
      <c r="CH158" s="1019"/>
      <c r="CI158" s="998"/>
      <c r="CJ158" s="267"/>
      <c r="CK158" s="1019"/>
      <c r="CL158" s="998"/>
      <c r="CM158" s="265"/>
      <c r="CN158" s="1016"/>
    </row>
    <row r="159" spans="2:92" ht="100.5" customHeight="1" thickBot="1" x14ac:dyDescent="0.25">
      <c r="B159" s="970"/>
      <c r="C159" s="972" t="s">
        <v>94</v>
      </c>
      <c r="D159" s="1004" t="s">
        <v>206</v>
      </c>
      <c r="E159" s="945" t="s">
        <v>1</v>
      </c>
      <c r="F159" s="369" t="s">
        <v>332</v>
      </c>
      <c r="G159" s="385" t="str">
        <f>+'Plan de Accion apoyo transversa'!X9</f>
        <v>Sitio Web de la ADRES diseñado y en funcionamiento</v>
      </c>
      <c r="H159" s="280" t="str">
        <f>+'Plan de Accion apoyo transversa'!AK9</f>
        <v># Sitios Web de la ADRES diseñado y en funcionamiento</v>
      </c>
      <c r="J159" s="283">
        <f>+'Plan de Accion apoyo transversa'!AT9</f>
        <v>0</v>
      </c>
      <c r="K159" s="615" t="str">
        <f>+'Plan de Accion apoyo transversa'!CE9</f>
        <v>No Prog ni Ejec</v>
      </c>
      <c r="L159" s="615" t="s">
        <v>206</v>
      </c>
      <c r="M159" s="615">
        <f>+'Plan de Accion apoyo transversa'!AX9</f>
        <v>0</v>
      </c>
      <c r="N159" s="615">
        <f t="shared" si="47"/>
        <v>0</v>
      </c>
      <c r="O159" s="617" t="s">
        <v>206</v>
      </c>
      <c r="P159" s="277"/>
      <c r="Q159" s="283">
        <f>+'Plan de Accion apoyo transversa'!BD9</f>
        <v>0</v>
      </c>
      <c r="R159" s="315" t="str">
        <f>+'Plan de Accion apoyo transversa'!CG9</f>
        <v>No Prog ni Ejec</v>
      </c>
      <c r="S159" s="276" t="s">
        <v>206</v>
      </c>
      <c r="T159" s="373">
        <f>+'Plan de Accion apoyo transversa'!BH9</f>
        <v>0</v>
      </c>
      <c r="U159" s="373">
        <f t="shared" si="52"/>
        <v>0</v>
      </c>
      <c r="V159" s="275" t="s">
        <v>206</v>
      </c>
      <c r="W159" s="278"/>
      <c r="X159" s="283">
        <f>+'Plan de Accion apoyo transversa'!BN9</f>
        <v>0</v>
      </c>
      <c r="Y159" s="315" t="str">
        <f>+'Plan de Accion apoyo transversa'!CI9</f>
        <v>No Prog ni Ejec</v>
      </c>
      <c r="Z159" s="276" t="s">
        <v>206</v>
      </c>
      <c r="AA159" s="282">
        <f>+'Plan de Accion apoyo transversa'!BR9</f>
        <v>0</v>
      </c>
      <c r="AB159" s="282">
        <f t="shared" si="53"/>
        <v>0</v>
      </c>
      <c r="AC159" s="371" t="s">
        <v>206</v>
      </c>
      <c r="AD159" s="277"/>
      <c r="AE159" s="284">
        <f>+'Plan de Accion apoyo transversa'!BX9</f>
        <v>0</v>
      </c>
      <c r="AF159" s="315">
        <f>+'Plan de Accion apoyo transversa'!CK9</f>
        <v>0</v>
      </c>
      <c r="AG159" s="276">
        <f t="shared" si="59"/>
        <v>0</v>
      </c>
      <c r="AH159" s="315">
        <f>+'Plan de Accion apoyo transversa'!CB9</f>
        <v>0</v>
      </c>
      <c r="AI159" s="275">
        <f t="shared" si="55"/>
        <v>0</v>
      </c>
      <c r="AJ159" s="997"/>
      <c r="AK159" s="302"/>
      <c r="AL159" s="1020"/>
      <c r="AM159" s="999"/>
      <c r="AN159" s="267"/>
      <c r="AO159" s="1020"/>
      <c r="AP159" s="999"/>
      <c r="AQ159" s="267"/>
      <c r="AR159" s="1020"/>
      <c r="AS159" s="999"/>
      <c r="AT159" s="267"/>
      <c r="AU159" s="1020"/>
      <c r="AV159" s="999"/>
      <c r="AW159" s="265"/>
      <c r="AX159" s="1017"/>
      <c r="AY159" s="301"/>
      <c r="AZ159" s="1020"/>
      <c r="BA159" s="999"/>
      <c r="BB159" s="267"/>
      <c r="BC159" s="1020"/>
      <c r="BD159" s="999"/>
      <c r="BE159" s="267"/>
      <c r="BF159" s="1020"/>
      <c r="BG159" s="999"/>
      <c r="BH159" s="267"/>
      <c r="BI159" s="1020"/>
      <c r="BJ159" s="999"/>
      <c r="BK159" s="265"/>
      <c r="BL159" s="1017"/>
      <c r="BN159" s="1020"/>
      <c r="BO159" s="999"/>
      <c r="BP159" s="267"/>
      <c r="BQ159" s="1020"/>
      <c r="BR159" s="999"/>
      <c r="BS159" s="267"/>
      <c r="BT159" s="1020"/>
      <c r="BU159" s="999"/>
      <c r="BV159" s="267"/>
      <c r="BW159" s="1020"/>
      <c r="BX159" s="999"/>
      <c r="BY159" s="265"/>
      <c r="BZ159" s="1017"/>
      <c r="CB159" s="1020"/>
      <c r="CC159" s="999"/>
      <c r="CD159" s="267"/>
      <c r="CE159" s="1020"/>
      <c r="CF159" s="999"/>
      <c r="CG159" s="267"/>
      <c r="CH159" s="1020"/>
      <c r="CI159" s="999"/>
      <c r="CJ159" s="267"/>
      <c r="CK159" s="1020"/>
      <c r="CL159" s="999"/>
      <c r="CM159" s="265"/>
      <c r="CN159" s="1017"/>
    </row>
    <row r="160" spans="2:92" ht="42.75" x14ac:dyDescent="0.2">
      <c r="B160" s="970"/>
      <c r="C160" s="973"/>
      <c r="D160" s="1005"/>
      <c r="E160" s="946"/>
      <c r="F160" s="948" t="s">
        <v>338</v>
      </c>
      <c r="G160" s="385" t="str">
        <f>+'Plan de Accion apoyo transversa'!X14</f>
        <v>Informe de audiencia pública de rendición de cuentas</v>
      </c>
      <c r="H160" s="280" t="str">
        <f>+'Plan de Accion apoyo transversa'!AK14</f>
        <v># Informes e audiencia pública de rendición de cuentras</v>
      </c>
      <c r="J160" s="283">
        <f>+'Plan de Accion apoyo transversa'!AT14</f>
        <v>0</v>
      </c>
      <c r="K160" s="615" t="str">
        <f>+'Plan de Accion apoyo transversa'!CE14</f>
        <v>No Prog ni Ejec</v>
      </c>
      <c r="L160" s="615" t="s">
        <v>206</v>
      </c>
      <c r="M160" s="615">
        <f>+'Plan de Accion apoyo transversa'!AX14</f>
        <v>0</v>
      </c>
      <c r="N160" s="615">
        <f t="shared" si="47"/>
        <v>0</v>
      </c>
      <c r="O160" s="617" t="s">
        <v>206</v>
      </c>
      <c r="P160" s="277"/>
      <c r="Q160" s="283">
        <f>+'Plan de Accion apoyo transversa'!BD14</f>
        <v>0</v>
      </c>
      <c r="R160" s="315" t="str">
        <f>+'Plan de Accion apoyo transversa'!CG14</f>
        <v>No Prog ni Ejec</v>
      </c>
      <c r="S160" s="276" t="s">
        <v>206</v>
      </c>
      <c r="T160" s="373">
        <f>+'Plan de Accion apoyo transversa'!BH14</f>
        <v>0</v>
      </c>
      <c r="U160" s="373">
        <f t="shared" ref="U160:U165" si="60">IF(T160&gt;100%,100%,T160)</f>
        <v>0</v>
      </c>
      <c r="V160" s="275" t="s">
        <v>206</v>
      </c>
      <c r="W160" s="278"/>
      <c r="X160" s="283">
        <f>+'Plan de Accion apoyo transversa'!BN14</f>
        <v>0</v>
      </c>
      <c r="Y160" s="315">
        <f>+'Plan de Accion apoyo transversa'!CI14</f>
        <v>0</v>
      </c>
      <c r="Z160" s="276">
        <f t="shared" ref="Z160:Z165" si="61">IF(Y160&gt;100%,100%,Y160)</f>
        <v>0</v>
      </c>
      <c r="AA160" s="282">
        <f>+'Plan de Accion apoyo transversa'!BR14</f>
        <v>0</v>
      </c>
      <c r="AB160" s="282">
        <f t="shared" ref="AB160:AB165" si="62">IF(AA160&gt;100%,100%,AA160)</f>
        <v>0</v>
      </c>
      <c r="AC160" s="281">
        <f t="shared" ref="AC160:AC165" si="63">+AB160</f>
        <v>0</v>
      </c>
      <c r="AD160" s="277"/>
      <c r="AE160" s="284">
        <f>+'Plan de Accion apoyo transversa'!BX14</f>
        <v>0</v>
      </c>
      <c r="AF160" s="315" t="str">
        <f>+'Plan de Accion apoyo transversa'!CK14</f>
        <v>No Prog ni Ejec</v>
      </c>
      <c r="AG160" s="276" t="s">
        <v>206</v>
      </c>
      <c r="AH160" s="315">
        <f>+'Plan de Accion apoyo transversa'!CB14</f>
        <v>0</v>
      </c>
      <c r="AI160" s="275">
        <f t="shared" ref="AI160:AI165" si="64">IF(AH160&gt;100%,100%,AH160)</f>
        <v>0</v>
      </c>
      <c r="AJ160" s="274"/>
      <c r="AK160" s="302"/>
      <c r="AL160" s="304"/>
      <c r="AM160" s="271"/>
      <c r="AN160" s="267"/>
      <c r="AO160" s="305"/>
      <c r="AP160" s="271"/>
      <c r="AQ160" s="267"/>
      <c r="AR160" s="304"/>
      <c r="AS160" s="271"/>
      <c r="AT160" s="267"/>
      <c r="AU160" s="304"/>
      <c r="AV160" s="271"/>
      <c r="AW160" s="265"/>
      <c r="AX160" s="270"/>
      <c r="AY160" s="301"/>
      <c r="AZ160" s="304"/>
      <c r="BA160" s="271"/>
      <c r="BB160" s="267"/>
      <c r="BC160" s="305"/>
      <c r="BD160" s="271"/>
      <c r="BE160" s="267"/>
      <c r="BF160" s="304"/>
      <c r="BG160" s="271"/>
      <c r="BH160" s="267"/>
      <c r="BI160" s="304"/>
      <c r="BJ160" s="271"/>
      <c r="BK160" s="265"/>
      <c r="BL160" s="270"/>
      <c r="BN160" s="304"/>
      <c r="BO160" s="271"/>
      <c r="BP160" s="267"/>
      <c r="BQ160" s="305"/>
      <c r="BR160" s="271"/>
      <c r="BS160" s="267"/>
      <c r="BT160" s="304"/>
      <c r="BU160" s="271"/>
      <c r="BV160" s="267"/>
      <c r="BW160" s="304"/>
      <c r="BX160" s="271"/>
      <c r="BY160" s="265"/>
      <c r="BZ160" s="270"/>
      <c r="CB160" s="304"/>
      <c r="CC160" s="271"/>
      <c r="CD160" s="267"/>
      <c r="CE160" s="305"/>
      <c r="CF160" s="271"/>
      <c r="CG160" s="267"/>
      <c r="CH160" s="304"/>
      <c r="CI160" s="271"/>
      <c r="CJ160" s="267"/>
      <c r="CK160" s="304"/>
      <c r="CL160" s="271"/>
      <c r="CM160" s="265"/>
      <c r="CN160" s="270"/>
    </row>
    <row r="161" spans="2:92" ht="42.75" x14ac:dyDescent="0.2">
      <c r="B161" s="970"/>
      <c r="C161" s="973"/>
      <c r="D161" s="1005"/>
      <c r="E161" s="946"/>
      <c r="F161" s="949"/>
      <c r="G161" s="385" t="str">
        <f>+'Plan de Accion apoyo transversa'!X15</f>
        <v>Jornada de Sensibilización sobre la importancia de la Rendición de Cuentas</v>
      </c>
      <c r="H161" s="280" t="str">
        <f>+'Plan de Accion apoyo transversa'!AK15</f>
        <v># Jornadas de rendición de Cuentas interna realizadas</v>
      </c>
      <c r="J161" s="283">
        <f>+'Plan de Accion apoyo transversa'!AT15</f>
        <v>0</v>
      </c>
      <c r="K161" s="615" t="str">
        <f>+'Plan de Accion apoyo transversa'!CE15</f>
        <v>No Prog ni Ejec</v>
      </c>
      <c r="L161" s="615" t="s">
        <v>206</v>
      </c>
      <c r="M161" s="615">
        <f>+'Plan de Accion apoyo transversa'!AX15</f>
        <v>0</v>
      </c>
      <c r="N161" s="615">
        <f t="shared" si="47"/>
        <v>0</v>
      </c>
      <c r="O161" s="617" t="s">
        <v>206</v>
      </c>
      <c r="P161" s="277"/>
      <c r="Q161" s="283">
        <f>+'Plan de Accion apoyo transversa'!BD15</f>
        <v>0</v>
      </c>
      <c r="R161" s="315" t="str">
        <f>+'Plan de Accion apoyo transversa'!CG15</f>
        <v>No Prog ni Ejec</v>
      </c>
      <c r="S161" s="276" t="s">
        <v>206</v>
      </c>
      <c r="T161" s="373">
        <f>+'Plan de Accion apoyo transversa'!BH15</f>
        <v>0</v>
      </c>
      <c r="U161" s="373">
        <f t="shared" si="60"/>
        <v>0</v>
      </c>
      <c r="V161" s="275" t="s">
        <v>206</v>
      </c>
      <c r="W161" s="278"/>
      <c r="X161" s="283">
        <f>+'Plan de Accion apoyo transversa'!BN15</f>
        <v>0</v>
      </c>
      <c r="Y161" s="315">
        <f>+'Plan de Accion apoyo transversa'!CI15</f>
        <v>0</v>
      </c>
      <c r="Z161" s="276">
        <f t="shared" si="61"/>
        <v>0</v>
      </c>
      <c r="AA161" s="282">
        <f>+'Plan de Accion apoyo transversa'!BR15</f>
        <v>0</v>
      </c>
      <c r="AB161" s="282">
        <f t="shared" si="62"/>
        <v>0</v>
      </c>
      <c r="AC161" s="281">
        <f t="shared" si="63"/>
        <v>0</v>
      </c>
      <c r="AD161" s="277"/>
      <c r="AE161" s="284">
        <f>+'Plan de Accion apoyo transversa'!BX15</f>
        <v>0</v>
      </c>
      <c r="AF161" s="315" t="str">
        <f>+'Plan de Accion apoyo transversa'!CK15</f>
        <v>No Prog ni Ejec</v>
      </c>
      <c r="AG161" s="276" t="s">
        <v>206</v>
      </c>
      <c r="AH161" s="315">
        <f>+'Plan de Accion apoyo transversa'!CB15</f>
        <v>0</v>
      </c>
      <c r="AI161" s="275">
        <f t="shared" si="64"/>
        <v>0</v>
      </c>
      <c r="AJ161" s="274"/>
      <c r="AK161" s="302"/>
      <c r="AL161" s="304"/>
      <c r="AM161" s="271"/>
      <c r="AN161" s="267"/>
      <c r="AO161" s="305"/>
      <c r="AP161" s="271"/>
      <c r="AQ161" s="267"/>
      <c r="AR161" s="304"/>
      <c r="AS161" s="271"/>
      <c r="AT161" s="267"/>
      <c r="AU161" s="304"/>
      <c r="AV161" s="271"/>
      <c r="AW161" s="265"/>
      <c r="AX161" s="270"/>
      <c r="AY161" s="301"/>
      <c r="AZ161" s="304"/>
      <c r="BA161" s="271"/>
      <c r="BB161" s="267"/>
      <c r="BC161" s="305"/>
      <c r="BD161" s="271"/>
      <c r="BE161" s="267"/>
      <c r="BF161" s="304"/>
      <c r="BG161" s="271"/>
      <c r="BH161" s="267"/>
      <c r="BI161" s="304"/>
      <c r="BJ161" s="271"/>
      <c r="BK161" s="265"/>
      <c r="BL161" s="270"/>
      <c r="BN161" s="304"/>
      <c r="BO161" s="271"/>
      <c r="BP161" s="267"/>
      <c r="BQ161" s="305"/>
      <c r="BR161" s="271"/>
      <c r="BS161" s="267"/>
      <c r="BT161" s="304"/>
      <c r="BU161" s="271"/>
      <c r="BV161" s="267"/>
      <c r="BW161" s="304"/>
      <c r="BX161" s="271"/>
      <c r="BY161" s="265"/>
      <c r="BZ161" s="270"/>
      <c r="CB161" s="304"/>
      <c r="CC161" s="271"/>
      <c r="CD161" s="267"/>
      <c r="CE161" s="305"/>
      <c r="CF161" s="271"/>
      <c r="CG161" s="267"/>
      <c r="CH161" s="304"/>
      <c r="CI161" s="271"/>
      <c r="CJ161" s="267"/>
      <c r="CK161" s="304"/>
      <c r="CL161" s="271"/>
      <c r="CM161" s="265"/>
      <c r="CN161" s="270"/>
    </row>
    <row r="162" spans="2:92" ht="51.75" customHeight="1" x14ac:dyDescent="0.2">
      <c r="B162" s="970"/>
      <c r="C162" s="973"/>
      <c r="D162" s="1005"/>
      <c r="E162" s="946"/>
      <c r="F162" s="949"/>
      <c r="G162" s="385" t="str">
        <f>+'Plan de Accion apoyo transversa'!X16</f>
        <v>Una (1) pieza informativa sobre la rendición de cuentas publicada en medios electrónicos</v>
      </c>
      <c r="H162" s="280" t="str">
        <f>+'Plan de Accion apoyo transversa'!AK16</f>
        <v># Piezas informativas  rendición de cuentas publicadas en medios electrónicos</v>
      </c>
      <c r="J162" s="283">
        <f>+'Plan de Accion apoyo transversa'!AT16</f>
        <v>0</v>
      </c>
      <c r="K162" s="615" t="str">
        <f>+'Plan de Accion apoyo transversa'!CE16</f>
        <v>No Prog ni Ejec</v>
      </c>
      <c r="L162" s="615" t="s">
        <v>206</v>
      </c>
      <c r="M162" s="615">
        <f>+'Plan de Accion apoyo transversa'!AX16</f>
        <v>0</v>
      </c>
      <c r="N162" s="615">
        <f t="shared" si="47"/>
        <v>0</v>
      </c>
      <c r="O162" s="617" t="s">
        <v>206</v>
      </c>
      <c r="P162" s="277"/>
      <c r="Q162" s="283">
        <f>+'Plan de Accion apoyo transversa'!BD16</f>
        <v>0</v>
      </c>
      <c r="R162" s="315" t="str">
        <f>+'Plan de Accion apoyo transversa'!CG16</f>
        <v>No Prog ni Ejec</v>
      </c>
      <c r="S162" s="276" t="s">
        <v>206</v>
      </c>
      <c r="T162" s="373">
        <f>+'Plan de Accion apoyo transversa'!BH16</f>
        <v>0</v>
      </c>
      <c r="U162" s="373">
        <f t="shared" si="60"/>
        <v>0</v>
      </c>
      <c r="V162" s="275" t="s">
        <v>206</v>
      </c>
      <c r="W162" s="278"/>
      <c r="X162" s="283">
        <f>+'Plan de Accion apoyo transversa'!BN16</f>
        <v>0</v>
      </c>
      <c r="Y162" s="315">
        <f>+'Plan de Accion apoyo transversa'!CI16</f>
        <v>0</v>
      </c>
      <c r="Z162" s="276">
        <f t="shared" si="61"/>
        <v>0</v>
      </c>
      <c r="AA162" s="282">
        <f>+'Plan de Accion apoyo transversa'!BR16</f>
        <v>0</v>
      </c>
      <c r="AB162" s="282">
        <f t="shared" si="62"/>
        <v>0</v>
      </c>
      <c r="AC162" s="281">
        <f t="shared" si="63"/>
        <v>0</v>
      </c>
      <c r="AD162" s="277"/>
      <c r="AE162" s="284">
        <f>+'Plan de Accion apoyo transversa'!BX16</f>
        <v>0</v>
      </c>
      <c r="AF162" s="315" t="str">
        <f>+'Plan de Accion apoyo transversa'!CK16</f>
        <v>No Prog ni Ejec</v>
      </c>
      <c r="AG162" s="276" t="s">
        <v>206</v>
      </c>
      <c r="AH162" s="315">
        <f>+'Plan de Accion apoyo transversa'!CB16</f>
        <v>0</v>
      </c>
      <c r="AI162" s="275">
        <f t="shared" si="64"/>
        <v>0</v>
      </c>
      <c r="AJ162" s="274"/>
      <c r="AK162" s="302"/>
      <c r="AL162" s="304"/>
      <c r="AM162" s="271"/>
      <c r="AN162" s="267"/>
      <c r="AO162" s="305"/>
      <c r="AP162" s="271"/>
      <c r="AQ162" s="267"/>
      <c r="AR162" s="304"/>
      <c r="AS162" s="271"/>
      <c r="AT162" s="267"/>
      <c r="AU162" s="304"/>
      <c r="AV162" s="271"/>
      <c r="AW162" s="265"/>
      <c r="AX162" s="270"/>
      <c r="AY162" s="301"/>
      <c r="AZ162" s="304"/>
      <c r="BA162" s="271"/>
      <c r="BB162" s="267"/>
      <c r="BC162" s="305"/>
      <c r="BD162" s="271"/>
      <c r="BE162" s="267"/>
      <c r="BF162" s="304"/>
      <c r="BG162" s="271"/>
      <c r="BH162" s="267"/>
      <c r="BI162" s="304"/>
      <c r="BJ162" s="271"/>
      <c r="BK162" s="265"/>
      <c r="BL162" s="270"/>
      <c r="BN162" s="304"/>
      <c r="BO162" s="271"/>
      <c r="BP162" s="267"/>
      <c r="BQ162" s="305"/>
      <c r="BR162" s="271"/>
      <c r="BS162" s="267"/>
      <c r="BT162" s="304"/>
      <c r="BU162" s="271"/>
      <c r="BV162" s="267"/>
      <c r="BW162" s="304"/>
      <c r="BX162" s="271"/>
      <c r="BY162" s="265"/>
      <c r="BZ162" s="270"/>
      <c r="CB162" s="304"/>
      <c r="CC162" s="271"/>
      <c r="CD162" s="267"/>
      <c r="CE162" s="305"/>
      <c r="CF162" s="271"/>
      <c r="CG162" s="267"/>
      <c r="CH162" s="304"/>
      <c r="CI162" s="271"/>
      <c r="CJ162" s="267"/>
      <c r="CK162" s="304"/>
      <c r="CL162" s="271"/>
      <c r="CM162" s="265"/>
      <c r="CN162" s="270"/>
    </row>
    <row r="163" spans="2:92" ht="75" customHeight="1" x14ac:dyDescent="0.2">
      <c r="B163" s="970"/>
      <c r="C163" s="973"/>
      <c r="D163" s="1005"/>
      <c r="E163" s="946"/>
      <c r="F163" s="949"/>
      <c r="G163" s="385" t="str">
        <f>+'Plan de Accion apoyo transversa'!X163</f>
        <v>Resultados de la audiencia pública de rendición de cuentas socializados en página web</v>
      </c>
      <c r="H163" s="280" t="str">
        <f>+'Plan de Accion apoyo transversa'!AK163</f>
        <v># publicaciones realizadas de los resultados de la audiencia pública de  rendición de cuentas en la página Web de la ADRES</v>
      </c>
      <c r="J163" s="283">
        <f>+'Plan de Accion apoyo transversa'!AT163</f>
        <v>0</v>
      </c>
      <c r="K163" s="615" t="str">
        <f>+'Plan de Accion apoyo transversa'!CE163</f>
        <v>No Prog ni Ejec</v>
      </c>
      <c r="L163" s="615" t="s">
        <v>206</v>
      </c>
      <c r="M163" s="615">
        <f>+'Plan de Accion apoyo transversa'!AX163</f>
        <v>0</v>
      </c>
      <c r="N163" s="615">
        <f t="shared" si="47"/>
        <v>0</v>
      </c>
      <c r="O163" s="617" t="s">
        <v>206</v>
      </c>
      <c r="P163" s="277"/>
      <c r="Q163" s="283">
        <f>+'Plan de Accion apoyo transversa'!BD163</f>
        <v>0</v>
      </c>
      <c r="R163" s="315" t="str">
        <f>+'Plan de Accion apoyo transversa'!CG163</f>
        <v>No Prog ni Ejec</v>
      </c>
      <c r="S163" s="276" t="s">
        <v>206</v>
      </c>
      <c r="T163" s="373">
        <f>+'Plan de Accion apoyo transversa'!BH163</f>
        <v>0</v>
      </c>
      <c r="U163" s="373">
        <f t="shared" si="60"/>
        <v>0</v>
      </c>
      <c r="V163" s="275" t="s">
        <v>206</v>
      </c>
      <c r="W163" s="278"/>
      <c r="X163" s="283">
        <f>+'Plan de Accion apoyo transversa'!BN163</f>
        <v>0</v>
      </c>
      <c r="Y163" s="315">
        <f>+'Plan de Accion apoyo transversa'!CI163</f>
        <v>0</v>
      </c>
      <c r="Z163" s="276">
        <f t="shared" si="61"/>
        <v>0</v>
      </c>
      <c r="AA163" s="282">
        <f>+'Plan de Accion apoyo transversa'!BR163</f>
        <v>0</v>
      </c>
      <c r="AB163" s="282">
        <f t="shared" si="62"/>
        <v>0</v>
      </c>
      <c r="AC163" s="281">
        <f t="shared" si="63"/>
        <v>0</v>
      </c>
      <c r="AD163" s="277"/>
      <c r="AE163" s="284">
        <f>+'Plan de Accion apoyo transversa'!BX163</f>
        <v>0</v>
      </c>
      <c r="AF163" s="315" t="str">
        <f>+'Plan de Accion apoyo transversa'!CK163</f>
        <v>No Prog ni Ejec</v>
      </c>
      <c r="AG163" s="276" t="s">
        <v>206</v>
      </c>
      <c r="AH163" s="315">
        <f>+'Plan de Accion apoyo transversa'!CB163</f>
        <v>0</v>
      </c>
      <c r="AI163" s="275">
        <f t="shared" si="64"/>
        <v>0</v>
      </c>
      <c r="AJ163" s="274"/>
      <c r="AK163" s="302"/>
      <c r="AL163" s="304"/>
      <c r="AM163" s="271"/>
      <c r="AN163" s="267"/>
      <c r="AO163" s="305"/>
      <c r="AP163" s="271"/>
      <c r="AQ163" s="267"/>
      <c r="AR163" s="304"/>
      <c r="AS163" s="271"/>
      <c r="AT163" s="267"/>
      <c r="AU163" s="304"/>
      <c r="AV163" s="271"/>
      <c r="AW163" s="265"/>
      <c r="AX163" s="270"/>
      <c r="AY163" s="301"/>
      <c r="AZ163" s="304"/>
      <c r="BA163" s="271"/>
      <c r="BB163" s="267"/>
      <c r="BC163" s="305"/>
      <c r="BD163" s="271"/>
      <c r="BE163" s="267"/>
      <c r="BF163" s="304"/>
      <c r="BG163" s="271"/>
      <c r="BH163" s="267"/>
      <c r="BI163" s="304"/>
      <c r="BJ163" s="271"/>
      <c r="BK163" s="265"/>
      <c r="BL163" s="270"/>
      <c r="BN163" s="304"/>
      <c r="BO163" s="271"/>
      <c r="BP163" s="267"/>
      <c r="BQ163" s="305"/>
      <c r="BR163" s="271"/>
      <c r="BS163" s="267"/>
      <c r="BT163" s="304"/>
      <c r="BU163" s="271"/>
      <c r="BV163" s="267"/>
      <c r="BW163" s="304"/>
      <c r="BX163" s="271"/>
      <c r="BY163" s="265"/>
      <c r="BZ163" s="270"/>
      <c r="CB163" s="304"/>
      <c r="CC163" s="271"/>
      <c r="CD163" s="267"/>
      <c r="CE163" s="305"/>
      <c r="CF163" s="271"/>
      <c r="CG163" s="267"/>
      <c r="CH163" s="304"/>
      <c r="CI163" s="271"/>
      <c r="CJ163" s="267"/>
      <c r="CK163" s="304"/>
      <c r="CL163" s="271"/>
      <c r="CM163" s="265"/>
      <c r="CN163" s="270"/>
    </row>
    <row r="164" spans="2:92" ht="75" customHeight="1" x14ac:dyDescent="0.2">
      <c r="B164" s="970"/>
      <c r="C164" s="973"/>
      <c r="D164" s="1005"/>
      <c r="E164" s="946"/>
      <c r="F164" s="949"/>
      <c r="G164" s="385" t="str">
        <f>+'Plan de Accion apoyo transversa'!X164</f>
        <v>Rendición de cuentas interna realizada</v>
      </c>
      <c r="H164" s="280" t="str">
        <f>+'Plan de Accion apoyo transversa'!AK164</f>
        <v># Jornadas de rendición de Cuentas interna realizadas</v>
      </c>
      <c r="J164" s="283">
        <f>+'Plan de Accion apoyo transversa'!AT164</f>
        <v>0</v>
      </c>
      <c r="K164" s="615" t="str">
        <f>+'Plan de Accion apoyo transversa'!CE164</f>
        <v>No Prog ni Ejec</v>
      </c>
      <c r="L164" s="615" t="s">
        <v>206</v>
      </c>
      <c r="M164" s="615">
        <f>+'Plan de Accion apoyo transversa'!AX164</f>
        <v>0</v>
      </c>
      <c r="N164" s="615">
        <f t="shared" si="47"/>
        <v>0</v>
      </c>
      <c r="O164" s="617" t="s">
        <v>206</v>
      </c>
      <c r="P164" s="277"/>
      <c r="Q164" s="283">
        <f>+'Plan de Accion apoyo transversa'!BD164</f>
        <v>0</v>
      </c>
      <c r="R164" s="315" t="str">
        <f>+'Plan de Accion apoyo transversa'!CG164</f>
        <v>No Prog ni Ejec</v>
      </c>
      <c r="S164" s="276" t="s">
        <v>206</v>
      </c>
      <c r="T164" s="373">
        <f>+'Plan de Accion apoyo transversa'!BH164</f>
        <v>0</v>
      </c>
      <c r="U164" s="373">
        <f t="shared" si="60"/>
        <v>0</v>
      </c>
      <c r="V164" s="275" t="s">
        <v>206</v>
      </c>
      <c r="W164" s="278"/>
      <c r="X164" s="283">
        <f>+'Plan de Accion apoyo transversa'!BN164</f>
        <v>0</v>
      </c>
      <c r="Y164" s="315">
        <f>+'Plan de Accion apoyo transversa'!CI164</f>
        <v>0</v>
      </c>
      <c r="Z164" s="276">
        <f t="shared" si="61"/>
        <v>0</v>
      </c>
      <c r="AA164" s="282">
        <f>+'Plan de Accion apoyo transversa'!BR164</f>
        <v>0</v>
      </c>
      <c r="AB164" s="282">
        <f t="shared" si="62"/>
        <v>0</v>
      </c>
      <c r="AC164" s="281">
        <f t="shared" si="63"/>
        <v>0</v>
      </c>
      <c r="AD164" s="277"/>
      <c r="AE164" s="284">
        <f>+'Plan de Accion apoyo transversa'!BX164</f>
        <v>0</v>
      </c>
      <c r="AF164" s="315" t="str">
        <f>+'Plan de Accion apoyo transversa'!CK164</f>
        <v>No Prog ni Ejec</v>
      </c>
      <c r="AG164" s="276" t="s">
        <v>206</v>
      </c>
      <c r="AH164" s="315">
        <f>+'Plan de Accion apoyo transversa'!CB164</f>
        <v>0</v>
      </c>
      <c r="AI164" s="275">
        <f t="shared" si="64"/>
        <v>0</v>
      </c>
      <c r="AJ164" s="274"/>
      <c r="AK164" s="302"/>
      <c r="AL164" s="304"/>
      <c r="AM164" s="271"/>
      <c r="AN164" s="267"/>
      <c r="AO164" s="305"/>
      <c r="AP164" s="271"/>
      <c r="AQ164" s="267"/>
      <c r="AR164" s="304"/>
      <c r="AS164" s="271"/>
      <c r="AT164" s="267"/>
      <c r="AU164" s="304"/>
      <c r="AV164" s="271"/>
      <c r="AW164" s="265"/>
      <c r="AX164" s="270"/>
      <c r="AY164" s="301"/>
      <c r="AZ164" s="304"/>
      <c r="BA164" s="271"/>
      <c r="BB164" s="267"/>
      <c r="BC164" s="305"/>
      <c r="BD164" s="271"/>
      <c r="BE164" s="267"/>
      <c r="BF164" s="304"/>
      <c r="BG164" s="271"/>
      <c r="BH164" s="267"/>
      <c r="BI164" s="304"/>
      <c r="BJ164" s="271"/>
      <c r="BK164" s="265"/>
      <c r="BL164" s="270"/>
      <c r="BN164" s="304"/>
      <c r="BO164" s="271"/>
      <c r="BP164" s="267"/>
      <c r="BQ164" s="305"/>
      <c r="BR164" s="271"/>
      <c r="BS164" s="267"/>
      <c r="BT164" s="304"/>
      <c r="BU164" s="271"/>
      <c r="BV164" s="267"/>
      <c r="BW164" s="304"/>
      <c r="BX164" s="271"/>
      <c r="BY164" s="265"/>
      <c r="BZ164" s="270"/>
      <c r="CB164" s="304"/>
      <c r="CC164" s="271"/>
      <c r="CD164" s="267"/>
      <c r="CE164" s="305"/>
      <c r="CF164" s="271"/>
      <c r="CG164" s="267"/>
      <c r="CH164" s="304"/>
      <c r="CI164" s="271"/>
      <c r="CJ164" s="267"/>
      <c r="CK164" s="304"/>
      <c r="CL164" s="271"/>
      <c r="CM164" s="265"/>
      <c r="CN164" s="270"/>
    </row>
    <row r="165" spans="2:92" ht="75" customHeight="1" x14ac:dyDescent="0.2">
      <c r="B165" s="970"/>
      <c r="C165" s="973"/>
      <c r="D165" s="1006"/>
      <c r="E165" s="947"/>
      <c r="F165" s="950"/>
      <c r="G165" s="385" t="str">
        <f>+'Plan de Accion apoyo transversa'!X165</f>
        <v>Actividades de relacionamiento y rendición de cuentas realizadas</v>
      </c>
      <c r="H165" s="280" t="str">
        <f>+'Plan de Accion apoyo transversa'!AK165</f>
        <v># Actividades de relacionamiento y rendición de cuentas realizadas</v>
      </c>
      <c r="J165" s="283">
        <f>+'Plan de Accion apoyo transversa'!AT165</f>
        <v>1</v>
      </c>
      <c r="K165" s="615">
        <f>+'Plan de Accion apoyo transversa'!CE165</f>
        <v>1</v>
      </c>
      <c r="L165" s="615">
        <f>IF(K165&gt;100%,100%,K165)</f>
        <v>1</v>
      </c>
      <c r="M165" s="615">
        <f>+'Plan de Accion apoyo transversa'!AX165</f>
        <v>0.25</v>
      </c>
      <c r="N165" s="615">
        <f t="shared" si="47"/>
        <v>0.25</v>
      </c>
      <c r="O165" s="617">
        <f>+N165</f>
        <v>0.25</v>
      </c>
      <c r="P165" s="277"/>
      <c r="Q165" s="283">
        <f>+'Plan de Accion apoyo transversa'!BD165</f>
        <v>0</v>
      </c>
      <c r="R165" s="315">
        <f>+'Plan de Accion apoyo transversa'!CG165</f>
        <v>0</v>
      </c>
      <c r="S165" s="276">
        <f>IF(R165&gt;100%,100%,R165)</f>
        <v>0</v>
      </c>
      <c r="T165" s="373">
        <f>+'Plan de Accion apoyo transversa'!BH165</f>
        <v>0.25</v>
      </c>
      <c r="U165" s="373">
        <f t="shared" si="60"/>
        <v>0.25</v>
      </c>
      <c r="V165" s="275">
        <f>+U165</f>
        <v>0.25</v>
      </c>
      <c r="W165" s="278"/>
      <c r="X165" s="283">
        <f>+'Plan de Accion apoyo transversa'!BN165</f>
        <v>0</v>
      </c>
      <c r="Y165" s="315">
        <f>+'Plan de Accion apoyo transversa'!CI165</f>
        <v>0</v>
      </c>
      <c r="Z165" s="276">
        <f t="shared" si="61"/>
        <v>0</v>
      </c>
      <c r="AA165" s="282">
        <f>+'Plan de Accion apoyo transversa'!BR165</f>
        <v>0.25</v>
      </c>
      <c r="AB165" s="282">
        <f t="shared" si="62"/>
        <v>0.25</v>
      </c>
      <c r="AC165" s="281">
        <f t="shared" si="63"/>
        <v>0.25</v>
      </c>
      <c r="AD165" s="277"/>
      <c r="AE165" s="284">
        <f>+'Plan de Accion apoyo transversa'!BX165</f>
        <v>0</v>
      </c>
      <c r="AF165" s="315">
        <f>+'Plan de Accion apoyo transversa'!CK165</f>
        <v>0</v>
      </c>
      <c r="AG165" s="276">
        <f t="shared" ref="AG165:AG182" si="65">IF(AF165&gt;100%,100%,AF165)</f>
        <v>0</v>
      </c>
      <c r="AH165" s="315">
        <f>+'Plan de Accion apoyo transversa'!CB165</f>
        <v>0.25</v>
      </c>
      <c r="AI165" s="275">
        <f t="shared" si="64"/>
        <v>0.25</v>
      </c>
      <c r="AJ165" s="274"/>
      <c r="AK165" s="302"/>
      <c r="AL165" s="304"/>
      <c r="AM165" s="271"/>
      <c r="AN165" s="267"/>
      <c r="AO165" s="305"/>
      <c r="AP165" s="271"/>
      <c r="AQ165" s="267"/>
      <c r="AR165" s="304"/>
      <c r="AS165" s="271"/>
      <c r="AT165" s="267"/>
      <c r="AU165" s="304"/>
      <c r="AV165" s="271"/>
      <c r="AW165" s="265"/>
      <c r="AX165" s="270"/>
      <c r="AY165" s="301"/>
      <c r="AZ165" s="304"/>
      <c r="BA165" s="271"/>
      <c r="BB165" s="267"/>
      <c r="BC165" s="305"/>
      <c r="BD165" s="271"/>
      <c r="BE165" s="267"/>
      <c r="BF165" s="304"/>
      <c r="BG165" s="271"/>
      <c r="BH165" s="267"/>
      <c r="BI165" s="304"/>
      <c r="BJ165" s="271"/>
      <c r="BK165" s="265"/>
      <c r="BL165" s="270"/>
      <c r="BN165" s="304"/>
      <c r="BO165" s="271"/>
      <c r="BP165" s="267"/>
      <c r="BQ165" s="305"/>
      <c r="BR165" s="271"/>
      <c r="BS165" s="267"/>
      <c r="BT165" s="304"/>
      <c r="BU165" s="271"/>
      <c r="BV165" s="267"/>
      <c r="BW165" s="304"/>
      <c r="BX165" s="271"/>
      <c r="BY165" s="265"/>
      <c r="BZ165" s="270"/>
      <c r="CB165" s="304"/>
      <c r="CC165" s="271"/>
      <c r="CD165" s="267"/>
      <c r="CE165" s="305"/>
      <c r="CF165" s="271"/>
      <c r="CG165" s="267"/>
      <c r="CH165" s="304"/>
      <c r="CI165" s="271"/>
      <c r="CJ165" s="267"/>
      <c r="CK165" s="304"/>
      <c r="CL165" s="271"/>
      <c r="CM165" s="265"/>
      <c r="CN165" s="270"/>
    </row>
    <row r="166" spans="2:92" ht="71.25" x14ac:dyDescent="0.2">
      <c r="B166" s="970"/>
      <c r="C166" s="973"/>
      <c r="D166" s="366" t="s">
        <v>206</v>
      </c>
      <c r="E166" s="385" t="s">
        <v>3</v>
      </c>
      <c r="F166" s="369" t="s">
        <v>332</v>
      </c>
      <c r="G166" s="385" t="str">
        <f>+'Plan de Accion apoyo transversa'!X45</f>
        <v>Entrega de Informes de Evaluación y Seguimiento de los Requerimientos Legales Externos en el marco de la normatividad vigente</v>
      </c>
      <c r="H166" s="280" t="str">
        <f>+'Plan de Accion apoyo transversa'!AK45</f>
        <v># de Informes Legales Externos presentados en cada trimestre Indicador Variable acumulado y de eficacia</v>
      </c>
      <c r="J166" s="283">
        <f>+'Plan de Accion apoyo transversa'!AT45</f>
        <v>8</v>
      </c>
      <c r="K166" s="615">
        <f>+'Plan de Accion apoyo transversa'!CE45</f>
        <v>1</v>
      </c>
      <c r="L166" s="615">
        <f>IF(K166&gt;100%,100%,K166)</f>
        <v>1</v>
      </c>
      <c r="M166" s="615">
        <f>+'Plan de Accion apoyo transversa'!AX45</f>
        <v>0.44444444444444442</v>
      </c>
      <c r="N166" s="615">
        <f t="shared" si="47"/>
        <v>0.44444444444444442</v>
      </c>
      <c r="O166" s="617">
        <f>+N166</f>
        <v>0.44444444444444442</v>
      </c>
      <c r="P166" s="277"/>
      <c r="Q166" s="283">
        <f>+'Plan de Accion apoyo transversa'!BD45</f>
        <v>0</v>
      </c>
      <c r="R166" s="315">
        <f>+'Plan de Accion apoyo transversa'!CG45</f>
        <v>0</v>
      </c>
      <c r="S166" s="276">
        <f>IF(R166&gt;100%,100%,R166)</f>
        <v>0</v>
      </c>
      <c r="T166" s="373">
        <f>+'Plan de Accion apoyo transversa'!BH45</f>
        <v>0.44444444444444442</v>
      </c>
      <c r="U166" s="373">
        <f t="shared" ref="U166:U172" si="66">IF(T166&gt;100%,100%,T166)</f>
        <v>0.44444444444444442</v>
      </c>
      <c r="V166" s="275">
        <f>+U166</f>
        <v>0.44444444444444442</v>
      </c>
      <c r="W166" s="278"/>
      <c r="X166" s="283">
        <f>+'Plan de Accion apoyo transversa'!BN45</f>
        <v>0</v>
      </c>
      <c r="Y166" s="315">
        <f>+'Plan de Accion apoyo transversa'!CI45</f>
        <v>0</v>
      </c>
      <c r="Z166" s="276">
        <f>IF(Y166&gt;100%,100%,Y166)</f>
        <v>0</v>
      </c>
      <c r="AA166" s="282">
        <f>+'Plan de Accion apoyo transversa'!BR45</f>
        <v>0.44444444444444442</v>
      </c>
      <c r="AB166" s="282">
        <f t="shared" ref="AB166:AB172" si="67">IF(AA166&gt;100%,100%,AA166)</f>
        <v>0.44444444444444442</v>
      </c>
      <c r="AC166" s="281">
        <f>+AB166</f>
        <v>0.44444444444444442</v>
      </c>
      <c r="AD166" s="277"/>
      <c r="AE166" s="284">
        <f>+'Plan de Accion apoyo transversa'!BX45</f>
        <v>0</v>
      </c>
      <c r="AF166" s="315">
        <f>+'Plan de Accion apoyo transversa'!CK45</f>
        <v>0</v>
      </c>
      <c r="AG166" s="276">
        <f t="shared" si="65"/>
        <v>0</v>
      </c>
      <c r="AH166" s="315">
        <f>+'Plan de Accion apoyo transversa'!CB45</f>
        <v>0.44444444444444442</v>
      </c>
      <c r="AI166" s="275">
        <f t="shared" ref="AI166:AI172" si="68">IF(AH166&gt;100%,100%,AH166)</f>
        <v>0.44444444444444442</v>
      </c>
      <c r="AJ166" s="295"/>
      <c r="AK166" s="302"/>
      <c r="AL166" s="998"/>
      <c r="AM166" s="998"/>
      <c r="AN166" s="267"/>
      <c r="AO166" s="1009"/>
      <c r="AP166" s="998"/>
      <c r="AQ166" s="267"/>
      <c r="AR166" s="998"/>
      <c r="AS166" s="998"/>
      <c r="AT166" s="267"/>
      <c r="AU166" s="998"/>
      <c r="AV166" s="998"/>
      <c r="AW166" s="265"/>
      <c r="AX166" s="294"/>
      <c r="AY166" s="301"/>
      <c r="AZ166" s="998"/>
      <c r="BA166" s="998"/>
      <c r="BB166" s="267"/>
      <c r="BC166" s="1009"/>
      <c r="BD166" s="998"/>
      <c r="BE166" s="267"/>
      <c r="BF166" s="998"/>
      <c r="BG166" s="998"/>
      <c r="BH166" s="267"/>
      <c r="BI166" s="998"/>
      <c r="BJ166" s="998"/>
      <c r="BK166" s="265"/>
      <c r="BL166" s="294"/>
      <c r="BN166" s="998"/>
      <c r="BO166" s="998"/>
      <c r="BP166" s="267"/>
      <c r="BQ166" s="1009"/>
      <c r="BR166" s="998"/>
      <c r="BS166" s="267"/>
      <c r="BT166" s="998"/>
      <c r="BU166" s="998"/>
      <c r="BV166" s="267"/>
      <c r="BW166" s="998"/>
      <c r="BX166" s="998"/>
      <c r="BY166" s="265"/>
      <c r="BZ166" s="294"/>
      <c r="CB166" s="998"/>
      <c r="CC166" s="998"/>
      <c r="CD166" s="267"/>
      <c r="CE166" s="1009"/>
      <c r="CF166" s="998"/>
      <c r="CG166" s="267"/>
      <c r="CH166" s="998"/>
      <c r="CI166" s="998"/>
      <c r="CJ166" s="267"/>
      <c r="CK166" s="998"/>
      <c r="CL166" s="998"/>
      <c r="CM166" s="265"/>
      <c r="CN166" s="294"/>
    </row>
    <row r="167" spans="2:92" ht="71.25" x14ac:dyDescent="0.25">
      <c r="B167" s="970"/>
      <c r="C167" s="973"/>
      <c r="D167" s="958" t="s">
        <v>206</v>
      </c>
      <c r="E167" s="945" t="s">
        <v>14</v>
      </c>
      <c r="F167" s="409" t="s">
        <v>1296</v>
      </c>
      <c r="G167" s="357" t="str">
        <f>+'Plan de Accion apoyo transversa'!X63</f>
        <v>Rendición de Cuentas del Sistema de Seguridad y Salud en el Trabajo a todos los niveles de la Entidad  realizada</v>
      </c>
      <c r="H167" s="289" t="str">
        <f>+'Plan de Accion apoyo transversa'!AK63</f>
        <v># de actividades realizadas</v>
      </c>
      <c r="I167" s="303"/>
      <c r="J167" s="283">
        <f>+'Plan de Accion apoyo transversa'!AT63</f>
        <v>0</v>
      </c>
      <c r="K167" s="615" t="str">
        <f>+'Plan de Accion apoyo transversa'!CE63</f>
        <v>No Prog ni Ejec</v>
      </c>
      <c r="L167" s="615" t="s">
        <v>206</v>
      </c>
      <c r="M167" s="615">
        <f>+'Plan de Accion apoyo transversa'!AX63</f>
        <v>0</v>
      </c>
      <c r="N167" s="615">
        <f t="shared" si="47"/>
        <v>0</v>
      </c>
      <c r="O167" s="617" t="s">
        <v>206</v>
      </c>
      <c r="P167" s="277"/>
      <c r="Q167" s="283">
        <f>+'Plan de Accion apoyo transversa'!BD63</f>
        <v>0</v>
      </c>
      <c r="R167" s="315" t="str">
        <f>+'Plan de Accion apoyo transversa'!CG63</f>
        <v>No Prog ni Ejec</v>
      </c>
      <c r="S167" s="276" t="s">
        <v>206</v>
      </c>
      <c r="T167" s="373">
        <f>+'Plan de Accion apoyo transversa'!BH63</f>
        <v>0</v>
      </c>
      <c r="U167" s="373">
        <f t="shared" si="66"/>
        <v>0</v>
      </c>
      <c r="V167" s="275" t="s">
        <v>206</v>
      </c>
      <c r="W167" s="278"/>
      <c r="X167" s="283">
        <f>+'Plan de Accion apoyo transversa'!BN63</f>
        <v>0</v>
      </c>
      <c r="Y167" s="315" t="str">
        <f>+'Plan de Accion apoyo transversa'!CI63</f>
        <v>No Prog ni Ejec</v>
      </c>
      <c r="Z167" s="276" t="s">
        <v>206</v>
      </c>
      <c r="AA167" s="282">
        <f>+'Plan de Accion apoyo transversa'!BR63</f>
        <v>0</v>
      </c>
      <c r="AB167" s="282">
        <f t="shared" si="67"/>
        <v>0</v>
      </c>
      <c r="AC167" s="281" t="s">
        <v>206</v>
      </c>
      <c r="AD167" s="277"/>
      <c r="AE167" s="284">
        <f>+'Plan de Accion apoyo transversa'!BX63</f>
        <v>0</v>
      </c>
      <c r="AF167" s="315">
        <f>+'Plan de Accion apoyo transversa'!CK63</f>
        <v>0</v>
      </c>
      <c r="AG167" s="276">
        <f t="shared" si="65"/>
        <v>0</v>
      </c>
      <c r="AH167" s="315">
        <f>+'Plan de Accion apoyo transversa'!CB63</f>
        <v>0</v>
      </c>
      <c r="AI167" s="275">
        <f t="shared" si="68"/>
        <v>0</v>
      </c>
      <c r="AJ167" s="295"/>
      <c r="AK167" s="302"/>
      <c r="AL167" s="998"/>
      <c r="AM167" s="998"/>
      <c r="AN167" s="267"/>
      <c r="AO167" s="1009"/>
      <c r="AP167" s="998"/>
      <c r="AQ167" s="267"/>
      <c r="AR167" s="998"/>
      <c r="AS167" s="998"/>
      <c r="AT167" s="267"/>
      <c r="AU167" s="998"/>
      <c r="AV167" s="998"/>
      <c r="AW167" s="265"/>
      <c r="AX167" s="294"/>
      <c r="AY167" s="301"/>
      <c r="AZ167" s="998"/>
      <c r="BA167" s="998"/>
      <c r="BB167" s="267"/>
      <c r="BC167" s="1009"/>
      <c r="BD167" s="998"/>
      <c r="BE167" s="267"/>
      <c r="BF167" s="998"/>
      <c r="BG167" s="998"/>
      <c r="BH167" s="267"/>
      <c r="BI167" s="998"/>
      <c r="BJ167" s="998"/>
      <c r="BK167" s="265"/>
      <c r="BL167" s="294"/>
      <c r="BN167" s="998"/>
      <c r="BO167" s="998"/>
      <c r="BP167" s="267"/>
      <c r="BQ167" s="1009"/>
      <c r="BR167" s="998"/>
      <c r="BS167" s="267"/>
      <c r="BT167" s="998"/>
      <c r="BU167" s="998"/>
      <c r="BV167" s="267"/>
      <c r="BW167" s="998"/>
      <c r="BX167" s="998"/>
      <c r="BY167" s="265"/>
      <c r="BZ167" s="294"/>
      <c r="CB167" s="998"/>
      <c r="CC167" s="998"/>
      <c r="CD167" s="267"/>
      <c r="CE167" s="1009"/>
      <c r="CF167" s="998"/>
      <c r="CG167" s="267"/>
      <c r="CH167" s="998"/>
      <c r="CI167" s="998"/>
      <c r="CJ167" s="267"/>
      <c r="CK167" s="998"/>
      <c r="CL167" s="998"/>
      <c r="CM167" s="265"/>
      <c r="CN167" s="294"/>
    </row>
    <row r="168" spans="2:92" ht="71.25" x14ac:dyDescent="0.25">
      <c r="B168" s="970"/>
      <c r="C168" s="973"/>
      <c r="D168" s="943"/>
      <c r="E168" s="946"/>
      <c r="F168" s="948" t="s">
        <v>332</v>
      </c>
      <c r="G168" s="357" t="str">
        <f>+'Plan de Accion apoyo transversa'!X119</f>
        <v>Digiturno puesto a disposición de los ciudadanos que acuden al punto de atención presencial de la ADRES</v>
      </c>
      <c r="H168" s="289" t="str">
        <f>+'Plan de Accion apoyo transversa'!AK119</f>
        <v># Digiturnos puestos en funcionamiento</v>
      </c>
      <c r="I168" s="303"/>
      <c r="J168" s="283">
        <f>+'Plan de Accion apoyo transversa'!AT119</f>
        <v>0</v>
      </c>
      <c r="K168" s="615" t="str">
        <f>+'Plan de Accion apoyo transversa'!CE119</f>
        <v>No Prog ni Ejec</v>
      </c>
      <c r="L168" s="615" t="s">
        <v>206</v>
      </c>
      <c r="M168" s="615">
        <f>+'Plan de Accion apoyo transversa'!AX119</f>
        <v>0</v>
      </c>
      <c r="N168" s="615">
        <f t="shared" si="47"/>
        <v>0</v>
      </c>
      <c r="O168" s="617" t="s">
        <v>206</v>
      </c>
      <c r="P168" s="277"/>
      <c r="Q168" s="283">
        <f>+'Plan de Accion apoyo transversa'!BD119</f>
        <v>0</v>
      </c>
      <c r="R168" s="315">
        <f>+'Plan de Accion apoyo transversa'!CG119</f>
        <v>0</v>
      </c>
      <c r="S168" s="276">
        <f>IF(R168&gt;100%,100%,R168)</f>
        <v>0</v>
      </c>
      <c r="T168" s="373">
        <f>+'Plan de Accion apoyo transversa'!BH119</f>
        <v>0</v>
      </c>
      <c r="U168" s="373">
        <f t="shared" si="66"/>
        <v>0</v>
      </c>
      <c r="V168" s="275">
        <f>+U168</f>
        <v>0</v>
      </c>
      <c r="W168" s="278"/>
      <c r="X168" s="283">
        <f>+'Plan de Accion apoyo transversa'!BN119</f>
        <v>0</v>
      </c>
      <c r="Y168" s="315" t="str">
        <f>+'Plan de Accion apoyo transversa'!CI119</f>
        <v>No Prog ni Ejec</v>
      </c>
      <c r="Z168" s="276" t="s">
        <v>206</v>
      </c>
      <c r="AA168" s="282">
        <f>+'Plan de Accion apoyo transversa'!BR119</f>
        <v>0</v>
      </c>
      <c r="AB168" s="282">
        <f t="shared" si="67"/>
        <v>0</v>
      </c>
      <c r="AC168" s="281">
        <f>+AB168</f>
        <v>0</v>
      </c>
      <c r="AD168" s="277"/>
      <c r="AE168" s="284">
        <f>+'Plan de Accion apoyo transversa'!BX119</f>
        <v>0</v>
      </c>
      <c r="AF168" s="315" t="str">
        <f>+'Plan de Accion apoyo transversa'!CK119</f>
        <v>No Prog ni Ejec</v>
      </c>
      <c r="AG168" s="276" t="s">
        <v>206</v>
      </c>
      <c r="AH168" s="315">
        <f>+'Plan de Accion apoyo transversa'!CB119</f>
        <v>0</v>
      </c>
      <c r="AI168" s="275">
        <f t="shared" si="68"/>
        <v>0</v>
      </c>
      <c r="AJ168" s="295"/>
      <c r="AK168" s="302"/>
      <c r="AL168" s="998"/>
      <c r="AM168" s="998"/>
      <c r="AN168" s="267"/>
      <c r="AO168" s="1009"/>
      <c r="AP168" s="998"/>
      <c r="AQ168" s="267"/>
      <c r="AR168" s="998"/>
      <c r="AS168" s="998"/>
      <c r="AT168" s="267"/>
      <c r="AU168" s="998"/>
      <c r="AV168" s="998"/>
      <c r="AW168" s="265"/>
      <c r="AX168" s="294"/>
      <c r="AY168" s="301"/>
      <c r="AZ168" s="998"/>
      <c r="BA168" s="998"/>
      <c r="BB168" s="267"/>
      <c r="BC168" s="1009"/>
      <c r="BD168" s="998"/>
      <c r="BE168" s="267"/>
      <c r="BF168" s="998"/>
      <c r="BG168" s="998"/>
      <c r="BH168" s="267"/>
      <c r="BI168" s="998"/>
      <c r="BJ168" s="998"/>
      <c r="BK168" s="265"/>
      <c r="BL168" s="294"/>
      <c r="BN168" s="998"/>
      <c r="BO168" s="998"/>
      <c r="BP168" s="267"/>
      <c r="BQ168" s="1009"/>
      <c r="BR168" s="998"/>
      <c r="BS168" s="267"/>
      <c r="BT168" s="998"/>
      <c r="BU168" s="998"/>
      <c r="BV168" s="267"/>
      <c r="BW168" s="998"/>
      <c r="BX168" s="998"/>
      <c r="BY168" s="265"/>
      <c r="BZ168" s="294"/>
      <c r="CB168" s="998"/>
      <c r="CC168" s="998"/>
      <c r="CD168" s="267"/>
      <c r="CE168" s="1009"/>
      <c r="CF168" s="998"/>
      <c r="CG168" s="267"/>
      <c r="CH168" s="998"/>
      <c r="CI168" s="998"/>
      <c r="CJ168" s="267"/>
      <c r="CK168" s="998"/>
      <c r="CL168" s="998"/>
      <c r="CM168" s="265"/>
      <c r="CN168" s="294"/>
    </row>
    <row r="169" spans="2:92" ht="121.5" customHeight="1" x14ac:dyDescent="0.25">
      <c r="B169" s="970"/>
      <c r="C169" s="973"/>
      <c r="D169" s="943"/>
      <c r="E169" s="946"/>
      <c r="F169" s="950"/>
      <c r="G169" s="357" t="str">
        <f>+'Plan de Accion apoyo transversa'!X120</f>
        <v>Gestión de Servicio al ciudadano de la entidad  por los diferentes canales  de atención.</v>
      </c>
      <c r="H169" s="289" t="str">
        <f>+'Plan de Accion apoyo transversa'!AK120</f>
        <v># llamadas atendidas / # llamadas entrantes</v>
      </c>
      <c r="I169" s="303"/>
      <c r="J169" s="279">
        <f>+'Plan de Accion apoyo transversa'!AT120</f>
        <v>0.19645477937672737</v>
      </c>
      <c r="K169" s="615">
        <f>+'Plan de Accion apoyo transversa'!CE120</f>
        <v>0.98227389688363675</v>
      </c>
      <c r="L169" s="615">
        <f>IF(K169&gt;100%,100%,K169)</f>
        <v>0.98227389688363675</v>
      </c>
      <c r="M169" s="615">
        <f>+'Plan de Accion apoyo transversa'!AX120</f>
        <v>0.24556847422090919</v>
      </c>
      <c r="N169" s="615">
        <f t="shared" si="47"/>
        <v>0.24556847422090919</v>
      </c>
      <c r="O169" s="617">
        <f>+N169</f>
        <v>0.24556847422090919</v>
      </c>
      <c r="P169" s="277"/>
      <c r="Q169" s="279">
        <f>+'Plan de Accion apoyo transversa'!BD120</f>
        <v>0</v>
      </c>
      <c r="R169" s="315">
        <f>+'Plan de Accion apoyo transversa'!CG120</f>
        <v>0</v>
      </c>
      <c r="S169" s="276">
        <f>IF(R169&gt;100%,100%,R169)</f>
        <v>0</v>
      </c>
      <c r="T169" s="373">
        <f>+'Plan de Accion apoyo transversa'!BH120</f>
        <v>0.24556847422090919</v>
      </c>
      <c r="U169" s="373">
        <f t="shared" si="66"/>
        <v>0.24556847422090919</v>
      </c>
      <c r="V169" s="275">
        <f>+U169</f>
        <v>0.24556847422090919</v>
      </c>
      <c r="W169" s="278"/>
      <c r="X169" s="279">
        <f>+'Plan de Accion apoyo transversa'!BN120</f>
        <v>0</v>
      </c>
      <c r="Y169" s="315">
        <f>+'Plan de Accion apoyo transversa'!CI120</f>
        <v>0</v>
      </c>
      <c r="Z169" s="276">
        <f>IF(Y169&gt;100%,100%,Y169)</f>
        <v>0</v>
      </c>
      <c r="AA169" s="282">
        <f>+'Plan de Accion apoyo transversa'!BR120</f>
        <v>0.24556847422090919</v>
      </c>
      <c r="AB169" s="282">
        <f t="shared" si="67"/>
        <v>0.24556847422090919</v>
      </c>
      <c r="AC169" s="281">
        <f>+AB169</f>
        <v>0.24556847422090919</v>
      </c>
      <c r="AD169" s="277"/>
      <c r="AE169" s="279">
        <f>+'Plan de Accion apoyo transversa'!BX120</f>
        <v>0</v>
      </c>
      <c r="AF169" s="315">
        <f>+'Plan de Accion apoyo transversa'!CK120</f>
        <v>0</v>
      </c>
      <c r="AG169" s="276">
        <f t="shared" si="65"/>
        <v>0</v>
      </c>
      <c r="AH169" s="315">
        <f>+'Plan de Accion apoyo transversa'!CB120</f>
        <v>0.24556847422090919</v>
      </c>
      <c r="AI169" s="275">
        <f t="shared" si="68"/>
        <v>0.24556847422090919</v>
      </c>
      <c r="AJ169" s="295"/>
      <c r="AK169" s="302"/>
      <c r="AL169" s="998"/>
      <c r="AM169" s="998"/>
      <c r="AN169" s="267"/>
      <c r="AO169" s="1009"/>
      <c r="AP169" s="998"/>
      <c r="AQ169" s="267"/>
      <c r="AR169" s="998"/>
      <c r="AS169" s="998"/>
      <c r="AT169" s="267"/>
      <c r="AU169" s="998"/>
      <c r="AV169" s="998"/>
      <c r="AW169" s="265"/>
      <c r="AX169" s="294"/>
      <c r="AY169" s="301"/>
      <c r="AZ169" s="998"/>
      <c r="BA169" s="998"/>
      <c r="BB169" s="267"/>
      <c r="BC169" s="1009"/>
      <c r="BD169" s="998"/>
      <c r="BE169" s="267"/>
      <c r="BF169" s="998"/>
      <c r="BG169" s="998"/>
      <c r="BH169" s="267"/>
      <c r="BI169" s="998"/>
      <c r="BJ169" s="998"/>
      <c r="BK169" s="265"/>
      <c r="BL169" s="294"/>
      <c r="BN169" s="998"/>
      <c r="BO169" s="998"/>
      <c r="BP169" s="267"/>
      <c r="BQ169" s="1009"/>
      <c r="BR169" s="998"/>
      <c r="BS169" s="267"/>
      <c r="BT169" s="998"/>
      <c r="BU169" s="998"/>
      <c r="BV169" s="267"/>
      <c r="BW169" s="998"/>
      <c r="BX169" s="998"/>
      <c r="BY169" s="265"/>
      <c r="BZ169" s="294"/>
      <c r="CB169" s="998"/>
      <c r="CC169" s="998"/>
      <c r="CD169" s="267"/>
      <c r="CE169" s="1009"/>
      <c r="CF169" s="998"/>
      <c r="CG169" s="267"/>
      <c r="CH169" s="998"/>
      <c r="CI169" s="998"/>
      <c r="CJ169" s="267"/>
      <c r="CK169" s="998"/>
      <c r="CL169" s="998"/>
      <c r="CM169" s="265"/>
      <c r="CN169" s="294"/>
    </row>
    <row r="170" spans="2:92" ht="69" customHeight="1" x14ac:dyDescent="0.25">
      <c r="B170" s="970"/>
      <c r="C170" s="973"/>
      <c r="D170" s="943"/>
      <c r="E170" s="946"/>
      <c r="F170" s="948" t="s">
        <v>561</v>
      </c>
      <c r="G170" s="357" t="str">
        <f>+'Plan de Accion apoyo transversa'!X175</f>
        <v>Registro de las bases de datos con datos personales ante la Superintendencia de Industria y Comercio - SIC</v>
      </c>
      <c r="H170" s="289" t="str">
        <f>+'Plan de Accion apoyo transversa'!AK175</f>
        <v># Registros realizados ante la SIC</v>
      </c>
      <c r="I170" s="303"/>
      <c r="J170" s="279">
        <f>+'Plan de Accion apoyo transversa'!AT175</f>
        <v>1</v>
      </c>
      <c r="K170" s="676">
        <f>+'Plan de Accion apoyo transversa'!CE175</f>
        <v>1</v>
      </c>
      <c r="L170" s="676">
        <f>IF(K170&gt;100%,100%,K170)</f>
        <v>1</v>
      </c>
      <c r="M170" s="676">
        <f>+'Plan de Accion apoyo transversa'!AX175</f>
        <v>1</v>
      </c>
      <c r="N170" s="676">
        <f t="shared" si="47"/>
        <v>1</v>
      </c>
      <c r="O170" s="677">
        <f>+N170</f>
        <v>1</v>
      </c>
      <c r="P170" s="277"/>
      <c r="Q170" s="279">
        <f>+'Plan de Accion apoyo transversa'!BD175</f>
        <v>0</v>
      </c>
      <c r="R170" s="315" t="str">
        <f>+'Plan de Accion apoyo transversa'!CG175</f>
        <v>No Prog ni Ejec</v>
      </c>
      <c r="S170" s="276" t="s">
        <v>206</v>
      </c>
      <c r="T170" s="676">
        <f>+'Plan de Accion apoyo transversa'!BH175</f>
        <v>1</v>
      </c>
      <c r="U170" s="676">
        <f t="shared" si="66"/>
        <v>1</v>
      </c>
      <c r="V170" s="275" t="s">
        <v>206</v>
      </c>
      <c r="W170" s="278"/>
      <c r="X170" s="279">
        <f>+'Plan de Accion apoyo transversa'!BN175</f>
        <v>0</v>
      </c>
      <c r="Y170" s="315" t="str">
        <f>+'Plan de Accion apoyo transversa'!CI175</f>
        <v>No Prog ni Ejec</v>
      </c>
      <c r="Z170" s="276" t="s">
        <v>206</v>
      </c>
      <c r="AA170" s="282">
        <f>+'Plan de Accion apoyo transversa'!BR175</f>
        <v>1</v>
      </c>
      <c r="AB170" s="282">
        <f t="shared" si="67"/>
        <v>1</v>
      </c>
      <c r="AC170" s="281" t="s">
        <v>206</v>
      </c>
      <c r="AD170" s="277"/>
      <c r="AE170" s="279">
        <f>+'Plan de Accion apoyo transversa'!BX175</f>
        <v>0</v>
      </c>
      <c r="AF170" s="315" t="str">
        <f>+'Plan de Accion apoyo transversa'!CK175</f>
        <v>No Prog ni Ejec</v>
      </c>
      <c r="AG170" s="276" t="s">
        <v>206</v>
      </c>
      <c r="AH170" s="315">
        <f>+'Plan de Accion apoyo transversa'!CB175</f>
        <v>1</v>
      </c>
      <c r="AI170" s="275">
        <f t="shared" si="68"/>
        <v>1</v>
      </c>
      <c r="AJ170" s="295"/>
      <c r="AK170" s="302"/>
      <c r="AL170" s="998"/>
      <c r="AM170" s="998"/>
      <c r="AN170" s="267"/>
      <c r="AO170" s="1009"/>
      <c r="AP170" s="998"/>
      <c r="AQ170" s="267"/>
      <c r="AR170" s="998"/>
      <c r="AS170" s="998"/>
      <c r="AT170" s="267"/>
      <c r="AU170" s="998"/>
      <c r="AV170" s="998"/>
      <c r="AW170" s="265"/>
      <c r="AX170" s="294"/>
      <c r="AY170" s="301"/>
      <c r="AZ170" s="998"/>
      <c r="BA170" s="998"/>
      <c r="BB170" s="267"/>
      <c r="BC170" s="1009"/>
      <c r="BD170" s="998"/>
      <c r="BE170" s="267"/>
      <c r="BF170" s="998"/>
      <c r="BG170" s="998"/>
      <c r="BH170" s="267"/>
      <c r="BI170" s="998"/>
      <c r="BJ170" s="998"/>
      <c r="BK170" s="265"/>
      <c r="BL170" s="294"/>
      <c r="BN170" s="998"/>
      <c r="BO170" s="998"/>
      <c r="BP170" s="267"/>
      <c r="BQ170" s="1009"/>
      <c r="BR170" s="998"/>
      <c r="BS170" s="267"/>
      <c r="BT170" s="998"/>
      <c r="BU170" s="998"/>
      <c r="BV170" s="267"/>
      <c r="BW170" s="998"/>
      <c r="BX170" s="998"/>
      <c r="BY170" s="265"/>
      <c r="BZ170" s="294"/>
      <c r="CB170" s="998"/>
      <c r="CC170" s="998"/>
      <c r="CD170" s="267"/>
      <c r="CE170" s="1009"/>
      <c r="CF170" s="998"/>
      <c r="CG170" s="267"/>
      <c r="CH170" s="998"/>
      <c r="CI170" s="998"/>
      <c r="CJ170" s="267"/>
      <c r="CK170" s="998"/>
      <c r="CL170" s="998"/>
      <c r="CM170" s="265"/>
      <c r="CN170" s="294"/>
    </row>
    <row r="171" spans="2:92" ht="66.75" customHeight="1" x14ac:dyDescent="0.25">
      <c r="B171" s="970"/>
      <c r="C171" s="973"/>
      <c r="D171" s="943"/>
      <c r="E171" s="946"/>
      <c r="F171" s="950"/>
      <c r="G171" s="357" t="str">
        <f>+'Plan de Accion apoyo transversa'!X176</f>
        <v>Solicitudes de autorización para el tratamiento de datos personales</v>
      </c>
      <c r="H171" s="289" t="str">
        <f>+'Plan de Accion apoyo transversa'!AK176</f>
        <v># Solicitudes desarrolladas e implementadas/ #solicitudes definidas</v>
      </c>
      <c r="I171" s="303"/>
      <c r="J171" s="279">
        <f>+'Plan de Accion apoyo transversa'!AT176</f>
        <v>0</v>
      </c>
      <c r="K171" s="676" t="str">
        <f>+'Plan de Accion apoyo transversa'!CE176</f>
        <v>No Prog ni Ejec</v>
      </c>
      <c r="L171" s="676" t="s">
        <v>206</v>
      </c>
      <c r="M171" s="676">
        <f>+'Plan de Accion apoyo transversa'!AX176</f>
        <v>0</v>
      </c>
      <c r="N171" s="676">
        <f>IF(M171&gt;100%,100%,M171)</f>
        <v>0</v>
      </c>
      <c r="O171" s="677" t="s">
        <v>206</v>
      </c>
      <c r="P171" s="277"/>
      <c r="Q171" s="279">
        <f>+'Plan de Accion apoyo transversa'!BD176</f>
        <v>0</v>
      </c>
      <c r="R171" s="315">
        <f>+'Plan de Accion apoyo transversa'!CG176</f>
        <v>0</v>
      </c>
      <c r="S171" s="276">
        <f>IF(R171&gt;100%,100%,R171)</f>
        <v>0</v>
      </c>
      <c r="T171" s="676">
        <f>+'Plan de Accion apoyo transversa'!BH176</f>
        <v>0</v>
      </c>
      <c r="U171" s="676">
        <f t="shared" si="66"/>
        <v>0</v>
      </c>
      <c r="V171" s="275">
        <f>+U171</f>
        <v>0</v>
      </c>
      <c r="W171" s="278"/>
      <c r="X171" s="279">
        <f>+'Plan de Accion apoyo transversa'!BN176</f>
        <v>0</v>
      </c>
      <c r="Y171" s="315" t="str">
        <f>+'Plan de Accion apoyo transversa'!CI176</f>
        <v>No Prog ni Ejec</v>
      </c>
      <c r="Z171" s="276" t="s">
        <v>206</v>
      </c>
      <c r="AA171" s="282">
        <f>+'Plan de Accion apoyo transversa'!BR176</f>
        <v>0</v>
      </c>
      <c r="AB171" s="282">
        <f t="shared" si="67"/>
        <v>0</v>
      </c>
      <c r="AC171" s="281" t="s">
        <v>206</v>
      </c>
      <c r="AD171" s="277"/>
      <c r="AE171" s="279">
        <f>+'Plan de Accion apoyo transversa'!BX176</f>
        <v>0</v>
      </c>
      <c r="AF171" s="315">
        <f>+'Plan de Accion apoyo transversa'!CK176</f>
        <v>0</v>
      </c>
      <c r="AG171" s="276">
        <f t="shared" si="65"/>
        <v>0</v>
      </c>
      <c r="AH171" s="315">
        <f>+'Plan de Accion apoyo transversa'!CB176</f>
        <v>0</v>
      </c>
      <c r="AI171" s="275">
        <f t="shared" si="68"/>
        <v>0</v>
      </c>
      <c r="AJ171" s="295"/>
      <c r="AK171" s="302"/>
      <c r="AL171" s="998"/>
      <c r="AM171" s="998"/>
      <c r="AN171" s="267"/>
      <c r="AO171" s="1009"/>
      <c r="AP171" s="998"/>
      <c r="AQ171" s="267"/>
      <c r="AR171" s="998"/>
      <c r="AS171" s="998"/>
      <c r="AT171" s="267"/>
      <c r="AU171" s="998"/>
      <c r="AV171" s="998"/>
      <c r="AW171" s="265"/>
      <c r="AX171" s="294"/>
      <c r="AY171" s="301"/>
      <c r="AZ171" s="998"/>
      <c r="BA171" s="998"/>
      <c r="BB171" s="267"/>
      <c r="BC171" s="1009"/>
      <c r="BD171" s="998"/>
      <c r="BE171" s="267"/>
      <c r="BF171" s="998"/>
      <c r="BG171" s="998"/>
      <c r="BH171" s="267"/>
      <c r="BI171" s="998"/>
      <c r="BJ171" s="998"/>
      <c r="BK171" s="265"/>
      <c r="BL171" s="294"/>
      <c r="BN171" s="998"/>
      <c r="BO171" s="998"/>
      <c r="BP171" s="267"/>
      <c r="BQ171" s="1009"/>
      <c r="BR171" s="998"/>
      <c r="BS171" s="267"/>
      <c r="BT171" s="998"/>
      <c r="BU171" s="998"/>
      <c r="BV171" s="267"/>
      <c r="BW171" s="998"/>
      <c r="BX171" s="998"/>
      <c r="BY171" s="265"/>
      <c r="BZ171" s="294"/>
      <c r="CB171" s="998"/>
      <c r="CC171" s="998"/>
      <c r="CD171" s="267"/>
      <c r="CE171" s="1009"/>
      <c r="CF171" s="998"/>
      <c r="CG171" s="267"/>
      <c r="CH171" s="998"/>
      <c r="CI171" s="998"/>
      <c r="CJ171" s="267"/>
      <c r="CK171" s="998"/>
      <c r="CL171" s="998"/>
      <c r="CM171" s="265"/>
      <c r="CN171" s="294"/>
    </row>
    <row r="172" spans="2:92" ht="114" x14ac:dyDescent="0.25">
      <c r="B172" s="970"/>
      <c r="C172" s="973"/>
      <c r="D172" s="943"/>
      <c r="E172" s="946"/>
      <c r="F172" s="948" t="s">
        <v>338</v>
      </c>
      <c r="G172" s="357" t="str">
        <f>+'Plan de Accion apoyo transversa'!X123</f>
        <v>Cooperación Interinstitucional con el Ministerio de Salud para la implementación del CENTRO ESPECIALIZADO DE SERVICIO AL CIUDADANO para las Entidades del Sector Salud</v>
      </c>
      <c r="H172" s="289" t="str">
        <f>+'Plan de Accion apoyo transversa'!AK123</f>
        <v># Mesas de trabajo en las que ADRES participó / # mesas de trabajo convocadas</v>
      </c>
      <c r="I172" s="303"/>
      <c r="J172" s="279">
        <f>+'Plan de Accion apoyo transversa'!AT123</f>
        <v>0.25</v>
      </c>
      <c r="K172" s="615">
        <f>+'Plan de Accion apoyo transversa'!CE123</f>
        <v>1</v>
      </c>
      <c r="L172" s="615">
        <f>IF(K172&gt;100%,100%,K172)</f>
        <v>1</v>
      </c>
      <c r="M172" s="615">
        <f>+'Plan de Accion apoyo transversa'!AX123</f>
        <v>0.25</v>
      </c>
      <c r="N172" s="615">
        <f t="shared" si="47"/>
        <v>0.25</v>
      </c>
      <c r="O172" s="617">
        <f>+N172</f>
        <v>0.25</v>
      </c>
      <c r="P172" s="277"/>
      <c r="Q172" s="279">
        <f>+'Plan de Accion apoyo transversa'!BD123</f>
        <v>0</v>
      </c>
      <c r="R172" s="315">
        <f>+'Plan de Accion apoyo transversa'!CG123</f>
        <v>0</v>
      </c>
      <c r="S172" s="276">
        <f>IF(R172&gt;100%,100%,R172)</f>
        <v>0</v>
      </c>
      <c r="T172" s="373">
        <f>+'Plan de Accion apoyo transversa'!BH123</f>
        <v>0.25</v>
      </c>
      <c r="U172" s="373">
        <f t="shared" si="66"/>
        <v>0.25</v>
      </c>
      <c r="V172" s="275">
        <f>+U172</f>
        <v>0.25</v>
      </c>
      <c r="W172" s="278"/>
      <c r="X172" s="279">
        <f>+'Plan de Accion apoyo transversa'!BN123</f>
        <v>0</v>
      </c>
      <c r="Y172" s="315">
        <f>+'Plan de Accion apoyo transversa'!CI123</f>
        <v>0</v>
      </c>
      <c r="Z172" s="276">
        <f>IF(Y172&gt;100%,100%,Y172)</f>
        <v>0</v>
      </c>
      <c r="AA172" s="282">
        <f>+'Plan de Accion apoyo transversa'!BR123</f>
        <v>0.25</v>
      </c>
      <c r="AB172" s="282">
        <f t="shared" si="67"/>
        <v>0.25</v>
      </c>
      <c r="AC172" s="281">
        <f>+AB172</f>
        <v>0.25</v>
      </c>
      <c r="AD172" s="277"/>
      <c r="AE172" s="279">
        <f>+'Plan de Accion apoyo transversa'!BX123</f>
        <v>0</v>
      </c>
      <c r="AF172" s="315">
        <f>+'Plan de Accion apoyo transversa'!CK123</f>
        <v>0</v>
      </c>
      <c r="AG172" s="276">
        <f t="shared" si="65"/>
        <v>0</v>
      </c>
      <c r="AH172" s="315">
        <f>+'Plan de Accion apoyo transversa'!CB123</f>
        <v>0.25</v>
      </c>
      <c r="AI172" s="275">
        <f t="shared" si="68"/>
        <v>0.25</v>
      </c>
      <c r="AJ172" s="295"/>
      <c r="AK172" s="302"/>
      <c r="AL172" s="998"/>
      <c r="AM172" s="998"/>
      <c r="AN172" s="267"/>
      <c r="AO172" s="1009"/>
      <c r="AP172" s="998"/>
      <c r="AQ172" s="267"/>
      <c r="AR172" s="998"/>
      <c r="AS172" s="998"/>
      <c r="AT172" s="267"/>
      <c r="AU172" s="998"/>
      <c r="AV172" s="998"/>
      <c r="AW172" s="265"/>
      <c r="AX172" s="294"/>
      <c r="AY172" s="301"/>
      <c r="AZ172" s="998"/>
      <c r="BA172" s="998"/>
      <c r="BB172" s="267"/>
      <c r="BC172" s="1009"/>
      <c r="BD172" s="998"/>
      <c r="BE172" s="267"/>
      <c r="BF172" s="998"/>
      <c r="BG172" s="998"/>
      <c r="BH172" s="267"/>
      <c r="BI172" s="998"/>
      <c r="BJ172" s="998"/>
      <c r="BK172" s="265"/>
      <c r="BL172" s="294"/>
      <c r="BN172" s="998"/>
      <c r="BO172" s="998"/>
      <c r="BP172" s="267"/>
      <c r="BQ172" s="1009"/>
      <c r="BR172" s="998"/>
      <c r="BS172" s="267"/>
      <c r="BT172" s="998"/>
      <c r="BU172" s="998"/>
      <c r="BV172" s="267"/>
      <c r="BW172" s="998"/>
      <c r="BX172" s="998"/>
      <c r="BY172" s="265"/>
      <c r="BZ172" s="294"/>
      <c r="CB172" s="998"/>
      <c r="CC172" s="998"/>
      <c r="CD172" s="267"/>
      <c r="CE172" s="1009"/>
      <c r="CF172" s="998"/>
      <c r="CG172" s="267"/>
      <c r="CH172" s="998"/>
      <c r="CI172" s="998"/>
      <c r="CJ172" s="267"/>
      <c r="CK172" s="998"/>
      <c r="CL172" s="998"/>
      <c r="CM172" s="265"/>
      <c r="CN172" s="294"/>
    </row>
    <row r="173" spans="2:92" ht="90" customHeight="1" x14ac:dyDescent="0.25">
      <c r="B173" s="970"/>
      <c r="C173" s="973"/>
      <c r="D173" s="943"/>
      <c r="E173" s="946"/>
      <c r="F173" s="949"/>
      <c r="G173" s="357" t="str">
        <f>+'Plan de Accion apoyo transversa'!X124</f>
        <v>Seguimiento a la calidad y lenguaje claro de las respuestas dadas por los funcionarios a las PQRSD radicadas en la Entidad y presentar recomendaciones a las áreas competentes.</v>
      </c>
      <c r="H173" s="289" t="str">
        <f>+'Plan de Accion apoyo transversa'!AK124</f>
        <v># Recomendaciones realizadas / # PQRSD evaluadas</v>
      </c>
      <c r="I173" s="303"/>
      <c r="J173" s="279">
        <f>+'Plan de Accion apoyo transversa'!AT124</f>
        <v>0.25</v>
      </c>
      <c r="K173" s="615">
        <f>+'Plan de Accion apoyo transversa'!CE124</f>
        <v>1</v>
      </c>
      <c r="L173" s="615">
        <f t="shared" ref="L173:L189" si="69">IF(K173&gt;100%,100%,K173)</f>
        <v>1</v>
      </c>
      <c r="M173" s="615">
        <f>+'Plan de Accion apoyo transversa'!AX124</f>
        <v>0.25</v>
      </c>
      <c r="N173" s="615">
        <f t="shared" si="47"/>
        <v>0.25</v>
      </c>
      <c r="O173" s="617">
        <f t="shared" ref="O173:O180" si="70">+N173</f>
        <v>0.25</v>
      </c>
      <c r="P173" s="277"/>
      <c r="Q173" s="279">
        <f>+'Plan de Accion apoyo transversa'!BD124</f>
        <v>0</v>
      </c>
      <c r="R173" s="315">
        <f>+'Plan de Accion apoyo transversa'!CG124</f>
        <v>0</v>
      </c>
      <c r="S173" s="276">
        <f t="shared" ref="S173:S186" si="71">IF(R173&gt;100%,100%,R173)</f>
        <v>0</v>
      </c>
      <c r="T173" s="373">
        <f>+'Plan de Accion apoyo transversa'!BH124</f>
        <v>0.25</v>
      </c>
      <c r="U173" s="373">
        <f t="shared" ref="U173:U190" si="72">IF(T173&gt;100%,100%,T173)</f>
        <v>0.25</v>
      </c>
      <c r="V173" s="275">
        <f t="shared" ref="V173:V190" si="73">+U173</f>
        <v>0.25</v>
      </c>
      <c r="W173" s="278"/>
      <c r="X173" s="279">
        <f>+'Plan de Accion apoyo transversa'!BN124</f>
        <v>0</v>
      </c>
      <c r="Y173" s="315">
        <f>+'Plan de Accion apoyo transversa'!CI124</f>
        <v>0</v>
      </c>
      <c r="Z173" s="276">
        <f t="shared" ref="Z173:Z180" si="74">IF(Y173&gt;100%,100%,Y173)</f>
        <v>0</v>
      </c>
      <c r="AA173" s="282">
        <f>+'Plan de Accion apoyo transversa'!BR124</f>
        <v>0.25</v>
      </c>
      <c r="AB173" s="282">
        <f t="shared" ref="AB173:AB190" si="75">IF(AA173&gt;100%,100%,AA173)</f>
        <v>0.25</v>
      </c>
      <c r="AC173" s="281">
        <f t="shared" ref="AC173:AC190" si="76">+AB173</f>
        <v>0.25</v>
      </c>
      <c r="AD173" s="277"/>
      <c r="AE173" s="279">
        <f>+'Plan de Accion apoyo transversa'!BX124</f>
        <v>0</v>
      </c>
      <c r="AF173" s="315">
        <f>+'Plan de Accion apoyo transversa'!CK124</f>
        <v>0</v>
      </c>
      <c r="AG173" s="276">
        <f t="shared" si="65"/>
        <v>0</v>
      </c>
      <c r="AH173" s="315">
        <f>+'Plan de Accion apoyo transversa'!CB124</f>
        <v>0.25</v>
      </c>
      <c r="AI173" s="275">
        <f t="shared" ref="AI173:AI190" si="77">IF(AH173&gt;100%,100%,AH173)</f>
        <v>0.25</v>
      </c>
      <c r="AJ173" s="295"/>
      <c r="AK173" s="302"/>
      <c r="AL173" s="998"/>
      <c r="AM173" s="998"/>
      <c r="AN173" s="267"/>
      <c r="AO173" s="1009"/>
      <c r="AP173" s="998"/>
      <c r="AQ173" s="267"/>
      <c r="AR173" s="998"/>
      <c r="AS173" s="998"/>
      <c r="AT173" s="267"/>
      <c r="AU173" s="998"/>
      <c r="AV173" s="998"/>
      <c r="AW173" s="265"/>
      <c r="AX173" s="294"/>
      <c r="AY173" s="301"/>
      <c r="AZ173" s="998"/>
      <c r="BA173" s="998"/>
      <c r="BB173" s="267"/>
      <c r="BC173" s="1009"/>
      <c r="BD173" s="998"/>
      <c r="BE173" s="267"/>
      <c r="BF173" s="998"/>
      <c r="BG173" s="998"/>
      <c r="BH173" s="267"/>
      <c r="BI173" s="998"/>
      <c r="BJ173" s="998"/>
      <c r="BK173" s="265"/>
      <c r="BL173" s="294"/>
      <c r="BN173" s="998"/>
      <c r="BO173" s="998"/>
      <c r="BP173" s="267"/>
      <c r="BQ173" s="1009"/>
      <c r="BR173" s="998"/>
      <c r="BS173" s="267"/>
      <c r="BT173" s="998"/>
      <c r="BU173" s="998"/>
      <c r="BV173" s="267"/>
      <c r="BW173" s="998"/>
      <c r="BX173" s="998"/>
      <c r="BY173" s="265"/>
      <c r="BZ173" s="294"/>
      <c r="CB173" s="998"/>
      <c r="CC173" s="998"/>
      <c r="CD173" s="267"/>
      <c r="CE173" s="1009"/>
      <c r="CF173" s="998"/>
      <c r="CG173" s="267"/>
      <c r="CH173" s="998"/>
      <c r="CI173" s="998"/>
      <c r="CJ173" s="267"/>
      <c r="CK173" s="998"/>
      <c r="CL173" s="998"/>
      <c r="CM173" s="265"/>
      <c r="CN173" s="294"/>
    </row>
    <row r="174" spans="2:92" ht="112.5" customHeight="1" x14ac:dyDescent="0.25">
      <c r="B174" s="970"/>
      <c r="C174" s="973"/>
      <c r="D174" s="943"/>
      <c r="E174" s="946"/>
      <c r="F174" s="949"/>
      <c r="G174" s="357" t="str">
        <f>+'Plan de Accion apoyo transversa'!X125</f>
        <v>Evaluar la satisfacción y percepción de los usuarios por el canal de atención presencial y virtual  en cuanto a los servicios brindados por la ADRES y socializar los resultados a las áreas involucradas para la generación de planes de mejoramiento.</v>
      </c>
      <c r="H174" s="289" t="str">
        <f>+'Plan de Accion apoyo transversa'!AK125</f>
        <v># Encuestas evaluadas como excelente / # encuestas realizadas</v>
      </c>
      <c r="I174" s="303"/>
      <c r="J174" s="279">
        <f>+'Plan de Accion apoyo transversa'!AT125</f>
        <v>0.22500000000000001</v>
      </c>
      <c r="K174" s="615">
        <f>+'Plan de Accion apoyo transversa'!CE125</f>
        <v>1</v>
      </c>
      <c r="L174" s="615">
        <f t="shared" si="69"/>
        <v>1</v>
      </c>
      <c r="M174" s="615">
        <f>+'Plan de Accion apoyo transversa'!AX125</f>
        <v>0.25</v>
      </c>
      <c r="N174" s="615">
        <f t="shared" si="47"/>
        <v>0.25</v>
      </c>
      <c r="O174" s="617">
        <f t="shared" si="70"/>
        <v>0.25</v>
      </c>
      <c r="P174" s="277"/>
      <c r="Q174" s="279">
        <f>+'Plan de Accion apoyo transversa'!BD125</f>
        <v>0</v>
      </c>
      <c r="R174" s="315">
        <f>+'Plan de Accion apoyo transversa'!CG125</f>
        <v>0</v>
      </c>
      <c r="S174" s="276">
        <f t="shared" si="71"/>
        <v>0</v>
      </c>
      <c r="T174" s="373">
        <f>+'Plan de Accion apoyo transversa'!BH125</f>
        <v>0.25</v>
      </c>
      <c r="U174" s="373">
        <f t="shared" si="72"/>
        <v>0.25</v>
      </c>
      <c r="V174" s="275">
        <f t="shared" si="73"/>
        <v>0.25</v>
      </c>
      <c r="W174" s="278"/>
      <c r="X174" s="279">
        <f>+'Plan de Accion apoyo transversa'!BN125</f>
        <v>0</v>
      </c>
      <c r="Y174" s="315">
        <f>+'Plan de Accion apoyo transversa'!CI125</f>
        <v>0</v>
      </c>
      <c r="Z174" s="276">
        <f t="shared" si="74"/>
        <v>0</v>
      </c>
      <c r="AA174" s="282">
        <f>+'Plan de Accion apoyo transversa'!BR125</f>
        <v>0.25</v>
      </c>
      <c r="AB174" s="282">
        <f t="shared" si="75"/>
        <v>0.25</v>
      </c>
      <c r="AC174" s="281">
        <f t="shared" si="76"/>
        <v>0.25</v>
      </c>
      <c r="AD174" s="277"/>
      <c r="AE174" s="279">
        <f>+'Plan de Accion apoyo transversa'!BX125</f>
        <v>0</v>
      </c>
      <c r="AF174" s="315">
        <f>+'Plan de Accion apoyo transversa'!CK125</f>
        <v>0</v>
      </c>
      <c r="AG174" s="276">
        <f t="shared" si="65"/>
        <v>0</v>
      </c>
      <c r="AH174" s="315">
        <f>+'Plan de Accion apoyo transversa'!CB125</f>
        <v>0.25</v>
      </c>
      <c r="AI174" s="275">
        <f t="shared" si="77"/>
        <v>0.25</v>
      </c>
      <c r="AJ174" s="295"/>
      <c r="AK174" s="302"/>
      <c r="AL174" s="998"/>
      <c r="AM174" s="998"/>
      <c r="AN174" s="267"/>
      <c r="AO174" s="1009"/>
      <c r="AP174" s="998"/>
      <c r="AQ174" s="267"/>
      <c r="AR174" s="998"/>
      <c r="AS174" s="998"/>
      <c r="AT174" s="267"/>
      <c r="AU174" s="998"/>
      <c r="AV174" s="998"/>
      <c r="AW174" s="265"/>
      <c r="AX174" s="294"/>
      <c r="AY174" s="301"/>
      <c r="AZ174" s="998"/>
      <c r="BA174" s="998"/>
      <c r="BB174" s="267"/>
      <c r="BC174" s="1009"/>
      <c r="BD174" s="998"/>
      <c r="BE174" s="267"/>
      <c r="BF174" s="998"/>
      <c r="BG174" s="998"/>
      <c r="BH174" s="267"/>
      <c r="BI174" s="998"/>
      <c r="BJ174" s="998"/>
      <c r="BK174" s="265"/>
      <c r="BL174" s="294"/>
      <c r="BN174" s="998"/>
      <c r="BO174" s="998"/>
      <c r="BP174" s="267"/>
      <c r="BQ174" s="1009"/>
      <c r="BR174" s="998"/>
      <c r="BS174" s="267"/>
      <c r="BT174" s="998"/>
      <c r="BU174" s="998"/>
      <c r="BV174" s="267"/>
      <c r="BW174" s="998"/>
      <c r="BX174" s="998"/>
      <c r="BY174" s="265"/>
      <c r="BZ174" s="294"/>
      <c r="CB174" s="998"/>
      <c r="CC174" s="998"/>
      <c r="CD174" s="267"/>
      <c r="CE174" s="1009"/>
      <c r="CF174" s="998"/>
      <c r="CG174" s="267"/>
      <c r="CH174" s="998"/>
      <c r="CI174" s="998"/>
      <c r="CJ174" s="267"/>
      <c r="CK174" s="998"/>
      <c r="CL174" s="998"/>
      <c r="CM174" s="265"/>
      <c r="CN174" s="294"/>
    </row>
    <row r="175" spans="2:92" ht="93" customHeight="1" x14ac:dyDescent="0.25">
      <c r="B175" s="970"/>
      <c r="C175" s="973"/>
      <c r="D175" s="943"/>
      <c r="E175" s="946"/>
      <c r="F175" s="949"/>
      <c r="G175" s="357" t="str">
        <f>+'Plan de Accion apoyo transversa'!X126</f>
        <v>Recomendaciones implementadas</v>
      </c>
      <c r="H175" s="289" t="str">
        <f>+'Plan de Accion apoyo transversa'!AK126</f>
        <v># Recomendaciones implementadas  / # recomendaciones aprobadas</v>
      </c>
      <c r="I175" s="303"/>
      <c r="J175" s="279">
        <f>+'Plan de Accion apoyo transversa'!AT126</f>
        <v>0</v>
      </c>
      <c r="K175" s="615" t="str">
        <f>+'Plan de Accion apoyo transversa'!CE126</f>
        <v>No Prog ni Ejec</v>
      </c>
      <c r="L175" s="615" t="s">
        <v>206</v>
      </c>
      <c r="M175" s="615">
        <f>+'Plan de Accion apoyo transversa'!AX126</f>
        <v>0</v>
      </c>
      <c r="N175" s="615">
        <f t="shared" si="47"/>
        <v>0</v>
      </c>
      <c r="O175" s="617" t="s">
        <v>206</v>
      </c>
      <c r="P175" s="277"/>
      <c r="Q175" s="279">
        <f>+'Plan de Accion apoyo transversa'!BD126</f>
        <v>0</v>
      </c>
      <c r="R175" s="315" t="str">
        <f>+'Plan de Accion apoyo transversa'!CG126</f>
        <v>No Prog ni Ejec</v>
      </c>
      <c r="S175" s="276" t="s">
        <v>206</v>
      </c>
      <c r="T175" s="373">
        <f>+'Plan de Accion apoyo transversa'!BH126</f>
        <v>0</v>
      </c>
      <c r="U175" s="373">
        <f t="shared" si="72"/>
        <v>0</v>
      </c>
      <c r="V175" s="275" t="s">
        <v>206</v>
      </c>
      <c r="W175" s="278"/>
      <c r="X175" s="279">
        <f>+'Plan de Accion apoyo transversa'!BN126</f>
        <v>0</v>
      </c>
      <c r="Y175" s="315">
        <f>+'Plan de Accion apoyo transversa'!CI126</f>
        <v>0</v>
      </c>
      <c r="Z175" s="276">
        <f t="shared" si="74"/>
        <v>0</v>
      </c>
      <c r="AA175" s="282">
        <f>+'Plan de Accion apoyo transversa'!BR126</f>
        <v>0</v>
      </c>
      <c r="AB175" s="282">
        <f t="shared" si="75"/>
        <v>0</v>
      </c>
      <c r="AC175" s="281">
        <f t="shared" si="76"/>
        <v>0</v>
      </c>
      <c r="AD175" s="277"/>
      <c r="AE175" s="279">
        <f>+'Plan de Accion apoyo transversa'!BX126</f>
        <v>0</v>
      </c>
      <c r="AF175" s="315">
        <f>+'Plan de Accion apoyo transversa'!CK126</f>
        <v>0</v>
      </c>
      <c r="AG175" s="276">
        <f t="shared" si="65"/>
        <v>0</v>
      </c>
      <c r="AH175" s="315">
        <f>+'Plan de Accion apoyo transversa'!CB126</f>
        <v>0</v>
      </c>
      <c r="AI175" s="275">
        <f t="shared" si="77"/>
        <v>0</v>
      </c>
      <c r="AJ175" s="295"/>
      <c r="AK175" s="302"/>
      <c r="AL175" s="998"/>
      <c r="AM175" s="998"/>
      <c r="AN175" s="267"/>
      <c r="AO175" s="1009"/>
      <c r="AP175" s="998"/>
      <c r="AQ175" s="267"/>
      <c r="AR175" s="998"/>
      <c r="AS175" s="998"/>
      <c r="AT175" s="267"/>
      <c r="AU175" s="998"/>
      <c r="AV175" s="998"/>
      <c r="AW175" s="265"/>
      <c r="AX175" s="294"/>
      <c r="AY175" s="301"/>
      <c r="AZ175" s="998"/>
      <c r="BA175" s="998"/>
      <c r="BB175" s="267"/>
      <c r="BC175" s="1009"/>
      <c r="BD175" s="998"/>
      <c r="BE175" s="267"/>
      <c r="BF175" s="998"/>
      <c r="BG175" s="998"/>
      <c r="BH175" s="267"/>
      <c r="BI175" s="998"/>
      <c r="BJ175" s="998"/>
      <c r="BK175" s="265"/>
      <c r="BL175" s="294"/>
      <c r="BN175" s="998"/>
      <c r="BO175" s="998"/>
      <c r="BP175" s="267"/>
      <c r="BQ175" s="1009"/>
      <c r="BR175" s="998"/>
      <c r="BS175" s="267"/>
      <c r="BT175" s="998"/>
      <c r="BU175" s="998"/>
      <c r="BV175" s="267"/>
      <c r="BW175" s="998"/>
      <c r="BX175" s="998"/>
      <c r="BY175" s="265"/>
      <c r="BZ175" s="294"/>
      <c r="CB175" s="998"/>
      <c r="CC175" s="998"/>
      <c r="CD175" s="267"/>
      <c r="CE175" s="1009"/>
      <c r="CF175" s="998"/>
      <c r="CG175" s="267"/>
      <c r="CH175" s="998"/>
      <c r="CI175" s="998"/>
      <c r="CJ175" s="267"/>
      <c r="CK175" s="998"/>
      <c r="CL175" s="998"/>
      <c r="CM175" s="265"/>
      <c r="CN175" s="294"/>
    </row>
    <row r="176" spans="2:92" ht="78" customHeight="1" x14ac:dyDescent="0.25">
      <c r="B176" s="970"/>
      <c r="C176" s="973"/>
      <c r="D176" s="943"/>
      <c r="E176" s="946"/>
      <c r="F176" s="949"/>
      <c r="G176" s="357" t="str">
        <f>+'Plan de Accion apoyo transversa'!X127</f>
        <v>Participación de la ADRES en ferias de Servicio al Ciudadano programadas por el DNP-PNSC  y promocionar los servicios y realizar trámites de la Entidad</v>
      </c>
      <c r="H176" s="289" t="str">
        <f>+'Plan de Accion apoyo transversa'!AK127</f>
        <v># Ferias de servicio al ciudadano en las que ADRES participó / # Ferias de servicio al ciudadano programadas por el DNP-PNSC de interés para la ADRES</v>
      </c>
      <c r="I176" s="303"/>
      <c r="J176" s="279">
        <f>+'Plan de Accion apoyo transversa'!AT127</f>
        <v>0</v>
      </c>
      <c r="K176" s="615" t="str">
        <f>+'Plan de Accion apoyo transversa'!CE127</f>
        <v>No Prog ni Ejec</v>
      </c>
      <c r="L176" s="615" t="s">
        <v>206</v>
      </c>
      <c r="M176" s="615">
        <f>+'Plan de Accion apoyo transversa'!AX127</f>
        <v>0</v>
      </c>
      <c r="N176" s="615">
        <f t="shared" si="47"/>
        <v>0</v>
      </c>
      <c r="O176" s="617" t="s">
        <v>206</v>
      </c>
      <c r="P176" s="277"/>
      <c r="Q176" s="279">
        <f>+'Plan de Accion apoyo transversa'!BD127</f>
        <v>0</v>
      </c>
      <c r="R176" s="315">
        <f>+'Plan de Accion apoyo transversa'!CG127</f>
        <v>0</v>
      </c>
      <c r="S176" s="276">
        <f t="shared" si="71"/>
        <v>0</v>
      </c>
      <c r="T176" s="373">
        <f>+'Plan de Accion apoyo transversa'!BH127</f>
        <v>0</v>
      </c>
      <c r="U176" s="373">
        <f t="shared" si="72"/>
        <v>0</v>
      </c>
      <c r="V176" s="275">
        <f t="shared" si="73"/>
        <v>0</v>
      </c>
      <c r="W176" s="278"/>
      <c r="X176" s="279">
        <f>+'Plan de Accion apoyo transversa'!BN127</f>
        <v>0</v>
      </c>
      <c r="Y176" s="315">
        <f>+'Plan de Accion apoyo transversa'!CI127</f>
        <v>0</v>
      </c>
      <c r="Z176" s="276">
        <f t="shared" si="74"/>
        <v>0</v>
      </c>
      <c r="AA176" s="282">
        <f>+'Plan de Accion apoyo transversa'!BR127</f>
        <v>0</v>
      </c>
      <c r="AB176" s="282">
        <f t="shared" si="75"/>
        <v>0</v>
      </c>
      <c r="AC176" s="281">
        <f t="shared" si="76"/>
        <v>0</v>
      </c>
      <c r="AD176" s="277"/>
      <c r="AE176" s="279">
        <f>+'Plan de Accion apoyo transversa'!BX127</f>
        <v>0</v>
      </c>
      <c r="AF176" s="315">
        <f>+'Plan de Accion apoyo transversa'!CK127</f>
        <v>0</v>
      </c>
      <c r="AG176" s="276">
        <f t="shared" si="65"/>
        <v>0</v>
      </c>
      <c r="AH176" s="315">
        <f>+'Plan de Accion apoyo transversa'!CB127</f>
        <v>0</v>
      </c>
      <c r="AI176" s="275">
        <f t="shared" si="77"/>
        <v>0</v>
      </c>
      <c r="AJ176" s="295"/>
      <c r="AK176" s="302"/>
      <c r="AL176" s="998"/>
      <c r="AM176" s="998"/>
      <c r="AN176" s="267"/>
      <c r="AO176" s="1009"/>
      <c r="AP176" s="998"/>
      <c r="AQ176" s="267"/>
      <c r="AR176" s="998"/>
      <c r="AS176" s="998"/>
      <c r="AT176" s="267"/>
      <c r="AU176" s="998"/>
      <c r="AV176" s="998"/>
      <c r="AW176" s="265"/>
      <c r="AX176" s="294"/>
      <c r="AY176" s="301"/>
      <c r="AZ176" s="998"/>
      <c r="BA176" s="998"/>
      <c r="BB176" s="267"/>
      <c r="BC176" s="1009"/>
      <c r="BD176" s="998"/>
      <c r="BE176" s="267"/>
      <c r="BF176" s="998"/>
      <c r="BG176" s="998"/>
      <c r="BH176" s="267"/>
      <c r="BI176" s="998"/>
      <c r="BJ176" s="998"/>
      <c r="BK176" s="265"/>
      <c r="BL176" s="294"/>
      <c r="BN176" s="998"/>
      <c r="BO176" s="998"/>
      <c r="BP176" s="267"/>
      <c r="BQ176" s="1009"/>
      <c r="BR176" s="998"/>
      <c r="BS176" s="267"/>
      <c r="BT176" s="998"/>
      <c r="BU176" s="998"/>
      <c r="BV176" s="267"/>
      <c r="BW176" s="998"/>
      <c r="BX176" s="998"/>
      <c r="BY176" s="265"/>
      <c r="BZ176" s="294"/>
      <c r="CB176" s="998"/>
      <c r="CC176" s="998"/>
      <c r="CD176" s="267"/>
      <c r="CE176" s="1009"/>
      <c r="CF176" s="998"/>
      <c r="CG176" s="267"/>
      <c r="CH176" s="998"/>
      <c r="CI176" s="998"/>
      <c r="CJ176" s="267"/>
      <c r="CK176" s="998"/>
      <c r="CL176" s="998"/>
      <c r="CM176" s="265"/>
      <c r="CN176" s="294"/>
    </row>
    <row r="177" spans="2:92" ht="188.25" customHeight="1" x14ac:dyDescent="0.25">
      <c r="B177" s="970"/>
      <c r="C177" s="973"/>
      <c r="D177" s="943"/>
      <c r="E177" s="946"/>
      <c r="F177" s="949"/>
      <c r="G177" s="357" t="str">
        <f>+'Plan de Accion apoyo transversa'!X128</f>
        <v xml:space="preserve">Informe semestral de acceso a información pública PQRS como lo establece la Ley 1474 de 2011. </v>
      </c>
      <c r="H177" s="289" t="str">
        <f>+'Plan de Accion apoyo transversa'!AK128</f>
        <v># Informes semestrales de acceso a información pública PQRS elaborados</v>
      </c>
      <c r="I177" s="303"/>
      <c r="J177" s="283">
        <f>+'Plan de Accion apoyo transversa'!AT128</f>
        <v>1</v>
      </c>
      <c r="K177" s="615">
        <f>+'Plan de Accion apoyo transversa'!CE128</f>
        <v>1</v>
      </c>
      <c r="L177" s="615">
        <f t="shared" si="69"/>
        <v>1</v>
      </c>
      <c r="M177" s="615">
        <f>+'Plan de Accion apoyo transversa'!AX128</f>
        <v>0.5</v>
      </c>
      <c r="N177" s="615">
        <f t="shared" si="47"/>
        <v>0.5</v>
      </c>
      <c r="O177" s="617">
        <f t="shared" si="70"/>
        <v>0.5</v>
      </c>
      <c r="P177" s="277"/>
      <c r="Q177" s="283">
        <f>+'Plan de Accion apoyo transversa'!BD128</f>
        <v>0</v>
      </c>
      <c r="R177" s="315" t="str">
        <f>+'Plan de Accion apoyo transversa'!CG128</f>
        <v>No Prog ni Ejec</v>
      </c>
      <c r="S177" s="276" t="s">
        <v>206</v>
      </c>
      <c r="T177" s="373">
        <f>+'Plan de Accion apoyo transversa'!BH128</f>
        <v>0.5</v>
      </c>
      <c r="U177" s="373">
        <f t="shared" si="72"/>
        <v>0.5</v>
      </c>
      <c r="V177" s="275">
        <f t="shared" si="73"/>
        <v>0.5</v>
      </c>
      <c r="W177" s="278"/>
      <c r="X177" s="283">
        <f>+'Plan de Accion apoyo transversa'!BN128</f>
        <v>0</v>
      </c>
      <c r="Y177" s="315">
        <f>+'Plan de Accion apoyo transversa'!CI128</f>
        <v>0</v>
      </c>
      <c r="Z177" s="276">
        <f t="shared" si="74"/>
        <v>0</v>
      </c>
      <c r="AA177" s="282">
        <f>+'Plan de Accion apoyo transversa'!BR128</f>
        <v>0.5</v>
      </c>
      <c r="AB177" s="282">
        <f t="shared" si="75"/>
        <v>0.5</v>
      </c>
      <c r="AC177" s="281">
        <f t="shared" si="76"/>
        <v>0.5</v>
      </c>
      <c r="AD177" s="277"/>
      <c r="AE177" s="284">
        <f>+'Plan de Accion apoyo transversa'!BX128</f>
        <v>0</v>
      </c>
      <c r="AF177" s="315" t="str">
        <f>+'Plan de Accion apoyo transversa'!CK128</f>
        <v>No Prog ni Ejec</v>
      </c>
      <c r="AG177" s="276" t="s">
        <v>206</v>
      </c>
      <c r="AH177" s="315">
        <f>+'Plan de Accion apoyo transversa'!CB128</f>
        <v>0.5</v>
      </c>
      <c r="AI177" s="275">
        <f t="shared" si="77"/>
        <v>0.5</v>
      </c>
      <c r="AJ177" s="295"/>
      <c r="AK177" s="302"/>
      <c r="AL177" s="998"/>
      <c r="AM177" s="998"/>
      <c r="AN177" s="267"/>
      <c r="AO177" s="1009"/>
      <c r="AP177" s="998"/>
      <c r="AQ177" s="267"/>
      <c r="AR177" s="998"/>
      <c r="AS177" s="998"/>
      <c r="AT177" s="267"/>
      <c r="AU177" s="998"/>
      <c r="AV177" s="998"/>
      <c r="AW177" s="265"/>
      <c r="AX177" s="294"/>
      <c r="AY177" s="301"/>
      <c r="AZ177" s="998"/>
      <c r="BA177" s="998"/>
      <c r="BB177" s="267"/>
      <c r="BC177" s="1009"/>
      <c r="BD177" s="998"/>
      <c r="BE177" s="267"/>
      <c r="BF177" s="998"/>
      <c r="BG177" s="998"/>
      <c r="BH177" s="267"/>
      <c r="BI177" s="998"/>
      <c r="BJ177" s="998"/>
      <c r="BK177" s="265"/>
      <c r="BL177" s="294"/>
      <c r="BN177" s="998"/>
      <c r="BO177" s="998"/>
      <c r="BP177" s="267"/>
      <c r="BQ177" s="1009"/>
      <c r="BR177" s="998"/>
      <c r="BS177" s="267"/>
      <c r="BT177" s="998"/>
      <c r="BU177" s="998"/>
      <c r="BV177" s="267"/>
      <c r="BW177" s="998"/>
      <c r="BX177" s="998"/>
      <c r="BY177" s="265"/>
      <c r="BZ177" s="294"/>
      <c r="CB177" s="998"/>
      <c r="CC177" s="998"/>
      <c r="CD177" s="267"/>
      <c r="CE177" s="1009"/>
      <c r="CF177" s="998"/>
      <c r="CG177" s="267"/>
      <c r="CH177" s="998"/>
      <c r="CI177" s="998"/>
      <c r="CJ177" s="267"/>
      <c r="CK177" s="998"/>
      <c r="CL177" s="998"/>
      <c r="CM177" s="265"/>
      <c r="CN177" s="294"/>
    </row>
    <row r="178" spans="2:92" ht="52.5" customHeight="1" x14ac:dyDescent="0.25">
      <c r="B178" s="970"/>
      <c r="C178" s="973"/>
      <c r="D178" s="943"/>
      <c r="E178" s="946"/>
      <c r="F178" s="949"/>
      <c r="G178" s="357" t="str">
        <f>+'Plan de Accion apoyo transversa'!X129</f>
        <v>Consolidar la información de la atención de Quejas, Peticiones, Reclamos y Sugerencias y elaborar informes trimestrales.</v>
      </c>
      <c r="H178" s="289" t="str">
        <f>+'Plan de Accion apoyo transversa'!AK129</f>
        <v># Informes trimestrales elaborados y socializado</v>
      </c>
      <c r="I178" s="303"/>
      <c r="J178" s="283">
        <f>+'Plan de Accion apoyo transversa'!AT129</f>
        <v>1</v>
      </c>
      <c r="K178" s="615">
        <f>+'Plan de Accion apoyo transversa'!CE129</f>
        <v>1</v>
      </c>
      <c r="L178" s="615">
        <f t="shared" si="69"/>
        <v>1</v>
      </c>
      <c r="M178" s="615">
        <f>+'Plan de Accion apoyo transversa'!AX129</f>
        <v>0.25</v>
      </c>
      <c r="N178" s="615">
        <f t="shared" si="47"/>
        <v>0.25</v>
      </c>
      <c r="O178" s="617">
        <f t="shared" si="70"/>
        <v>0.25</v>
      </c>
      <c r="P178" s="277"/>
      <c r="Q178" s="283">
        <f>+'Plan de Accion apoyo transversa'!BD129</f>
        <v>0</v>
      </c>
      <c r="R178" s="315">
        <f>+'Plan de Accion apoyo transversa'!CG129</f>
        <v>0</v>
      </c>
      <c r="S178" s="276">
        <f t="shared" si="71"/>
        <v>0</v>
      </c>
      <c r="T178" s="373">
        <f>+'Plan de Accion apoyo transversa'!BH129</f>
        <v>0.25</v>
      </c>
      <c r="U178" s="373">
        <f t="shared" si="72"/>
        <v>0.25</v>
      </c>
      <c r="V178" s="275">
        <f t="shared" si="73"/>
        <v>0.25</v>
      </c>
      <c r="W178" s="278"/>
      <c r="X178" s="283">
        <f>+'Plan de Accion apoyo transversa'!BN129</f>
        <v>0</v>
      </c>
      <c r="Y178" s="315">
        <f>+'Plan de Accion apoyo transversa'!CI129</f>
        <v>0</v>
      </c>
      <c r="Z178" s="276">
        <f t="shared" si="74"/>
        <v>0</v>
      </c>
      <c r="AA178" s="282">
        <f>+'Plan de Accion apoyo transversa'!BR129</f>
        <v>0.25</v>
      </c>
      <c r="AB178" s="282">
        <f t="shared" si="75"/>
        <v>0.25</v>
      </c>
      <c r="AC178" s="281">
        <f t="shared" si="76"/>
        <v>0.25</v>
      </c>
      <c r="AD178" s="277"/>
      <c r="AE178" s="284">
        <f>+'Plan de Accion apoyo transversa'!BX129</f>
        <v>0</v>
      </c>
      <c r="AF178" s="315">
        <f>+'Plan de Accion apoyo transversa'!CK129</f>
        <v>0</v>
      </c>
      <c r="AG178" s="276">
        <f t="shared" si="65"/>
        <v>0</v>
      </c>
      <c r="AH178" s="315">
        <f>+'Plan de Accion apoyo transversa'!CB129</f>
        <v>0.25</v>
      </c>
      <c r="AI178" s="275">
        <f t="shared" si="77"/>
        <v>0.25</v>
      </c>
      <c r="AJ178" s="295"/>
      <c r="AK178" s="302"/>
      <c r="AL178" s="998"/>
      <c r="AM178" s="998"/>
      <c r="AN178" s="267"/>
      <c r="AO178" s="1009"/>
      <c r="AP178" s="998"/>
      <c r="AQ178" s="267"/>
      <c r="AR178" s="998"/>
      <c r="AS178" s="998"/>
      <c r="AT178" s="267"/>
      <c r="AU178" s="998"/>
      <c r="AV178" s="998"/>
      <c r="AW178" s="265"/>
      <c r="AX178" s="294"/>
      <c r="AY178" s="301"/>
      <c r="AZ178" s="998"/>
      <c r="BA178" s="998"/>
      <c r="BB178" s="267"/>
      <c r="BC178" s="1009"/>
      <c r="BD178" s="998"/>
      <c r="BE178" s="267"/>
      <c r="BF178" s="998"/>
      <c r="BG178" s="998"/>
      <c r="BH178" s="267"/>
      <c r="BI178" s="998"/>
      <c r="BJ178" s="998"/>
      <c r="BK178" s="265"/>
      <c r="BL178" s="294"/>
      <c r="BN178" s="998"/>
      <c r="BO178" s="998"/>
      <c r="BP178" s="267"/>
      <c r="BQ178" s="1009"/>
      <c r="BR178" s="998"/>
      <c r="BS178" s="267"/>
      <c r="BT178" s="998"/>
      <c r="BU178" s="998"/>
      <c r="BV178" s="267"/>
      <c r="BW178" s="998"/>
      <c r="BX178" s="998"/>
      <c r="BY178" s="265"/>
      <c r="BZ178" s="294"/>
      <c r="CB178" s="998"/>
      <c r="CC178" s="998"/>
      <c r="CD178" s="267"/>
      <c r="CE178" s="1009"/>
      <c r="CF178" s="998"/>
      <c r="CG178" s="267"/>
      <c r="CH178" s="998"/>
      <c r="CI178" s="998"/>
      <c r="CJ178" s="267"/>
      <c r="CK178" s="998"/>
      <c r="CL178" s="998"/>
      <c r="CM178" s="265"/>
      <c r="CN178" s="294"/>
    </row>
    <row r="179" spans="2:92" ht="84" customHeight="1" x14ac:dyDescent="0.25">
      <c r="B179" s="970"/>
      <c r="C179" s="973"/>
      <c r="D179" s="944"/>
      <c r="E179" s="947"/>
      <c r="F179" s="950"/>
      <c r="G179" s="357" t="str">
        <f>+'Plan de Accion apoyo transversa'!X130</f>
        <v>Resoluciones de Apertura</v>
      </c>
      <c r="H179" s="289" t="str">
        <f>+'Plan de Accion apoyo transversa'!AK130</f>
        <v># Actos administrativos  / # procesos licitatorios previstos para la vigencia 2019</v>
      </c>
      <c r="I179" s="303"/>
      <c r="J179" s="279">
        <f>+'Plan de Accion apoyo transversa'!AT130</f>
        <v>0</v>
      </c>
      <c r="K179" s="615" t="str">
        <f>+'Plan de Accion apoyo transversa'!CE130</f>
        <v>No Prog ni Ejec</v>
      </c>
      <c r="L179" s="615" t="s">
        <v>206</v>
      </c>
      <c r="M179" s="615">
        <f>+'Plan de Accion apoyo transversa'!AX130</f>
        <v>0</v>
      </c>
      <c r="N179" s="615">
        <f t="shared" si="47"/>
        <v>0</v>
      </c>
      <c r="O179" s="617" t="s">
        <v>206</v>
      </c>
      <c r="P179" s="277"/>
      <c r="Q179" s="279">
        <f>+'Plan de Accion apoyo transversa'!BD130</f>
        <v>0</v>
      </c>
      <c r="R179" s="315" t="str">
        <f>+'Plan de Accion apoyo transversa'!CG130</f>
        <v>No Prog ni Ejec</v>
      </c>
      <c r="S179" s="276" t="s">
        <v>206</v>
      </c>
      <c r="T179" s="373">
        <f>+'Plan de Accion apoyo transversa'!BH130</f>
        <v>0</v>
      </c>
      <c r="U179" s="373">
        <f t="shared" si="72"/>
        <v>0</v>
      </c>
      <c r="V179" s="275" t="s">
        <v>206</v>
      </c>
      <c r="W179" s="278"/>
      <c r="X179" s="279">
        <f>+'Plan de Accion apoyo transversa'!BN130</f>
        <v>0</v>
      </c>
      <c r="Y179" s="315" t="str">
        <f>+'Plan de Accion apoyo transversa'!CI130</f>
        <v>No Prog ni Ejec</v>
      </c>
      <c r="Z179" s="276" t="s">
        <v>206</v>
      </c>
      <c r="AA179" s="282">
        <f>+'Plan de Accion apoyo transversa'!BR130</f>
        <v>0</v>
      </c>
      <c r="AB179" s="282">
        <f t="shared" si="75"/>
        <v>0</v>
      </c>
      <c r="AC179" s="281" t="s">
        <v>206</v>
      </c>
      <c r="AD179" s="277"/>
      <c r="AE179" s="279">
        <f>+'Plan de Accion apoyo transversa'!BX130</f>
        <v>0</v>
      </c>
      <c r="AF179" s="315">
        <f>+'Plan de Accion apoyo transversa'!CK130</f>
        <v>0</v>
      </c>
      <c r="AG179" s="276">
        <f t="shared" si="65"/>
        <v>0</v>
      </c>
      <c r="AH179" s="315">
        <f>+'Plan de Accion apoyo transversa'!CB130</f>
        <v>0</v>
      </c>
      <c r="AI179" s="275">
        <f t="shared" si="77"/>
        <v>0</v>
      </c>
      <c r="AJ179" s="295"/>
      <c r="AK179" s="302"/>
      <c r="AL179" s="998"/>
      <c r="AM179" s="998"/>
      <c r="AN179" s="267"/>
      <c r="AO179" s="1009"/>
      <c r="AP179" s="998"/>
      <c r="AQ179" s="267"/>
      <c r="AR179" s="998"/>
      <c r="AS179" s="998"/>
      <c r="AT179" s="267"/>
      <c r="AU179" s="998"/>
      <c r="AV179" s="998"/>
      <c r="AW179" s="265"/>
      <c r="AX179" s="294"/>
      <c r="AY179" s="301"/>
      <c r="AZ179" s="998"/>
      <c r="BA179" s="998"/>
      <c r="BB179" s="267"/>
      <c r="BC179" s="1009"/>
      <c r="BD179" s="998"/>
      <c r="BE179" s="267"/>
      <c r="BF179" s="998"/>
      <c r="BG179" s="998"/>
      <c r="BH179" s="267"/>
      <c r="BI179" s="998"/>
      <c r="BJ179" s="998"/>
      <c r="BK179" s="265"/>
      <c r="BL179" s="294"/>
      <c r="BN179" s="998"/>
      <c r="BO179" s="998"/>
      <c r="BP179" s="267"/>
      <c r="BQ179" s="1009"/>
      <c r="BR179" s="998"/>
      <c r="BS179" s="267"/>
      <c r="BT179" s="998"/>
      <c r="BU179" s="998"/>
      <c r="BV179" s="267"/>
      <c r="BW179" s="998"/>
      <c r="BX179" s="998"/>
      <c r="BY179" s="265"/>
      <c r="BZ179" s="294"/>
      <c r="CB179" s="998"/>
      <c r="CC179" s="998"/>
      <c r="CD179" s="267"/>
      <c r="CE179" s="1009"/>
      <c r="CF179" s="998"/>
      <c r="CG179" s="267"/>
      <c r="CH179" s="998"/>
      <c r="CI179" s="998"/>
      <c r="CJ179" s="267"/>
      <c r="CK179" s="998"/>
      <c r="CL179" s="998"/>
      <c r="CM179" s="265"/>
      <c r="CN179" s="294"/>
    </row>
    <row r="180" spans="2:92" ht="33" customHeight="1" x14ac:dyDescent="0.25">
      <c r="B180" s="970"/>
      <c r="C180" s="973"/>
      <c r="D180" s="948" t="s">
        <v>206</v>
      </c>
      <c r="E180" s="945" t="s">
        <v>232</v>
      </c>
      <c r="F180" s="406" t="s">
        <v>332</v>
      </c>
      <c r="G180" s="357" t="str">
        <f>+'Plan de Accion apoyo transversa'!X132</f>
        <v xml:space="preserve">Servicios de Mesa de Ayuda </v>
      </c>
      <c r="H180" s="289" t="str">
        <f>+'Plan de Accion apoyo transversa'!AK132</f>
        <v># Casos de primer nivel atendidos en términos de ANS para el trimestre/ # Casos de primer nivel recibidos con vencimiento de ANS durante el trimestre.</v>
      </c>
      <c r="I180" s="303"/>
      <c r="J180" s="279">
        <f>+'Plan de Accion apoyo transversa'!AT132</f>
        <v>0.22500000000000001</v>
      </c>
      <c r="K180" s="615">
        <f>+'Plan de Accion apoyo transversa'!CE132</f>
        <v>1</v>
      </c>
      <c r="L180" s="615">
        <f t="shared" si="69"/>
        <v>1</v>
      </c>
      <c r="M180" s="615">
        <f>+'Plan de Accion apoyo transversa'!AX132</f>
        <v>0.25</v>
      </c>
      <c r="N180" s="615">
        <f t="shared" si="47"/>
        <v>0.25</v>
      </c>
      <c r="O180" s="617">
        <f t="shared" si="70"/>
        <v>0.25</v>
      </c>
      <c r="P180" s="277"/>
      <c r="Q180" s="279">
        <f>+'Plan de Accion apoyo transversa'!BD132</f>
        <v>0</v>
      </c>
      <c r="R180" s="315">
        <f>+'Plan de Accion apoyo transversa'!CG132</f>
        <v>0</v>
      </c>
      <c r="S180" s="276">
        <f t="shared" si="71"/>
        <v>0</v>
      </c>
      <c r="T180" s="373">
        <f>+'Plan de Accion apoyo transversa'!BH132</f>
        <v>0.25</v>
      </c>
      <c r="U180" s="373">
        <f t="shared" si="72"/>
        <v>0.25</v>
      </c>
      <c r="V180" s="275">
        <f t="shared" si="73"/>
        <v>0.25</v>
      </c>
      <c r="W180" s="278"/>
      <c r="X180" s="279">
        <f>+'Plan de Accion apoyo transversa'!BN132</f>
        <v>0</v>
      </c>
      <c r="Y180" s="315">
        <f>+'Plan de Accion apoyo transversa'!CI132</f>
        <v>0</v>
      </c>
      <c r="Z180" s="276">
        <f t="shared" si="74"/>
        <v>0</v>
      </c>
      <c r="AA180" s="282">
        <f>+'Plan de Accion apoyo transversa'!BR132</f>
        <v>0.25</v>
      </c>
      <c r="AB180" s="282">
        <f t="shared" si="75"/>
        <v>0.25</v>
      </c>
      <c r="AC180" s="281">
        <f t="shared" si="76"/>
        <v>0.25</v>
      </c>
      <c r="AD180" s="277"/>
      <c r="AE180" s="279">
        <f>+'Plan de Accion apoyo transversa'!BX132</f>
        <v>0</v>
      </c>
      <c r="AF180" s="315">
        <f>+'Plan de Accion apoyo transversa'!CK132</f>
        <v>0</v>
      </c>
      <c r="AG180" s="276">
        <f t="shared" si="65"/>
        <v>0</v>
      </c>
      <c r="AH180" s="315">
        <f>+'Plan de Accion apoyo transversa'!CB132</f>
        <v>0.25</v>
      </c>
      <c r="AI180" s="275">
        <f t="shared" si="77"/>
        <v>0.25</v>
      </c>
      <c r="AJ180" s="295"/>
      <c r="AK180" s="302"/>
      <c r="AL180" s="998"/>
      <c r="AM180" s="998"/>
      <c r="AN180" s="267"/>
      <c r="AO180" s="1009"/>
      <c r="AP180" s="998"/>
      <c r="AQ180" s="267"/>
      <c r="AR180" s="998"/>
      <c r="AS180" s="998"/>
      <c r="AT180" s="267"/>
      <c r="AU180" s="998"/>
      <c r="AV180" s="998"/>
      <c r="AW180" s="265"/>
      <c r="AX180" s="294"/>
      <c r="AY180" s="301"/>
      <c r="AZ180" s="998"/>
      <c r="BA180" s="998"/>
      <c r="BB180" s="267"/>
      <c r="BC180" s="1009"/>
      <c r="BD180" s="998"/>
      <c r="BE180" s="267"/>
      <c r="BF180" s="998"/>
      <c r="BG180" s="998"/>
      <c r="BH180" s="267"/>
      <c r="BI180" s="998"/>
      <c r="BJ180" s="998"/>
      <c r="BK180" s="265"/>
      <c r="BL180" s="294"/>
      <c r="BN180" s="998"/>
      <c r="BO180" s="998"/>
      <c r="BP180" s="267"/>
      <c r="BQ180" s="1009"/>
      <c r="BR180" s="998"/>
      <c r="BS180" s="267"/>
      <c r="BT180" s="998"/>
      <c r="BU180" s="998"/>
      <c r="BV180" s="267"/>
      <c r="BW180" s="998"/>
      <c r="BX180" s="998"/>
      <c r="BY180" s="265"/>
      <c r="BZ180" s="294"/>
      <c r="CB180" s="998"/>
      <c r="CC180" s="998"/>
      <c r="CD180" s="267"/>
      <c r="CE180" s="1009"/>
      <c r="CF180" s="998"/>
      <c r="CG180" s="267"/>
      <c r="CH180" s="998"/>
      <c r="CI180" s="998"/>
      <c r="CJ180" s="267"/>
      <c r="CK180" s="998"/>
      <c r="CL180" s="998"/>
      <c r="CM180" s="265"/>
      <c r="CN180" s="294"/>
    </row>
    <row r="181" spans="2:92" ht="79.5" customHeight="1" x14ac:dyDescent="0.25">
      <c r="B181" s="970"/>
      <c r="C181" s="973"/>
      <c r="D181" s="949"/>
      <c r="E181" s="946"/>
      <c r="F181" s="948" t="s">
        <v>561</v>
      </c>
      <c r="G181" s="357" t="str">
        <f>+'Plan de Accion apoyo transversa'!X175</f>
        <v>Registro de las bases de datos con datos personales ante la Superintendencia de Industria y Comercio - SIC</v>
      </c>
      <c r="H181" s="289" t="str">
        <f>+'Plan de Accion apoyo transversa'!AK175</f>
        <v># Registros realizados ante la SIC</v>
      </c>
      <c r="I181" s="303"/>
      <c r="J181" s="279">
        <f>+'Plan de Accion apoyo transversa'!AT175</f>
        <v>1</v>
      </c>
      <c r="K181" s="615">
        <f>+'Plan de Accion apoyo transversa'!CE175</f>
        <v>1</v>
      </c>
      <c r="L181" s="615">
        <f>IF(K181&gt;100%,100%,K181)</f>
        <v>1</v>
      </c>
      <c r="M181" s="615">
        <f>+'Plan de Accion apoyo transversa'!AX175</f>
        <v>1</v>
      </c>
      <c r="N181" s="615">
        <f>IF(M181&gt;100%,100%,M181)</f>
        <v>1</v>
      </c>
      <c r="O181" s="617">
        <f>+N181</f>
        <v>1</v>
      </c>
      <c r="P181" s="277"/>
      <c r="Q181" s="279">
        <f>+'Plan de Accion apoyo transversa'!BD175</f>
        <v>0</v>
      </c>
      <c r="R181" s="315" t="str">
        <f>+'Plan de Accion apoyo transversa'!CG175</f>
        <v>No Prog ni Ejec</v>
      </c>
      <c r="S181" s="276" t="s">
        <v>206</v>
      </c>
      <c r="T181" s="615">
        <f>+'Plan de Accion apoyo transversa'!BH175</f>
        <v>1</v>
      </c>
      <c r="U181" s="615">
        <f>IF(T181&gt;100%,100%,T181)</f>
        <v>1</v>
      </c>
      <c r="V181" s="275" t="s">
        <v>206</v>
      </c>
      <c r="W181" s="278"/>
      <c r="X181" s="279">
        <f>+'Plan de Accion apoyo transversa'!BN175</f>
        <v>0</v>
      </c>
      <c r="Y181" s="315" t="str">
        <f>+'Plan de Accion apoyo transversa'!CI175</f>
        <v>No Prog ni Ejec</v>
      </c>
      <c r="Z181" s="276" t="s">
        <v>206</v>
      </c>
      <c r="AA181" s="282">
        <f>+'Plan de Accion apoyo transversa'!BR175</f>
        <v>1</v>
      </c>
      <c r="AB181" s="282">
        <f>IF(AA181&gt;100%,100%,AA181)</f>
        <v>1</v>
      </c>
      <c r="AC181" s="281" t="s">
        <v>206</v>
      </c>
      <c r="AD181" s="277"/>
      <c r="AE181" s="279">
        <f>+'Plan de Accion apoyo transversa'!BX175</f>
        <v>0</v>
      </c>
      <c r="AF181" s="315" t="str">
        <f>+'Plan de Accion apoyo transversa'!CK175</f>
        <v>No Prog ni Ejec</v>
      </c>
      <c r="AG181" s="276" t="s">
        <v>206</v>
      </c>
      <c r="AH181" s="315">
        <f>+'Plan de Accion apoyo transversa'!CB175</f>
        <v>1</v>
      </c>
      <c r="AI181" s="275">
        <f>IF(AH181&gt;100%,100%,AH181)</f>
        <v>1</v>
      </c>
      <c r="AJ181" s="295"/>
      <c r="AK181" s="302"/>
      <c r="AL181" s="998"/>
      <c r="AM181" s="998"/>
      <c r="AN181" s="267"/>
      <c r="AO181" s="1009"/>
      <c r="AP181" s="998"/>
      <c r="AQ181" s="267"/>
      <c r="AR181" s="998"/>
      <c r="AS181" s="998"/>
      <c r="AT181" s="267"/>
      <c r="AU181" s="998"/>
      <c r="AV181" s="998"/>
      <c r="AW181" s="265"/>
      <c r="AX181" s="294"/>
      <c r="AY181" s="301"/>
      <c r="AZ181" s="998"/>
      <c r="BA181" s="998"/>
      <c r="BB181" s="267"/>
      <c r="BC181" s="1009"/>
      <c r="BD181" s="998"/>
      <c r="BE181" s="267"/>
      <c r="BF181" s="998"/>
      <c r="BG181" s="998"/>
      <c r="BH181" s="267"/>
      <c r="BI181" s="998"/>
      <c r="BJ181" s="998"/>
      <c r="BK181" s="265"/>
      <c r="BL181" s="294"/>
      <c r="BN181" s="998"/>
      <c r="BO181" s="998"/>
      <c r="BP181" s="267"/>
      <c r="BQ181" s="1009"/>
      <c r="BR181" s="998"/>
      <c r="BS181" s="267"/>
      <c r="BT181" s="998"/>
      <c r="BU181" s="998"/>
      <c r="BV181" s="267"/>
      <c r="BW181" s="998"/>
      <c r="BX181" s="998"/>
      <c r="BY181" s="265"/>
      <c r="BZ181" s="294"/>
      <c r="CB181" s="998"/>
      <c r="CC181" s="998"/>
      <c r="CD181" s="267"/>
      <c r="CE181" s="1009"/>
      <c r="CF181" s="998"/>
      <c r="CG181" s="267"/>
      <c r="CH181" s="998"/>
      <c r="CI181" s="998"/>
      <c r="CJ181" s="267"/>
      <c r="CK181" s="998"/>
      <c r="CL181" s="998"/>
      <c r="CM181" s="265"/>
      <c r="CN181" s="294"/>
    </row>
    <row r="182" spans="2:92" ht="69" customHeight="1" x14ac:dyDescent="0.25">
      <c r="B182" s="970"/>
      <c r="C182" s="973"/>
      <c r="D182" s="949"/>
      <c r="E182" s="946"/>
      <c r="F182" s="950"/>
      <c r="G182" s="357" t="str">
        <f>+'Plan de Accion apoyo transversa'!X176</f>
        <v>Solicitudes de autorización para el tratamiento de datos personales</v>
      </c>
      <c r="H182" s="289" t="str">
        <f>+'Plan de Accion apoyo transversa'!AK176</f>
        <v># Solicitudes desarrolladas e implementadas/ #solicitudes definidas</v>
      </c>
      <c r="I182" s="303"/>
      <c r="J182" s="279">
        <f>+'Plan de Accion apoyo transversa'!AT176</f>
        <v>0</v>
      </c>
      <c r="K182" s="615" t="str">
        <f>+'Plan de Accion apoyo transversa'!CE176</f>
        <v>No Prog ni Ejec</v>
      </c>
      <c r="L182" s="615" t="s">
        <v>206</v>
      </c>
      <c r="M182" s="615">
        <f>+'Plan de Accion apoyo transversa'!AX176</f>
        <v>0</v>
      </c>
      <c r="N182" s="615">
        <f>IF(M182&gt;100%,100%,M182)</f>
        <v>0</v>
      </c>
      <c r="O182" s="617" t="s">
        <v>206</v>
      </c>
      <c r="P182" s="277"/>
      <c r="Q182" s="279">
        <f>+'Plan de Accion apoyo transversa'!BD176</f>
        <v>0</v>
      </c>
      <c r="R182" s="315">
        <f>+'Plan de Accion apoyo transversa'!CG176</f>
        <v>0</v>
      </c>
      <c r="S182" s="276">
        <f t="shared" si="71"/>
        <v>0</v>
      </c>
      <c r="T182" s="615">
        <f>+'Plan de Accion apoyo transversa'!BH176</f>
        <v>0</v>
      </c>
      <c r="U182" s="615">
        <f>IF(T182&gt;100%,100%,T182)</f>
        <v>0</v>
      </c>
      <c r="V182" s="275">
        <f t="shared" si="73"/>
        <v>0</v>
      </c>
      <c r="W182" s="278"/>
      <c r="X182" s="279">
        <f>+'Plan de Accion apoyo transversa'!BN176</f>
        <v>0</v>
      </c>
      <c r="Y182" s="315" t="str">
        <f>+'Plan de Accion apoyo transversa'!CI176</f>
        <v>No Prog ni Ejec</v>
      </c>
      <c r="Z182" s="276" t="s">
        <v>206</v>
      </c>
      <c r="AA182" s="282">
        <f>+'Plan de Accion apoyo transversa'!BR176</f>
        <v>0</v>
      </c>
      <c r="AB182" s="282">
        <f>IF(AA182&gt;100%,100%,AA182)</f>
        <v>0</v>
      </c>
      <c r="AC182" s="281" t="s">
        <v>206</v>
      </c>
      <c r="AD182" s="277"/>
      <c r="AE182" s="279">
        <f>+'Plan de Accion apoyo transversa'!BX176</f>
        <v>0</v>
      </c>
      <c r="AF182" s="315">
        <f>+'Plan de Accion apoyo transversa'!CK176</f>
        <v>0</v>
      </c>
      <c r="AG182" s="276">
        <f t="shared" si="65"/>
        <v>0</v>
      </c>
      <c r="AH182" s="315">
        <f>+'Plan de Accion apoyo transversa'!CB176</f>
        <v>0</v>
      </c>
      <c r="AI182" s="275">
        <f>IF(AH182&gt;100%,100%,AH182)</f>
        <v>0</v>
      </c>
      <c r="AJ182" s="295"/>
      <c r="AK182" s="302"/>
      <c r="AL182" s="998"/>
      <c r="AM182" s="998"/>
      <c r="AN182" s="267"/>
      <c r="AO182" s="1009"/>
      <c r="AP182" s="998"/>
      <c r="AQ182" s="267"/>
      <c r="AR182" s="998"/>
      <c r="AS182" s="998"/>
      <c r="AT182" s="267"/>
      <c r="AU182" s="998"/>
      <c r="AV182" s="998"/>
      <c r="AW182" s="265"/>
      <c r="AX182" s="294"/>
      <c r="AY182" s="301"/>
      <c r="AZ182" s="998"/>
      <c r="BA182" s="998"/>
      <c r="BB182" s="267"/>
      <c r="BC182" s="1009"/>
      <c r="BD182" s="998"/>
      <c r="BE182" s="267"/>
      <c r="BF182" s="998"/>
      <c r="BG182" s="998"/>
      <c r="BH182" s="267"/>
      <c r="BI182" s="998"/>
      <c r="BJ182" s="998"/>
      <c r="BK182" s="265"/>
      <c r="BL182" s="294"/>
      <c r="BN182" s="998"/>
      <c r="BO182" s="998"/>
      <c r="BP182" s="267"/>
      <c r="BQ182" s="1009"/>
      <c r="BR182" s="998"/>
      <c r="BS182" s="267"/>
      <c r="BT182" s="998"/>
      <c r="BU182" s="998"/>
      <c r="BV182" s="267"/>
      <c r="BW182" s="998"/>
      <c r="BX182" s="998"/>
      <c r="BY182" s="265"/>
      <c r="BZ182" s="294"/>
      <c r="CB182" s="998"/>
      <c r="CC182" s="998"/>
      <c r="CD182" s="267"/>
      <c r="CE182" s="1009"/>
      <c r="CF182" s="998"/>
      <c r="CG182" s="267"/>
      <c r="CH182" s="998"/>
      <c r="CI182" s="998"/>
      <c r="CJ182" s="267"/>
      <c r="CK182" s="998"/>
      <c r="CL182" s="998"/>
      <c r="CM182" s="265"/>
      <c r="CN182" s="294"/>
    </row>
    <row r="183" spans="2:92" ht="153.75" customHeight="1" x14ac:dyDescent="0.25">
      <c r="B183" s="970"/>
      <c r="C183" s="973"/>
      <c r="D183" s="950"/>
      <c r="E183" s="947"/>
      <c r="F183" s="406" t="s">
        <v>338</v>
      </c>
      <c r="G183" s="357" t="str">
        <f>+'Plan de Accion apoyo transversa'!X140</f>
        <v>Implementación de un módulo tecnológico en el CRM como herramienta de medición de oportunidad de respuestas a PQRSD.</v>
      </c>
      <c r="H183" s="289" t="str">
        <f>+'Plan de Accion apoyo transversa'!AK140</f>
        <v># Módulos tecnológicos en el CRM como herramienta de medición de oportunidad de respuestas a PQRSD implementados.</v>
      </c>
      <c r="I183" s="303"/>
      <c r="J183" s="283">
        <f>+'Plan de Accion apoyo transversa'!AT140</f>
        <v>1</v>
      </c>
      <c r="K183" s="615">
        <f>+'Plan de Accion apoyo transversa'!CE140</f>
        <v>1</v>
      </c>
      <c r="L183" s="615">
        <f t="shared" si="69"/>
        <v>1</v>
      </c>
      <c r="M183" s="615">
        <f>+'Plan de Accion apoyo transversa'!AX140</f>
        <v>1</v>
      </c>
      <c r="N183" s="615">
        <f t="shared" si="47"/>
        <v>1</v>
      </c>
      <c r="O183" s="617">
        <f>+N183</f>
        <v>1</v>
      </c>
      <c r="P183" s="277"/>
      <c r="Q183" s="283">
        <f>+'Plan de Accion apoyo transversa'!BD140</f>
        <v>0</v>
      </c>
      <c r="R183" s="315" t="str">
        <f>+'Plan de Accion apoyo transversa'!CG140</f>
        <v>No Prog ni Ejec</v>
      </c>
      <c r="S183" s="276" t="s">
        <v>206</v>
      </c>
      <c r="T183" s="373">
        <f>+'Plan de Accion apoyo transversa'!BH140</f>
        <v>1</v>
      </c>
      <c r="U183" s="373">
        <f t="shared" si="72"/>
        <v>1</v>
      </c>
      <c r="V183" s="275">
        <f t="shared" si="73"/>
        <v>1</v>
      </c>
      <c r="W183" s="278"/>
      <c r="X183" s="283">
        <f>+'Plan de Accion apoyo transversa'!BN140</f>
        <v>0</v>
      </c>
      <c r="Y183" s="315" t="str">
        <f>+'Plan de Accion apoyo transversa'!CI140</f>
        <v>No Prog ni Ejec</v>
      </c>
      <c r="Z183" s="276" t="s">
        <v>206</v>
      </c>
      <c r="AA183" s="282">
        <f>+'Plan de Accion apoyo transversa'!BR140</f>
        <v>1</v>
      </c>
      <c r="AB183" s="282">
        <f t="shared" si="75"/>
        <v>1</v>
      </c>
      <c r="AC183" s="281">
        <f t="shared" si="76"/>
        <v>1</v>
      </c>
      <c r="AD183" s="277"/>
      <c r="AE183" s="284">
        <f>+'Plan de Accion apoyo transversa'!BX140</f>
        <v>0</v>
      </c>
      <c r="AF183" s="315" t="str">
        <f>+'Plan de Accion apoyo transversa'!CK140</f>
        <v>No Prog ni Ejec</v>
      </c>
      <c r="AG183" s="276" t="s">
        <v>206</v>
      </c>
      <c r="AH183" s="315">
        <f>+'Plan de Accion apoyo transversa'!CB140</f>
        <v>1</v>
      </c>
      <c r="AI183" s="275">
        <f t="shared" si="77"/>
        <v>1</v>
      </c>
      <c r="AJ183" s="295"/>
      <c r="AK183" s="302"/>
      <c r="AL183" s="998"/>
      <c r="AM183" s="998"/>
      <c r="AN183" s="267"/>
      <c r="AO183" s="1009"/>
      <c r="AP183" s="998"/>
      <c r="AQ183" s="267"/>
      <c r="AR183" s="998"/>
      <c r="AS183" s="998"/>
      <c r="AT183" s="267"/>
      <c r="AU183" s="998"/>
      <c r="AV183" s="998"/>
      <c r="AW183" s="265"/>
      <c r="AX183" s="294"/>
      <c r="AY183" s="301"/>
      <c r="AZ183" s="998"/>
      <c r="BA183" s="998"/>
      <c r="BB183" s="267"/>
      <c r="BC183" s="1009"/>
      <c r="BD183" s="998"/>
      <c r="BE183" s="267"/>
      <c r="BF183" s="998"/>
      <c r="BG183" s="998"/>
      <c r="BH183" s="267"/>
      <c r="BI183" s="998"/>
      <c r="BJ183" s="998"/>
      <c r="BK183" s="265"/>
      <c r="BL183" s="294"/>
      <c r="BN183" s="998"/>
      <c r="BO183" s="998"/>
      <c r="BP183" s="267"/>
      <c r="BQ183" s="1009"/>
      <c r="BR183" s="998"/>
      <c r="BS183" s="267"/>
      <c r="BT183" s="998"/>
      <c r="BU183" s="998"/>
      <c r="BV183" s="267"/>
      <c r="BW183" s="998"/>
      <c r="BX183" s="998"/>
      <c r="BY183" s="265"/>
      <c r="BZ183" s="294"/>
      <c r="CB183" s="998"/>
      <c r="CC183" s="998"/>
      <c r="CD183" s="267"/>
      <c r="CE183" s="1009"/>
      <c r="CF183" s="998"/>
      <c r="CG183" s="267"/>
      <c r="CH183" s="998"/>
      <c r="CI183" s="998"/>
      <c r="CJ183" s="267"/>
      <c r="CK183" s="998"/>
      <c r="CL183" s="998"/>
      <c r="CM183" s="265"/>
      <c r="CN183" s="294"/>
    </row>
    <row r="184" spans="2:92" ht="102" customHeight="1" x14ac:dyDescent="0.25">
      <c r="B184" s="970"/>
      <c r="C184" s="973"/>
      <c r="D184" s="948" t="s">
        <v>206</v>
      </c>
      <c r="E184" s="945" t="s">
        <v>1302</v>
      </c>
      <c r="F184" s="948" t="s">
        <v>338</v>
      </c>
      <c r="G184" s="357" t="str">
        <f>+'Plan de Accion apoyo transversa'!X151</f>
        <v>Política publicada en página web.</v>
      </c>
      <c r="H184" s="289" t="str">
        <f>+'Plan de Accion apoyo transversa'!AK151</f>
        <v># Políticas publicadas en página web.</v>
      </c>
      <c r="I184" s="303"/>
      <c r="J184" s="283">
        <f>+'Plan de Accion apoyo transversa'!AT151</f>
        <v>0</v>
      </c>
      <c r="K184" s="615" t="str">
        <f>+'Plan de Accion apoyo transversa'!CE151</f>
        <v>No Prog ni Ejec</v>
      </c>
      <c r="L184" s="615" t="s">
        <v>206</v>
      </c>
      <c r="M184" s="615">
        <f>+'Plan de Accion apoyo transversa'!AX151</f>
        <v>0</v>
      </c>
      <c r="N184" s="615">
        <f t="shared" si="47"/>
        <v>0</v>
      </c>
      <c r="O184" s="617" t="s">
        <v>206</v>
      </c>
      <c r="P184" s="277"/>
      <c r="Q184" s="283">
        <f>+'Plan de Accion apoyo transversa'!BD151</f>
        <v>0</v>
      </c>
      <c r="R184" s="315">
        <f>+'Plan de Accion apoyo transversa'!CG151</f>
        <v>0</v>
      </c>
      <c r="S184" s="276">
        <f t="shared" si="71"/>
        <v>0</v>
      </c>
      <c r="T184" s="373">
        <f>+'Plan de Accion apoyo transversa'!BH151</f>
        <v>0</v>
      </c>
      <c r="U184" s="373">
        <f t="shared" si="72"/>
        <v>0</v>
      </c>
      <c r="V184" s="275">
        <f t="shared" si="73"/>
        <v>0</v>
      </c>
      <c r="W184" s="278"/>
      <c r="X184" s="283">
        <f>+'Plan de Accion apoyo transversa'!BN151</f>
        <v>0</v>
      </c>
      <c r="Y184" s="315" t="str">
        <f>+'Plan de Accion apoyo transversa'!CI151</f>
        <v>No Prog ni Ejec</v>
      </c>
      <c r="Z184" s="276" t="s">
        <v>206</v>
      </c>
      <c r="AA184" s="282">
        <f>+'Plan de Accion apoyo transversa'!BR151</f>
        <v>0</v>
      </c>
      <c r="AB184" s="282">
        <f t="shared" si="75"/>
        <v>0</v>
      </c>
      <c r="AC184" s="281">
        <f t="shared" si="76"/>
        <v>0</v>
      </c>
      <c r="AD184" s="277"/>
      <c r="AE184" s="284">
        <f>+'Plan de Accion apoyo transversa'!BX151</f>
        <v>0</v>
      </c>
      <c r="AF184" s="315" t="str">
        <f>+'Plan de Accion apoyo transversa'!CK151</f>
        <v>No Prog ni Ejec</v>
      </c>
      <c r="AG184" s="276" t="s">
        <v>206</v>
      </c>
      <c r="AH184" s="315">
        <f>+'Plan de Accion apoyo transversa'!CB151</f>
        <v>0</v>
      </c>
      <c r="AI184" s="275">
        <f t="shared" si="77"/>
        <v>0</v>
      </c>
      <c r="AJ184" s="295"/>
      <c r="AK184" s="302"/>
      <c r="AL184" s="998"/>
      <c r="AM184" s="998"/>
      <c r="AN184" s="267"/>
      <c r="AO184" s="1009"/>
      <c r="AP184" s="998"/>
      <c r="AQ184" s="267"/>
      <c r="AR184" s="998"/>
      <c r="AS184" s="998"/>
      <c r="AT184" s="267"/>
      <c r="AU184" s="998"/>
      <c r="AV184" s="998"/>
      <c r="AW184" s="265"/>
      <c r="AX184" s="294"/>
      <c r="AY184" s="301"/>
      <c r="AZ184" s="998"/>
      <c r="BA184" s="998"/>
      <c r="BB184" s="267"/>
      <c r="BC184" s="1009"/>
      <c r="BD184" s="998"/>
      <c r="BE184" s="267"/>
      <c r="BF184" s="998"/>
      <c r="BG184" s="998"/>
      <c r="BH184" s="267"/>
      <c r="BI184" s="998"/>
      <c r="BJ184" s="998"/>
      <c r="BK184" s="265"/>
      <c r="BL184" s="294"/>
      <c r="BN184" s="998"/>
      <c r="BO184" s="998"/>
      <c r="BP184" s="267"/>
      <c r="BQ184" s="1009"/>
      <c r="BR184" s="998"/>
      <c r="BS184" s="267"/>
      <c r="BT184" s="998"/>
      <c r="BU184" s="998"/>
      <c r="BV184" s="267"/>
      <c r="BW184" s="998"/>
      <c r="BX184" s="998"/>
      <c r="BY184" s="265"/>
      <c r="BZ184" s="294"/>
      <c r="CB184" s="998"/>
      <c r="CC184" s="998"/>
      <c r="CD184" s="267"/>
      <c r="CE184" s="1009"/>
      <c r="CF184" s="998"/>
      <c r="CG184" s="267"/>
      <c r="CH184" s="998"/>
      <c r="CI184" s="998"/>
      <c r="CJ184" s="267"/>
      <c r="CK184" s="998"/>
      <c r="CL184" s="998"/>
      <c r="CM184" s="265"/>
      <c r="CN184" s="294"/>
    </row>
    <row r="185" spans="2:92" ht="72" thickBot="1" x14ac:dyDescent="0.3">
      <c r="B185" s="970"/>
      <c r="C185" s="973"/>
      <c r="D185" s="949"/>
      <c r="E185" s="946"/>
      <c r="F185" s="949"/>
      <c r="G185" s="357" t="str">
        <f>+'Plan de Accion apoyo transversa'!X156</f>
        <v>Informe consolidado de observaciones, recomendaciones y comentarios al Mapa de Riesgos y al Plan de Acción</v>
      </c>
      <c r="H185" s="289" t="str">
        <f>+'Plan de Accion apoyo transversa'!AK156</f>
        <v># lnformes al Mapa de Riesgos y al Plan de Acción</v>
      </c>
      <c r="I185" s="303"/>
      <c r="J185" s="283">
        <f>+'Plan de Accion apoyo transversa'!AT156</f>
        <v>1</v>
      </c>
      <c r="K185" s="615">
        <f>+'Plan de Accion apoyo transversa'!CE156</f>
        <v>1</v>
      </c>
      <c r="L185" s="615">
        <f t="shared" si="69"/>
        <v>1</v>
      </c>
      <c r="M185" s="615">
        <f>+'Plan de Accion apoyo transversa'!AX156</f>
        <v>1</v>
      </c>
      <c r="N185" s="615">
        <f t="shared" si="47"/>
        <v>1</v>
      </c>
      <c r="O185" s="617">
        <f>+N185</f>
        <v>1</v>
      </c>
      <c r="P185" s="277"/>
      <c r="Q185" s="283">
        <f>+'Plan de Accion apoyo transversa'!BD156</f>
        <v>0</v>
      </c>
      <c r="R185" s="315" t="str">
        <f>+'Plan de Accion apoyo transversa'!CG156</f>
        <v>No Prog ni Ejec</v>
      </c>
      <c r="S185" s="276" t="s">
        <v>206</v>
      </c>
      <c r="T185" s="373">
        <f>+'Plan de Accion apoyo transversa'!BH156</f>
        <v>1</v>
      </c>
      <c r="U185" s="373">
        <f t="shared" si="72"/>
        <v>1</v>
      </c>
      <c r="V185" s="275">
        <f t="shared" si="73"/>
        <v>1</v>
      </c>
      <c r="W185" s="278"/>
      <c r="X185" s="283">
        <f>+'Plan de Accion apoyo transversa'!BN156</f>
        <v>0</v>
      </c>
      <c r="Y185" s="315" t="str">
        <f>+'Plan de Accion apoyo transversa'!CI156</f>
        <v>No Prog ni Ejec</v>
      </c>
      <c r="Z185" s="276" t="s">
        <v>206</v>
      </c>
      <c r="AA185" s="282">
        <f>+'Plan de Accion apoyo transversa'!BR156</f>
        <v>1</v>
      </c>
      <c r="AB185" s="282">
        <f t="shared" si="75"/>
        <v>1</v>
      </c>
      <c r="AC185" s="281">
        <f t="shared" si="76"/>
        <v>1</v>
      </c>
      <c r="AD185" s="277"/>
      <c r="AE185" s="284">
        <f>+'Plan de Accion apoyo transversa'!BX156</f>
        <v>0</v>
      </c>
      <c r="AF185" s="315" t="str">
        <f>+'Plan de Accion apoyo transversa'!CK156</f>
        <v>No Prog ni Ejec</v>
      </c>
      <c r="AG185" s="276" t="s">
        <v>206</v>
      </c>
      <c r="AH185" s="315">
        <f>+'Plan de Accion apoyo transversa'!CB156</f>
        <v>1</v>
      </c>
      <c r="AI185" s="275">
        <f t="shared" si="77"/>
        <v>1</v>
      </c>
      <c r="AJ185" s="293"/>
      <c r="AK185" s="302"/>
      <c r="AL185" s="999"/>
      <c r="AM185" s="999"/>
      <c r="AN185" s="267"/>
      <c r="AO185" s="1010"/>
      <c r="AP185" s="999"/>
      <c r="AQ185" s="267"/>
      <c r="AR185" s="999"/>
      <c r="AS185" s="999"/>
      <c r="AT185" s="267"/>
      <c r="AU185" s="999"/>
      <c r="AV185" s="999"/>
      <c r="AW185" s="265"/>
      <c r="AX185" s="292"/>
      <c r="AY185" s="301"/>
      <c r="AZ185" s="999"/>
      <c r="BA185" s="999"/>
      <c r="BB185" s="267"/>
      <c r="BC185" s="1010"/>
      <c r="BD185" s="999"/>
      <c r="BE185" s="267"/>
      <c r="BF185" s="999"/>
      <c r="BG185" s="999"/>
      <c r="BH185" s="267"/>
      <c r="BI185" s="999"/>
      <c r="BJ185" s="999"/>
      <c r="BK185" s="265"/>
      <c r="BL185" s="292"/>
      <c r="BN185" s="999"/>
      <c r="BO185" s="999"/>
      <c r="BP185" s="267"/>
      <c r="BQ185" s="1010"/>
      <c r="BR185" s="999"/>
      <c r="BS185" s="267"/>
      <c r="BT185" s="999"/>
      <c r="BU185" s="999"/>
      <c r="BV185" s="267"/>
      <c r="BW185" s="999"/>
      <c r="BX185" s="999"/>
      <c r="BY185" s="265"/>
      <c r="BZ185" s="292"/>
      <c r="CB185" s="999"/>
      <c r="CC185" s="999"/>
      <c r="CD185" s="267"/>
      <c r="CE185" s="1010"/>
      <c r="CF185" s="999"/>
      <c r="CG185" s="267"/>
      <c r="CH185" s="999"/>
      <c r="CI185" s="999"/>
      <c r="CJ185" s="267"/>
      <c r="CK185" s="999"/>
      <c r="CL185" s="999"/>
      <c r="CM185" s="265"/>
      <c r="CN185" s="292"/>
    </row>
    <row r="186" spans="2:92" ht="90.75" customHeight="1" x14ac:dyDescent="0.25">
      <c r="B186" s="970"/>
      <c r="C186" s="973"/>
      <c r="D186" s="949"/>
      <c r="E186" s="946"/>
      <c r="F186" s="949"/>
      <c r="G186" s="357" t="str">
        <f>+'Plan de Accion apoyo transversa'!X157</f>
        <v>Sección de publicación de información habilitada en el sitio de transparencia de la página Web</v>
      </c>
      <c r="H186" s="289" t="str">
        <f>+'Plan de Accion apoyo transversa'!AK157</f>
        <v># Secciones de publicación de información habilitadas</v>
      </c>
      <c r="I186" s="303"/>
      <c r="J186" s="283">
        <f>+'Plan de Accion apoyo transversa'!AT157</f>
        <v>0</v>
      </c>
      <c r="K186" s="615" t="str">
        <f>+'Plan de Accion apoyo transversa'!CE157</f>
        <v>No Prog ni Ejec</v>
      </c>
      <c r="L186" s="615" t="s">
        <v>206</v>
      </c>
      <c r="M186" s="615">
        <f>+'Plan de Accion apoyo transversa'!AX157</f>
        <v>0</v>
      </c>
      <c r="N186" s="615">
        <f t="shared" si="47"/>
        <v>0</v>
      </c>
      <c r="O186" s="617" t="s">
        <v>206</v>
      </c>
      <c r="P186" s="277"/>
      <c r="Q186" s="283">
        <f>+'Plan de Accion apoyo transversa'!BD157</f>
        <v>0</v>
      </c>
      <c r="R186" s="315">
        <f>+'Plan de Accion apoyo transversa'!CG157</f>
        <v>0</v>
      </c>
      <c r="S186" s="276">
        <f t="shared" si="71"/>
        <v>0</v>
      </c>
      <c r="T186" s="373">
        <f>+'Plan de Accion apoyo transversa'!BH157</f>
        <v>0</v>
      </c>
      <c r="U186" s="373">
        <f t="shared" si="72"/>
        <v>0</v>
      </c>
      <c r="V186" s="275">
        <f t="shared" si="73"/>
        <v>0</v>
      </c>
      <c r="W186" s="278"/>
      <c r="X186" s="283">
        <f>+'Plan de Accion apoyo transversa'!BN157</f>
        <v>0</v>
      </c>
      <c r="Y186" s="315" t="str">
        <f>+'Plan de Accion apoyo transversa'!CI157</f>
        <v>No Prog ni Ejec</v>
      </c>
      <c r="Z186" s="276" t="s">
        <v>206</v>
      </c>
      <c r="AA186" s="282">
        <f>+'Plan de Accion apoyo transversa'!BR157</f>
        <v>0</v>
      </c>
      <c r="AB186" s="282">
        <f t="shared" si="75"/>
        <v>0</v>
      </c>
      <c r="AC186" s="281">
        <f t="shared" si="76"/>
        <v>0</v>
      </c>
      <c r="AD186" s="277"/>
      <c r="AE186" s="284">
        <f>+'Plan de Accion apoyo transversa'!BX157</f>
        <v>0</v>
      </c>
      <c r="AF186" s="315" t="str">
        <f>+'Plan de Accion apoyo transversa'!CK157</f>
        <v>No Prog ni Ejec</v>
      </c>
      <c r="AG186" s="276" t="s">
        <v>206</v>
      </c>
      <c r="AH186" s="315">
        <f>+'Plan de Accion apoyo transversa'!CB157</f>
        <v>0</v>
      </c>
      <c r="AI186" s="275">
        <f t="shared" si="77"/>
        <v>0</v>
      </c>
      <c r="AJ186" s="295"/>
      <c r="AK186" s="302"/>
      <c r="AL186" s="271"/>
      <c r="AM186" s="271"/>
      <c r="AN186" s="267"/>
      <c r="AO186" s="272"/>
      <c r="AP186" s="271"/>
      <c r="AQ186" s="267"/>
      <c r="AR186" s="271"/>
      <c r="AS186" s="271"/>
      <c r="AT186" s="267"/>
      <c r="AU186" s="271"/>
      <c r="AV186" s="271"/>
      <c r="AW186" s="265"/>
      <c r="AX186" s="294"/>
      <c r="AY186" s="301"/>
      <c r="AZ186" s="271"/>
      <c r="BA186" s="271"/>
      <c r="BB186" s="267"/>
      <c r="BC186" s="272"/>
      <c r="BD186" s="271"/>
      <c r="BE186" s="267"/>
      <c r="BF186" s="271"/>
      <c r="BG186" s="271"/>
      <c r="BH186" s="267"/>
      <c r="BI186" s="271"/>
      <c r="BJ186" s="271"/>
      <c r="BK186" s="265"/>
      <c r="BL186" s="294"/>
      <c r="BN186" s="271"/>
      <c r="BO186" s="271"/>
      <c r="BP186" s="267"/>
      <c r="BQ186" s="272"/>
      <c r="BR186" s="271"/>
      <c r="BS186" s="267"/>
      <c r="BT186" s="271"/>
      <c r="BU186" s="271"/>
      <c r="BV186" s="267"/>
      <c r="BW186" s="271"/>
      <c r="BX186" s="271"/>
      <c r="BY186" s="265"/>
      <c r="BZ186" s="294"/>
      <c r="CB186" s="271"/>
      <c r="CC186" s="271"/>
      <c r="CD186" s="267"/>
      <c r="CE186" s="272"/>
      <c r="CF186" s="271"/>
      <c r="CG186" s="267"/>
      <c r="CH186" s="271"/>
      <c r="CI186" s="271"/>
      <c r="CJ186" s="267"/>
      <c r="CK186" s="271"/>
      <c r="CL186" s="271"/>
      <c r="CM186" s="265"/>
      <c r="CN186" s="294"/>
    </row>
    <row r="187" spans="2:92" ht="77.25" customHeight="1" x14ac:dyDescent="0.25">
      <c r="B187" s="970"/>
      <c r="C187" s="973"/>
      <c r="D187" s="949"/>
      <c r="E187" s="946"/>
      <c r="F187" s="949"/>
      <c r="G187" s="357" t="str">
        <f>+'Plan de Accion apoyo transversa'!X158</f>
        <v>Informe de gestión de la entidad vigencia 2018 publicado</v>
      </c>
      <c r="H187" s="289" t="str">
        <f>+'Plan de Accion apoyo transversa'!AK158</f>
        <v># Informes de gestión publicados</v>
      </c>
      <c r="I187" s="303"/>
      <c r="J187" s="283">
        <f>+'Plan de Accion apoyo transversa'!AT158</f>
        <v>1</v>
      </c>
      <c r="K187" s="615">
        <f>+'Plan de Accion apoyo transversa'!CE158</f>
        <v>1</v>
      </c>
      <c r="L187" s="615">
        <f t="shared" si="69"/>
        <v>1</v>
      </c>
      <c r="M187" s="615">
        <f>+'Plan de Accion apoyo transversa'!AX158</f>
        <v>1</v>
      </c>
      <c r="N187" s="615">
        <f t="shared" si="47"/>
        <v>1</v>
      </c>
      <c r="O187" s="617">
        <f>+N187</f>
        <v>1</v>
      </c>
      <c r="P187" s="277"/>
      <c r="Q187" s="283">
        <f>+'Plan de Accion apoyo transversa'!BD158</f>
        <v>0</v>
      </c>
      <c r="R187" s="315" t="str">
        <f>+'Plan de Accion apoyo transversa'!CG158</f>
        <v>No Prog ni Ejec</v>
      </c>
      <c r="S187" s="276" t="s">
        <v>206</v>
      </c>
      <c r="T187" s="373">
        <f>+'Plan de Accion apoyo transversa'!BH158</f>
        <v>1</v>
      </c>
      <c r="U187" s="373">
        <f t="shared" si="72"/>
        <v>1</v>
      </c>
      <c r="V187" s="275">
        <f t="shared" si="73"/>
        <v>1</v>
      </c>
      <c r="W187" s="278"/>
      <c r="X187" s="283">
        <f>+'Plan de Accion apoyo transversa'!BN158</f>
        <v>0</v>
      </c>
      <c r="Y187" s="315" t="str">
        <f>+'Plan de Accion apoyo transversa'!CI158</f>
        <v>No Prog ni Ejec</v>
      </c>
      <c r="Z187" s="276" t="s">
        <v>206</v>
      </c>
      <c r="AA187" s="282">
        <f>+'Plan de Accion apoyo transversa'!BR158</f>
        <v>1</v>
      </c>
      <c r="AB187" s="282">
        <f t="shared" si="75"/>
        <v>1</v>
      </c>
      <c r="AC187" s="281">
        <f t="shared" si="76"/>
        <v>1</v>
      </c>
      <c r="AD187" s="277"/>
      <c r="AE187" s="284">
        <f>+'Plan de Accion apoyo transversa'!BX158</f>
        <v>0</v>
      </c>
      <c r="AF187" s="315" t="str">
        <f>+'Plan de Accion apoyo transversa'!CK158</f>
        <v>No Prog ni Ejec</v>
      </c>
      <c r="AG187" s="276" t="s">
        <v>206</v>
      </c>
      <c r="AH187" s="315">
        <f>+'Plan de Accion apoyo transversa'!CB158</f>
        <v>1</v>
      </c>
      <c r="AI187" s="275">
        <f t="shared" si="77"/>
        <v>1</v>
      </c>
      <c r="AJ187" s="295"/>
      <c r="AK187" s="302"/>
      <c r="AL187" s="271"/>
      <c r="AM187" s="271"/>
      <c r="AN187" s="267"/>
      <c r="AO187" s="272"/>
      <c r="AP187" s="271"/>
      <c r="AQ187" s="267"/>
      <c r="AR187" s="271"/>
      <c r="AS187" s="271"/>
      <c r="AT187" s="267"/>
      <c r="AU187" s="271"/>
      <c r="AV187" s="271"/>
      <c r="AW187" s="265"/>
      <c r="AX187" s="294"/>
      <c r="AY187" s="301"/>
      <c r="AZ187" s="271"/>
      <c r="BA187" s="271"/>
      <c r="BB187" s="267"/>
      <c r="BC187" s="272"/>
      <c r="BD187" s="271"/>
      <c r="BE187" s="267"/>
      <c r="BF187" s="271"/>
      <c r="BG187" s="271"/>
      <c r="BH187" s="267"/>
      <c r="BI187" s="271"/>
      <c r="BJ187" s="271"/>
      <c r="BK187" s="265"/>
      <c r="BL187" s="294"/>
      <c r="BN187" s="271"/>
      <c r="BO187" s="271"/>
      <c r="BP187" s="267"/>
      <c r="BQ187" s="272"/>
      <c r="BR187" s="271"/>
      <c r="BS187" s="267"/>
      <c r="BT187" s="271"/>
      <c r="BU187" s="271"/>
      <c r="BV187" s="267"/>
      <c r="BW187" s="271"/>
      <c r="BX187" s="271"/>
      <c r="BY187" s="265"/>
      <c r="BZ187" s="294"/>
      <c r="CB187" s="271"/>
      <c r="CC187" s="271"/>
      <c r="CD187" s="267"/>
      <c r="CE187" s="272"/>
      <c r="CF187" s="271"/>
      <c r="CG187" s="267"/>
      <c r="CH187" s="271"/>
      <c r="CI187" s="271"/>
      <c r="CJ187" s="267"/>
      <c r="CK187" s="271"/>
      <c r="CL187" s="271"/>
      <c r="CM187" s="265"/>
      <c r="CN187" s="294"/>
    </row>
    <row r="188" spans="2:92" ht="69.75" customHeight="1" x14ac:dyDescent="0.25">
      <c r="B188" s="970"/>
      <c r="C188" s="973"/>
      <c r="D188" s="949"/>
      <c r="E188" s="946"/>
      <c r="F188" s="949"/>
      <c r="G188" s="357" t="str">
        <f>+'Plan de Accion apoyo transversa'!X159</f>
        <v>Informe de resultados de la estrategia de rendición de cuentas publicado en página web de la entidad.</v>
      </c>
      <c r="H188" s="289" t="str">
        <f>+'Plan de Accion apoyo transversa'!AK159</f>
        <v># Informes de resultados de la estrategia de rendición de cuentas publicados</v>
      </c>
      <c r="I188" s="303"/>
      <c r="J188" s="283">
        <f>+'Plan de Accion apoyo transversa'!AT159</f>
        <v>1</v>
      </c>
      <c r="K188" s="615">
        <f>+'Plan de Accion apoyo transversa'!CE159</f>
        <v>1</v>
      </c>
      <c r="L188" s="615">
        <f t="shared" si="69"/>
        <v>1</v>
      </c>
      <c r="M188" s="615">
        <f>+'Plan de Accion apoyo transversa'!AX159</f>
        <v>1</v>
      </c>
      <c r="N188" s="615">
        <f t="shared" si="47"/>
        <v>1</v>
      </c>
      <c r="O188" s="617">
        <f>+N188</f>
        <v>1</v>
      </c>
      <c r="P188" s="277"/>
      <c r="Q188" s="283">
        <f>+'Plan de Accion apoyo transversa'!BD159</f>
        <v>0</v>
      </c>
      <c r="R188" s="315" t="str">
        <f>+'Plan de Accion apoyo transversa'!CG159</f>
        <v>No Prog ni Ejec</v>
      </c>
      <c r="S188" s="276" t="s">
        <v>206</v>
      </c>
      <c r="T188" s="373">
        <f>+'Plan de Accion apoyo transversa'!BH159</f>
        <v>1</v>
      </c>
      <c r="U188" s="373">
        <f t="shared" si="72"/>
        <v>1</v>
      </c>
      <c r="V188" s="275">
        <f t="shared" si="73"/>
        <v>1</v>
      </c>
      <c r="W188" s="278"/>
      <c r="X188" s="283">
        <f>+'Plan de Accion apoyo transversa'!BN159</f>
        <v>0</v>
      </c>
      <c r="Y188" s="315" t="str">
        <f>+'Plan de Accion apoyo transversa'!CI159</f>
        <v>No Prog ni Ejec</v>
      </c>
      <c r="Z188" s="276" t="s">
        <v>206</v>
      </c>
      <c r="AA188" s="282">
        <f>+'Plan de Accion apoyo transversa'!BR159</f>
        <v>1</v>
      </c>
      <c r="AB188" s="282">
        <f t="shared" si="75"/>
        <v>1</v>
      </c>
      <c r="AC188" s="281">
        <f t="shared" si="76"/>
        <v>1</v>
      </c>
      <c r="AD188" s="277"/>
      <c r="AE188" s="284">
        <f>+'Plan de Accion apoyo transversa'!BX159</f>
        <v>0</v>
      </c>
      <c r="AF188" s="315" t="str">
        <f>+'Plan de Accion apoyo transversa'!CK159</f>
        <v>No Prog ni Ejec</v>
      </c>
      <c r="AG188" s="276" t="s">
        <v>206</v>
      </c>
      <c r="AH188" s="315">
        <f>+'Plan de Accion apoyo transversa'!CB159</f>
        <v>1</v>
      </c>
      <c r="AI188" s="275">
        <f t="shared" si="77"/>
        <v>1</v>
      </c>
      <c r="AJ188" s="295"/>
      <c r="AK188" s="302"/>
      <c r="AL188" s="271"/>
      <c r="AM188" s="271"/>
      <c r="AN188" s="267"/>
      <c r="AO188" s="272"/>
      <c r="AP188" s="271"/>
      <c r="AQ188" s="267"/>
      <c r="AR188" s="271"/>
      <c r="AS188" s="271"/>
      <c r="AT188" s="267"/>
      <c r="AU188" s="271"/>
      <c r="AV188" s="271"/>
      <c r="AW188" s="265"/>
      <c r="AX188" s="294"/>
      <c r="AY188" s="301"/>
      <c r="AZ188" s="271"/>
      <c r="BA188" s="271"/>
      <c r="BB188" s="267"/>
      <c r="BC188" s="272"/>
      <c r="BD188" s="271"/>
      <c r="BE188" s="267"/>
      <c r="BF188" s="271"/>
      <c r="BG188" s="271"/>
      <c r="BH188" s="267"/>
      <c r="BI188" s="271"/>
      <c r="BJ188" s="271"/>
      <c r="BK188" s="265"/>
      <c r="BL188" s="294"/>
      <c r="BN188" s="271"/>
      <c r="BO188" s="271"/>
      <c r="BP188" s="267"/>
      <c r="BQ188" s="272"/>
      <c r="BR188" s="271"/>
      <c r="BS188" s="267"/>
      <c r="BT188" s="271"/>
      <c r="BU188" s="271"/>
      <c r="BV188" s="267"/>
      <c r="BW188" s="271"/>
      <c r="BX188" s="271"/>
      <c r="BY188" s="265"/>
      <c r="BZ188" s="294"/>
      <c r="CB188" s="271"/>
      <c r="CC188" s="271"/>
      <c r="CD188" s="267"/>
      <c r="CE188" s="272"/>
      <c r="CF188" s="271"/>
      <c r="CG188" s="267"/>
      <c r="CH188" s="271"/>
      <c r="CI188" s="271"/>
      <c r="CJ188" s="267"/>
      <c r="CK188" s="271"/>
      <c r="CL188" s="271"/>
      <c r="CM188" s="265"/>
      <c r="CN188" s="294"/>
    </row>
    <row r="189" spans="2:92" ht="75.75" customHeight="1" x14ac:dyDescent="0.25">
      <c r="B189" s="970"/>
      <c r="C189" s="973"/>
      <c r="D189" s="950"/>
      <c r="E189" s="947"/>
      <c r="F189" s="949"/>
      <c r="G189" s="357" t="str">
        <f>+'Plan de Accion apoyo transversa'!X160</f>
        <v>Solicitudes de publicación de información a las dependencias</v>
      </c>
      <c r="H189" s="289" t="str">
        <f>+'Plan de Accion apoyo transversa'!AK160</f>
        <v># Solicitudes realizadas a las dependencias / # solicitudes requeridas</v>
      </c>
      <c r="I189" s="303"/>
      <c r="J189" s="279">
        <f>+'Plan de Accion apoyo transversa'!AT160</f>
        <v>0.25</v>
      </c>
      <c r="K189" s="615">
        <f>+'Plan de Accion apoyo transversa'!CE160</f>
        <v>1</v>
      </c>
      <c r="L189" s="615">
        <f t="shared" si="69"/>
        <v>1</v>
      </c>
      <c r="M189" s="615">
        <f>+'Plan de Accion apoyo transversa'!AX160</f>
        <v>0.25</v>
      </c>
      <c r="N189" s="615">
        <f t="shared" si="47"/>
        <v>0.25</v>
      </c>
      <c r="O189" s="617">
        <f>+N189</f>
        <v>0.25</v>
      </c>
      <c r="P189" s="277"/>
      <c r="Q189" s="279">
        <f>+'Plan de Accion apoyo transversa'!BD160</f>
        <v>0</v>
      </c>
      <c r="R189" s="315">
        <f>+'Plan de Accion apoyo transversa'!CG160</f>
        <v>0</v>
      </c>
      <c r="S189" s="276">
        <f>IF(R189&gt;100%,100%,R189)</f>
        <v>0</v>
      </c>
      <c r="T189" s="373">
        <f>+'Plan de Accion apoyo transversa'!BH160</f>
        <v>0.25</v>
      </c>
      <c r="U189" s="373">
        <f t="shared" si="72"/>
        <v>0.25</v>
      </c>
      <c r="V189" s="275">
        <f t="shared" si="73"/>
        <v>0.25</v>
      </c>
      <c r="W189" s="278"/>
      <c r="X189" s="279">
        <f>+'Plan de Accion apoyo transversa'!BN160</f>
        <v>0</v>
      </c>
      <c r="Y189" s="315">
        <f>+'Plan de Accion apoyo transversa'!CI160</f>
        <v>0</v>
      </c>
      <c r="Z189" s="276">
        <f>IF(Y189&gt;100%,100%,Y189)</f>
        <v>0</v>
      </c>
      <c r="AA189" s="282">
        <f>+'Plan de Accion apoyo transversa'!BR160</f>
        <v>0.25</v>
      </c>
      <c r="AB189" s="282">
        <f t="shared" si="75"/>
        <v>0.25</v>
      </c>
      <c r="AC189" s="281">
        <f t="shared" si="76"/>
        <v>0.25</v>
      </c>
      <c r="AD189" s="277"/>
      <c r="AE189" s="279">
        <f>+'Plan de Accion apoyo transversa'!BX160</f>
        <v>0</v>
      </c>
      <c r="AF189" s="315">
        <f>+'Plan de Accion apoyo transversa'!CK160</f>
        <v>0</v>
      </c>
      <c r="AG189" s="276">
        <f>IF(AF189&gt;100%,100%,AF189)</f>
        <v>0</v>
      </c>
      <c r="AH189" s="315">
        <f>+'Plan de Accion apoyo transversa'!CB160</f>
        <v>0.25</v>
      </c>
      <c r="AI189" s="275">
        <f t="shared" si="77"/>
        <v>0.25</v>
      </c>
      <c r="AJ189" s="295"/>
      <c r="AK189" s="302"/>
      <c r="AL189" s="271"/>
      <c r="AM189" s="271"/>
      <c r="AN189" s="267"/>
      <c r="AO189" s="272"/>
      <c r="AP189" s="271"/>
      <c r="AQ189" s="267"/>
      <c r="AR189" s="271"/>
      <c r="AS189" s="271"/>
      <c r="AT189" s="267"/>
      <c r="AU189" s="271"/>
      <c r="AV189" s="271"/>
      <c r="AW189" s="265"/>
      <c r="AX189" s="294"/>
      <c r="AY189" s="301"/>
      <c r="AZ189" s="271"/>
      <c r="BA189" s="271"/>
      <c r="BB189" s="267"/>
      <c r="BC189" s="272"/>
      <c r="BD189" s="271"/>
      <c r="BE189" s="267"/>
      <c r="BF189" s="271"/>
      <c r="BG189" s="271"/>
      <c r="BH189" s="267"/>
      <c r="BI189" s="271"/>
      <c r="BJ189" s="271"/>
      <c r="BK189" s="265"/>
      <c r="BL189" s="294"/>
      <c r="BN189" s="271"/>
      <c r="BO189" s="271"/>
      <c r="BP189" s="267"/>
      <c r="BQ189" s="272"/>
      <c r="BR189" s="271"/>
      <c r="BS189" s="267"/>
      <c r="BT189" s="271"/>
      <c r="BU189" s="271"/>
      <c r="BV189" s="267"/>
      <c r="BW189" s="271"/>
      <c r="BX189" s="271"/>
      <c r="BY189" s="265"/>
      <c r="BZ189" s="294"/>
      <c r="CB189" s="271"/>
      <c r="CC189" s="271"/>
      <c r="CD189" s="267"/>
      <c r="CE189" s="272"/>
      <c r="CF189" s="271"/>
      <c r="CG189" s="267"/>
      <c r="CH189" s="271"/>
      <c r="CI189" s="271"/>
      <c r="CJ189" s="267"/>
      <c r="CK189" s="271"/>
      <c r="CL189" s="271"/>
      <c r="CM189" s="265"/>
      <c r="CN189" s="294"/>
    </row>
    <row r="190" spans="2:92" ht="75.75" customHeight="1" x14ac:dyDescent="0.25">
      <c r="B190" s="970"/>
      <c r="C190" s="973"/>
      <c r="D190" s="369" t="s">
        <v>206</v>
      </c>
      <c r="E190" s="385" t="s">
        <v>12</v>
      </c>
      <c r="F190" s="949"/>
      <c r="G190" s="378" t="str">
        <f>+'Plan de Accion apoyo transversa'!X170</f>
        <v>Proyecto de resolución entregado al Ministerio de Salud para aprobación</v>
      </c>
      <c r="H190" s="289" t="str">
        <f>+'Plan de Accion apoyo transversa'!AK170</f>
        <v># Proyectos de Resolución entregados</v>
      </c>
      <c r="I190" s="303"/>
      <c r="J190" s="283">
        <f>+'Plan de Accion apoyo transversa'!AT170</f>
        <v>0</v>
      </c>
      <c r="K190" s="615" t="str">
        <f>+'Plan de Accion apoyo transversa'!CE170</f>
        <v>No Prog ni Ejec</v>
      </c>
      <c r="L190" s="615" t="s">
        <v>206</v>
      </c>
      <c r="M190" s="615">
        <f>+'Plan de Accion apoyo transversa'!AX170</f>
        <v>0</v>
      </c>
      <c r="N190" s="615">
        <f t="shared" si="47"/>
        <v>0</v>
      </c>
      <c r="O190" s="617" t="s">
        <v>206</v>
      </c>
      <c r="P190" s="277"/>
      <c r="Q190" s="283">
        <f>+'Plan de Accion apoyo transversa'!BD170</f>
        <v>0</v>
      </c>
      <c r="R190" s="373">
        <f>+'Plan de Accion apoyo transversa'!CG170</f>
        <v>0</v>
      </c>
      <c r="S190" s="276">
        <f>IF(R190&gt;100%,100%,R190)</f>
        <v>0</v>
      </c>
      <c r="T190" s="373">
        <f>+'Plan de Accion apoyo transversa'!BH170</f>
        <v>0</v>
      </c>
      <c r="U190" s="373">
        <f t="shared" si="72"/>
        <v>0</v>
      </c>
      <c r="V190" s="275">
        <f t="shared" si="73"/>
        <v>0</v>
      </c>
      <c r="W190" s="278"/>
      <c r="X190" s="283">
        <f>+'Plan de Accion apoyo transversa'!BN170</f>
        <v>0</v>
      </c>
      <c r="Y190" s="373" t="str">
        <f>+'Plan de Accion apoyo transversa'!CI170</f>
        <v>No Prog ni Ejec</v>
      </c>
      <c r="Z190" s="276" t="s">
        <v>206</v>
      </c>
      <c r="AA190" s="282">
        <f>+'Plan de Accion apoyo transversa'!BR170</f>
        <v>0</v>
      </c>
      <c r="AB190" s="282">
        <f t="shared" si="75"/>
        <v>0</v>
      </c>
      <c r="AC190" s="281">
        <f t="shared" si="76"/>
        <v>0</v>
      </c>
      <c r="AD190" s="277"/>
      <c r="AE190" s="284">
        <f>+'Plan de Accion apoyo transversa'!BX170</f>
        <v>0</v>
      </c>
      <c r="AF190" s="373" t="str">
        <f>+'Plan de Accion apoyo transversa'!CK170</f>
        <v>No Prog ni Ejec</v>
      </c>
      <c r="AG190" s="276" t="s">
        <v>206</v>
      </c>
      <c r="AH190" s="373">
        <f>+'Plan de Accion apoyo transversa'!CB170</f>
        <v>0</v>
      </c>
      <c r="AI190" s="275">
        <f t="shared" si="77"/>
        <v>0</v>
      </c>
      <c r="AJ190" s="295"/>
      <c r="AK190" s="302"/>
      <c r="AL190" s="379"/>
      <c r="AM190" s="379"/>
      <c r="AN190" s="267"/>
      <c r="AO190" s="380"/>
      <c r="AP190" s="379"/>
      <c r="AQ190" s="267"/>
      <c r="AR190" s="379"/>
      <c r="AS190" s="379"/>
      <c r="AT190" s="267"/>
      <c r="AU190" s="379"/>
      <c r="AV190" s="379"/>
      <c r="AW190" s="265"/>
      <c r="AX190" s="294"/>
      <c r="AY190" s="301"/>
      <c r="AZ190" s="379"/>
      <c r="BA190" s="379"/>
      <c r="BB190" s="267"/>
      <c r="BC190" s="380"/>
      <c r="BD190" s="379"/>
      <c r="BE190" s="267"/>
      <c r="BF190" s="379"/>
      <c r="BG190" s="379"/>
      <c r="BH190" s="267"/>
      <c r="BI190" s="379"/>
      <c r="BJ190" s="379"/>
      <c r="BK190" s="265"/>
      <c r="BL190" s="294"/>
      <c r="BN190" s="379"/>
      <c r="BO190" s="379"/>
      <c r="BP190" s="267"/>
      <c r="BQ190" s="380"/>
      <c r="BR190" s="379"/>
      <c r="BS190" s="267"/>
      <c r="BT190" s="379"/>
      <c r="BU190" s="379"/>
      <c r="BV190" s="267"/>
      <c r="BW190" s="379"/>
      <c r="BX190" s="379"/>
      <c r="BY190" s="265"/>
      <c r="BZ190" s="294"/>
      <c r="CB190" s="379"/>
      <c r="CC190" s="379"/>
      <c r="CD190" s="267"/>
      <c r="CE190" s="380"/>
      <c r="CF190" s="379"/>
      <c r="CG190" s="267"/>
      <c r="CH190" s="379"/>
      <c r="CI190" s="379"/>
      <c r="CJ190" s="267"/>
      <c r="CK190" s="379"/>
      <c r="CL190" s="379"/>
      <c r="CM190" s="265"/>
      <c r="CN190" s="294"/>
    </row>
    <row r="191" spans="2:92" ht="57.75" customHeight="1" thickBot="1" x14ac:dyDescent="0.3">
      <c r="B191" s="970"/>
      <c r="C191" s="978"/>
      <c r="D191" s="369" t="s">
        <v>206</v>
      </c>
      <c r="E191" s="375" t="str">
        <f>+'[6]Plan de Accion 2018'!B283</f>
        <v xml:space="preserve">Dirección de Otras Prestaciones  </v>
      </c>
      <c r="F191" s="954"/>
      <c r="G191" s="378" t="str">
        <f>+'Plan de Accion apoyo transversa'!X162</f>
        <v>Formulario FURPEN mejorado</v>
      </c>
      <c r="H191" s="289" t="str">
        <f>+'Plan de Accion apoyo transversa'!AK162</f>
        <v># Formularios FURPEN mejorados</v>
      </c>
      <c r="I191" s="303"/>
      <c r="J191" s="283">
        <f>+'Plan de Accion apoyo transversa'!AT162</f>
        <v>0</v>
      </c>
      <c r="K191" s="615">
        <f>+'Plan de Accion apoyo transversa'!CE162</f>
        <v>0</v>
      </c>
      <c r="L191" s="615">
        <f t="shared" ref="L191:L197" si="78">IF(K191&gt;100%,100%,K191)</f>
        <v>0</v>
      </c>
      <c r="M191" s="373">
        <f>+'Plan de Accion apoyo transversa'!AX162</f>
        <v>0</v>
      </c>
      <c r="N191" s="615">
        <f t="shared" si="47"/>
        <v>0</v>
      </c>
      <c r="O191" s="374">
        <f>+N191</f>
        <v>0</v>
      </c>
      <c r="P191" s="277"/>
      <c r="Q191" s="283">
        <f>+'Plan de Accion apoyo transversa'!BD162</f>
        <v>0</v>
      </c>
      <c r="R191" s="373" t="str">
        <f>+'Plan de Accion apoyo transversa'!CG162</f>
        <v>No Prog ni Ejec</v>
      </c>
      <c r="S191" s="276" t="s">
        <v>206</v>
      </c>
      <c r="T191" s="373">
        <f>+'Plan de Accion apoyo transversa'!BH162</f>
        <v>0</v>
      </c>
      <c r="U191" s="373">
        <f>IF(T191&gt;100%,100%,T191)</f>
        <v>0</v>
      </c>
      <c r="V191" s="275">
        <f>+U191</f>
        <v>0</v>
      </c>
      <c r="W191" s="278"/>
      <c r="X191" s="283">
        <f>+'Plan de Accion apoyo transversa'!BN162</f>
        <v>0</v>
      </c>
      <c r="Y191" s="373" t="str">
        <f>+'Plan de Accion apoyo transversa'!CI162</f>
        <v>No Prog ni Ejec</v>
      </c>
      <c r="Z191" s="276" t="s">
        <v>206</v>
      </c>
      <c r="AA191" s="282">
        <f>+'Plan de Accion apoyo transversa'!BR162</f>
        <v>0</v>
      </c>
      <c r="AB191" s="282">
        <f>IF(AA191&gt;100%,100%,AA191)</f>
        <v>0</v>
      </c>
      <c r="AC191" s="281">
        <f>+AB191</f>
        <v>0</v>
      </c>
      <c r="AD191" s="277"/>
      <c r="AE191" s="284">
        <f>+'Plan de Accion apoyo transversa'!BX162</f>
        <v>0</v>
      </c>
      <c r="AF191" s="373" t="str">
        <f>+'Plan de Accion apoyo transversa'!CK162</f>
        <v>No Prog ni Ejec</v>
      </c>
      <c r="AG191" s="276" t="s">
        <v>206</v>
      </c>
      <c r="AH191" s="373">
        <f>+'Plan de Accion apoyo transversa'!CB162</f>
        <v>0</v>
      </c>
      <c r="AI191" s="275">
        <f>IF(AH191&gt;100%,100%,AH191)</f>
        <v>0</v>
      </c>
      <c r="AJ191" s="295"/>
      <c r="AK191" s="302"/>
      <c r="AL191" s="271"/>
      <c r="AM191" s="271"/>
      <c r="AN191" s="267"/>
      <c r="AO191" s="272"/>
      <c r="AP191" s="271"/>
      <c r="AQ191" s="267"/>
      <c r="AR191" s="271"/>
      <c r="AS191" s="271"/>
      <c r="AT191" s="267"/>
      <c r="AU191" s="271"/>
      <c r="AV191" s="271"/>
      <c r="AW191" s="265"/>
      <c r="AX191" s="294"/>
      <c r="AY191" s="301"/>
      <c r="AZ191" s="271"/>
      <c r="BA191" s="271"/>
      <c r="BB191" s="267"/>
      <c r="BC191" s="272"/>
      <c r="BD191" s="271"/>
      <c r="BE191" s="267"/>
      <c r="BF191" s="271"/>
      <c r="BG191" s="271"/>
      <c r="BH191" s="267"/>
      <c r="BI191" s="271"/>
      <c r="BJ191" s="271"/>
      <c r="BK191" s="265"/>
      <c r="BL191" s="294"/>
      <c r="BN191" s="271"/>
      <c r="BO191" s="271"/>
      <c r="BP191" s="267"/>
      <c r="BQ191" s="272"/>
      <c r="BR191" s="271"/>
      <c r="BS191" s="267"/>
      <c r="BT191" s="271"/>
      <c r="BU191" s="271"/>
      <c r="BV191" s="267"/>
      <c r="BW191" s="271"/>
      <c r="BX191" s="271"/>
      <c r="BY191" s="265"/>
      <c r="BZ191" s="294"/>
      <c r="CB191" s="271"/>
      <c r="CC191" s="271"/>
      <c r="CD191" s="267"/>
      <c r="CE191" s="272"/>
      <c r="CF191" s="271"/>
      <c r="CG191" s="267"/>
      <c r="CH191" s="271"/>
      <c r="CI191" s="271"/>
      <c r="CJ191" s="267"/>
      <c r="CK191" s="271"/>
      <c r="CL191" s="271"/>
      <c r="CM191" s="265"/>
      <c r="CN191" s="294"/>
    </row>
    <row r="192" spans="2:92" ht="20.25" thickBot="1" x14ac:dyDescent="0.3">
      <c r="B192" s="964" t="s">
        <v>218</v>
      </c>
      <c r="C192" s="965"/>
      <c r="D192" s="1063"/>
      <c r="E192" s="966"/>
      <c r="F192" s="967"/>
      <c r="G192" s="967"/>
      <c r="H192" s="968"/>
      <c r="J192" s="259" t="s">
        <v>206</v>
      </c>
      <c r="K192" s="258">
        <f>AVERAGE(K128,K130:K191)</f>
        <v>0.92512577569127219</v>
      </c>
      <c r="L192" s="258">
        <f t="shared" si="78"/>
        <v>0.92512577569127219</v>
      </c>
      <c r="M192" s="258">
        <f>AVERAGE(M128,M130:M191)</f>
        <v>0.24089560262948112</v>
      </c>
      <c r="N192" s="258">
        <f>IF(M192&gt;25%,25%,M192)</f>
        <v>0.24089560262948112</v>
      </c>
      <c r="O192" s="262">
        <f>AVERAGE(O128,O130:O191)</f>
        <v>0.34173562233484528</v>
      </c>
      <c r="P192" s="260"/>
      <c r="Q192" s="259" t="s">
        <v>206</v>
      </c>
      <c r="R192" s="263" t="e">
        <f>AVERAGE(R128:R191)</f>
        <v>#VALUE!</v>
      </c>
      <c r="S192" s="269" t="e">
        <f>IF(R192&gt;100%,100%,R192)</f>
        <v>#VALUE!</v>
      </c>
      <c r="T192" s="263" t="e">
        <f>AVERAGE(T128:T191)</f>
        <v>#VALUE!</v>
      </c>
      <c r="U192" s="258" t="e">
        <f>IF(T192&gt;50%,50%,T192)</f>
        <v>#VALUE!</v>
      </c>
      <c r="V192" s="262" t="e">
        <f>AVERAGE(V128:V191)</f>
        <v>#VALUE!</v>
      </c>
      <c r="W192" s="261"/>
      <c r="X192" s="259" t="s">
        <v>206</v>
      </c>
      <c r="Y192" s="263" t="e">
        <f>AVERAGE(Y128:Y191)</f>
        <v>#VALUE!</v>
      </c>
      <c r="Z192" s="269" t="e">
        <f>IF(Y192&gt;100%,100%,Y192)</f>
        <v>#VALUE!</v>
      </c>
      <c r="AA192" s="263" t="e">
        <f>AVERAGE(AA128:AA191)</f>
        <v>#VALUE!</v>
      </c>
      <c r="AB192" s="258" t="e">
        <f>IF(AA192&gt;75%,75%,AA192)</f>
        <v>#VALUE!</v>
      </c>
      <c r="AC192" s="262" t="e">
        <f>AVERAGE(AC128:AC191)</f>
        <v>#VALUE!</v>
      </c>
      <c r="AD192" s="260"/>
      <c r="AE192" s="259" t="s">
        <v>206</v>
      </c>
      <c r="AF192" s="263" t="e">
        <f>AVERAGE(AF128:AF191)</f>
        <v>#VALUE!</v>
      </c>
      <c r="AG192" s="269" t="e">
        <f>IF(AF192&gt;100%,100%,AF192)</f>
        <v>#VALUE!</v>
      </c>
      <c r="AH192" s="263" t="e">
        <f>AVERAGE(AH128:AH191)</f>
        <v>#VALUE!</v>
      </c>
      <c r="AI192" s="262" t="e">
        <f>AVERAGE(AI128:AI191)</f>
        <v>#VALUE!</v>
      </c>
      <c r="AL192" s="255"/>
      <c r="AM192" s="254"/>
      <c r="AN192" s="256"/>
      <c r="AO192" s="255"/>
      <c r="AP192" s="254"/>
      <c r="AQ192" s="256"/>
      <c r="AR192" s="255"/>
      <c r="AS192" s="254"/>
      <c r="AT192" s="256"/>
      <c r="AU192" s="255"/>
      <c r="AV192" s="254"/>
      <c r="AZ192" s="255"/>
      <c r="BA192" s="254"/>
      <c r="BB192" s="256"/>
      <c r="BC192" s="255"/>
      <c r="BD192" s="254"/>
      <c r="BE192" s="256"/>
      <c r="BF192" s="255"/>
      <c r="BG192" s="254"/>
      <c r="BH192" s="256"/>
      <c r="BI192" s="255"/>
      <c r="BJ192" s="254"/>
      <c r="BN192" s="255"/>
      <c r="BO192" s="254"/>
      <c r="BP192" s="256"/>
      <c r="BQ192" s="255"/>
      <c r="BR192" s="254"/>
      <c r="BS192" s="256"/>
      <c r="BT192" s="255"/>
      <c r="BU192" s="254"/>
      <c r="BV192" s="256"/>
      <c r="BW192" s="255"/>
      <c r="BX192" s="254"/>
      <c r="CB192" s="255"/>
      <c r="CC192" s="254"/>
      <c r="CD192" s="256"/>
      <c r="CE192" s="255"/>
      <c r="CF192" s="254"/>
      <c r="CG192" s="256"/>
      <c r="CH192" s="255"/>
      <c r="CI192" s="254"/>
      <c r="CJ192" s="256"/>
      <c r="CK192" s="255"/>
      <c r="CL192" s="254"/>
    </row>
    <row r="193" spans="2:92" ht="89.25" customHeight="1" x14ac:dyDescent="0.2">
      <c r="B193" s="969" t="s">
        <v>1271</v>
      </c>
      <c r="C193" s="972" t="s">
        <v>1284</v>
      </c>
      <c r="D193" s="991" t="s">
        <v>1265</v>
      </c>
      <c r="E193" s="991" t="s">
        <v>13</v>
      </c>
      <c r="F193" s="992" t="s">
        <v>332</v>
      </c>
      <c r="G193" s="359" t="str">
        <f>+'Plan de Accion Proyectos estrat'!K11</f>
        <v>Apoyos técnicos entregados a la OAJ en recobros y reclamaciones una vez son resueltos por la Dirección de Tecnología de la Información</v>
      </c>
      <c r="H193" s="285" t="str">
        <f>+'Plan de Accion Proyectos estrat'!X11</f>
        <v># Apoyos técnicos entregados a la OAJ / # apoyos técnicos resueltos por la Dirección de Tecnología</v>
      </c>
      <c r="J193" s="372">
        <f>+'Plan de Accion Proyectos estrat'!AG11</f>
        <v>0.25</v>
      </c>
      <c r="K193" s="615">
        <f>+'Plan de Accion Proyectos estrat'!AI11</f>
        <v>1</v>
      </c>
      <c r="L193" s="615">
        <f t="shared" si="78"/>
        <v>1</v>
      </c>
      <c r="M193" s="615">
        <f>+'Plan de Accion Proyectos estrat'!AK11</f>
        <v>0.25</v>
      </c>
      <c r="N193" s="615">
        <f t="shared" si="47"/>
        <v>0.25</v>
      </c>
      <c r="O193" s="617">
        <f>+N193</f>
        <v>0.25</v>
      </c>
      <c r="P193" s="277"/>
      <c r="Q193" s="372">
        <f>+'Plan de Accion Proyectos estrat'!AQ11</f>
        <v>0</v>
      </c>
      <c r="R193" s="373">
        <f>+'Plan de Accion Proyectos estrat'!AS11</f>
        <v>0</v>
      </c>
      <c r="S193" s="276">
        <f t="shared" ref="S193:S199" si="79">IF(R193&gt;100%,100%,R193)</f>
        <v>0</v>
      </c>
      <c r="T193" s="373">
        <f>+'Plan de Accion Proyectos estrat'!AU11</f>
        <v>0.25</v>
      </c>
      <c r="U193" s="373">
        <f t="shared" ref="U193:U199" si="80">IF(T193&gt;100%,100%,T193)</f>
        <v>0.25</v>
      </c>
      <c r="V193" s="275">
        <f t="shared" ref="V193:V199" si="81">+U193</f>
        <v>0.25</v>
      </c>
      <c r="W193" s="278"/>
      <c r="X193" s="372">
        <f>+'Plan de Accion Proyectos estrat'!BA11</f>
        <v>0</v>
      </c>
      <c r="Y193" s="373">
        <f>+'Plan de Accion Proyectos estrat'!BC11</f>
        <v>0</v>
      </c>
      <c r="Z193" s="276">
        <f t="shared" ref="Z193:Z198" si="82">IF(Y193&gt;100%,100%,Y193)</f>
        <v>0</v>
      </c>
      <c r="AA193" s="282">
        <f>+'Plan de Accion Proyectos estrat'!BE11</f>
        <v>0.25</v>
      </c>
      <c r="AB193" s="282">
        <f t="shared" ref="AB193:AB199" si="83">IF(AA193&gt;100%,100%,AA193)</f>
        <v>0.25</v>
      </c>
      <c r="AC193" s="281">
        <f t="shared" ref="AC193:AC198" si="84">+AB193</f>
        <v>0.25</v>
      </c>
      <c r="AD193" s="277"/>
      <c r="AE193" s="372">
        <f>+'Plan de Accion Proyectos estrat'!BK11</f>
        <v>0</v>
      </c>
      <c r="AF193" s="373">
        <f>+'Plan de Accion Proyectos estrat'!BM11</f>
        <v>0</v>
      </c>
      <c r="AG193" s="276">
        <f t="shared" ref="AG193:AG199" si="85">IF(AF193&gt;100%,100%,AF193)</f>
        <v>0</v>
      </c>
      <c r="AH193" s="373">
        <f>+'Plan de Accion Proyectos estrat'!BO11</f>
        <v>0.25</v>
      </c>
      <c r="AI193" s="275">
        <f t="shared" ref="AI193:AI199" si="86">IF(AH193&gt;100%,100%,AH193)</f>
        <v>0.25</v>
      </c>
      <c r="AJ193" s="1014"/>
      <c r="AL193" s="1011"/>
      <c r="AM193" s="1007"/>
      <c r="AN193" s="267"/>
      <c r="AO193" s="1008"/>
      <c r="AP193" s="1007"/>
      <c r="AQ193" s="267"/>
      <c r="AR193" s="1007"/>
      <c r="AS193" s="1007"/>
      <c r="AT193" s="267"/>
      <c r="AU193" s="1007"/>
      <c r="AV193" s="1007"/>
      <c r="AW193" s="265"/>
      <c r="AX193" s="1015"/>
      <c r="AZ193" s="1011"/>
      <c r="BA193" s="1007"/>
      <c r="BB193" s="267"/>
      <c r="BC193" s="1008"/>
      <c r="BD193" s="1007"/>
      <c r="BE193" s="267"/>
      <c r="BF193" s="1007"/>
      <c r="BG193" s="1007"/>
      <c r="BH193" s="267"/>
      <c r="BI193" s="1007"/>
      <c r="BJ193" s="1007"/>
      <c r="BK193" s="265"/>
      <c r="BL193" s="1015"/>
      <c r="BN193" s="1011"/>
      <c r="BO193" s="1007"/>
      <c r="BP193" s="267"/>
      <c r="BQ193" s="1008"/>
      <c r="BR193" s="1007"/>
      <c r="BS193" s="267"/>
      <c r="BT193" s="1007"/>
      <c r="BU193" s="1007"/>
      <c r="BV193" s="267"/>
      <c r="BW193" s="1007"/>
      <c r="BX193" s="1007"/>
      <c r="BY193" s="265"/>
      <c r="BZ193" s="1015"/>
      <c r="CB193" s="1011"/>
      <c r="CC193" s="1007"/>
      <c r="CD193" s="267"/>
      <c r="CE193" s="1008"/>
      <c r="CF193" s="1007"/>
      <c r="CG193" s="267"/>
      <c r="CH193" s="1007"/>
      <c r="CI193" s="1007"/>
      <c r="CJ193" s="267"/>
      <c r="CK193" s="1007"/>
      <c r="CL193" s="1007"/>
      <c r="CM193" s="265"/>
      <c r="CN193" s="1015"/>
    </row>
    <row r="194" spans="2:92" ht="85.5" customHeight="1" x14ac:dyDescent="0.2">
      <c r="B194" s="970"/>
      <c r="C194" s="974"/>
      <c r="D194" s="947"/>
      <c r="E194" s="946"/>
      <c r="F194" s="949"/>
      <c r="G194" s="356" t="str">
        <f>+'Plan de Accion Proyectos estrat'!K12</f>
        <v>Informe de alternativas para optimizar y sistematizar el proceso de auditoria integral</v>
      </c>
      <c r="H194" s="285" t="str">
        <f>+'Plan de Accion Proyectos estrat'!X12</f>
        <v># Informes presentados en el periodo</v>
      </c>
      <c r="J194" s="283">
        <f>+'Plan de Accion Proyectos estrat'!AG12</f>
        <v>1</v>
      </c>
      <c r="K194" s="615">
        <f>+'Plan de Accion Proyectos estrat'!AI12</f>
        <v>1</v>
      </c>
      <c r="L194" s="615">
        <f t="shared" si="78"/>
        <v>1</v>
      </c>
      <c r="M194" s="615">
        <f>+'Plan de Accion Proyectos estrat'!AK12</f>
        <v>0.25</v>
      </c>
      <c r="N194" s="615">
        <f t="shared" si="47"/>
        <v>0.25</v>
      </c>
      <c r="O194" s="617">
        <f>+N194</f>
        <v>0.25</v>
      </c>
      <c r="P194" s="277"/>
      <c r="Q194" s="283">
        <f>+'Plan de Accion Proyectos estrat'!AQ12</f>
        <v>0</v>
      </c>
      <c r="R194" s="373">
        <f>+'Plan de Accion Proyectos estrat'!AS12</f>
        <v>0</v>
      </c>
      <c r="S194" s="276">
        <f t="shared" si="79"/>
        <v>0</v>
      </c>
      <c r="T194" s="373">
        <f>+'Plan de Accion Proyectos estrat'!AU12</f>
        <v>0.25</v>
      </c>
      <c r="U194" s="373">
        <f t="shared" si="80"/>
        <v>0.25</v>
      </c>
      <c r="V194" s="275">
        <f t="shared" si="81"/>
        <v>0.25</v>
      </c>
      <c r="W194" s="278"/>
      <c r="X194" s="283">
        <f>+'Plan de Accion Proyectos estrat'!BA12</f>
        <v>0</v>
      </c>
      <c r="Y194" s="373">
        <f>+'Plan de Accion Proyectos estrat'!BC12</f>
        <v>0</v>
      </c>
      <c r="Z194" s="276">
        <f t="shared" si="82"/>
        <v>0</v>
      </c>
      <c r="AA194" s="282">
        <f>+'Plan de Accion Proyectos estrat'!BE12</f>
        <v>0.25</v>
      </c>
      <c r="AB194" s="282">
        <f t="shared" si="83"/>
        <v>0.25</v>
      </c>
      <c r="AC194" s="281">
        <f t="shared" si="84"/>
        <v>0.25</v>
      </c>
      <c r="AD194" s="277"/>
      <c r="AE194" s="284">
        <f>+'Plan de Accion Proyectos estrat'!BK12</f>
        <v>0</v>
      </c>
      <c r="AF194" s="373">
        <f>+'Plan de Accion Proyectos estrat'!BM12</f>
        <v>0</v>
      </c>
      <c r="AG194" s="276">
        <f t="shared" si="85"/>
        <v>0</v>
      </c>
      <c r="AH194" s="373">
        <f>+'Plan de Accion Proyectos estrat'!BO12</f>
        <v>0.25</v>
      </c>
      <c r="AI194" s="275">
        <f t="shared" si="86"/>
        <v>0.25</v>
      </c>
      <c r="AJ194" s="996"/>
      <c r="AL194" s="1012"/>
      <c r="AM194" s="998"/>
      <c r="AN194" s="267"/>
      <c r="AO194" s="1009"/>
      <c r="AP194" s="998"/>
      <c r="AQ194" s="267"/>
      <c r="AR194" s="998"/>
      <c r="AS194" s="998"/>
      <c r="AT194" s="267"/>
      <c r="AU194" s="998"/>
      <c r="AV194" s="998"/>
      <c r="AW194" s="265"/>
      <c r="AX194" s="1016"/>
      <c r="AZ194" s="1012"/>
      <c r="BA194" s="998"/>
      <c r="BB194" s="267"/>
      <c r="BC194" s="1009"/>
      <c r="BD194" s="998"/>
      <c r="BE194" s="267"/>
      <c r="BF194" s="998"/>
      <c r="BG194" s="998"/>
      <c r="BH194" s="267"/>
      <c r="BI194" s="998"/>
      <c r="BJ194" s="998"/>
      <c r="BK194" s="265"/>
      <c r="BL194" s="1016"/>
      <c r="BN194" s="1012"/>
      <c r="BO194" s="998"/>
      <c r="BP194" s="267"/>
      <c r="BQ194" s="1009"/>
      <c r="BR194" s="998"/>
      <c r="BS194" s="267"/>
      <c r="BT194" s="998"/>
      <c r="BU194" s="998"/>
      <c r="BV194" s="267"/>
      <c r="BW194" s="998"/>
      <c r="BX194" s="998"/>
      <c r="BY194" s="265"/>
      <c r="BZ194" s="1016"/>
      <c r="CB194" s="1012"/>
      <c r="CC194" s="998"/>
      <c r="CD194" s="267"/>
      <c r="CE194" s="1009"/>
      <c r="CF194" s="998"/>
      <c r="CG194" s="267"/>
      <c r="CH194" s="998"/>
      <c r="CI194" s="998"/>
      <c r="CJ194" s="267"/>
      <c r="CK194" s="998"/>
      <c r="CL194" s="998"/>
      <c r="CM194" s="265"/>
      <c r="CN194" s="1016"/>
    </row>
    <row r="195" spans="2:92" ht="156.75" x14ac:dyDescent="0.2">
      <c r="B195" s="970"/>
      <c r="C195" s="407" t="s">
        <v>1285</v>
      </c>
      <c r="D195" s="378" t="s">
        <v>1287</v>
      </c>
      <c r="E195" s="385" t="s">
        <v>232</v>
      </c>
      <c r="F195" s="369" t="s">
        <v>332</v>
      </c>
      <c r="G195" s="385" t="str">
        <f>+'Plan de Accion Proyectos estrat'!K23</f>
        <v>Apoyo en soporte, desarrollo y mantenimiento e integración de aplicativos misionales</v>
      </c>
      <c r="H195" s="285" t="str">
        <f>+'Plan de Accion Proyectos estrat'!X23</f>
        <v xml:space="preserve"># Requerimientos de aplicaciones misionales atendidos en términos de ANS para el trimestre/ # Requerimientos de aplicaciones misionales programados para el trimestre conforme al ANS 
</v>
      </c>
      <c r="J195" s="372">
        <f>+'Plan de Accion Proyectos estrat'!AG23</f>
        <v>0.24837239583333334</v>
      </c>
      <c r="K195" s="615">
        <f>+'Plan de Accion Proyectos estrat'!AI23</f>
        <v>0.99348958333333337</v>
      </c>
      <c r="L195" s="615">
        <f t="shared" si="78"/>
        <v>0.99348958333333337</v>
      </c>
      <c r="M195" s="615">
        <f>+'Plan de Accion Proyectos estrat'!AK23</f>
        <v>0.24837239583333334</v>
      </c>
      <c r="N195" s="615">
        <f t="shared" si="47"/>
        <v>0.24837239583333334</v>
      </c>
      <c r="O195" s="617">
        <f>+N195</f>
        <v>0.24837239583333334</v>
      </c>
      <c r="P195" s="277"/>
      <c r="Q195" s="372">
        <f>+'Plan de Accion Proyectos estrat'!AQ23</f>
        <v>0</v>
      </c>
      <c r="R195" s="373">
        <f>+'Plan de Accion Proyectos estrat'!AS23</f>
        <v>0</v>
      </c>
      <c r="S195" s="276">
        <f t="shared" si="79"/>
        <v>0</v>
      </c>
      <c r="T195" s="373">
        <f>+'Plan de Accion Proyectos estrat'!AU23</f>
        <v>0.24837239583333334</v>
      </c>
      <c r="U195" s="373">
        <f t="shared" si="80"/>
        <v>0.24837239583333334</v>
      </c>
      <c r="V195" s="275">
        <f t="shared" si="81"/>
        <v>0.24837239583333334</v>
      </c>
      <c r="W195" s="278"/>
      <c r="X195" s="372">
        <f>+'Plan de Accion Proyectos estrat'!BA23</f>
        <v>0</v>
      </c>
      <c r="Y195" s="373">
        <f>+'Plan de Accion Proyectos estrat'!BC23</f>
        <v>0</v>
      </c>
      <c r="Z195" s="276">
        <f t="shared" si="82"/>
        <v>0</v>
      </c>
      <c r="AA195" s="282">
        <f>+'Plan de Accion Proyectos estrat'!BE23</f>
        <v>0.24837239583333334</v>
      </c>
      <c r="AB195" s="282">
        <f t="shared" si="83"/>
        <v>0.24837239583333334</v>
      </c>
      <c r="AC195" s="281">
        <f t="shared" si="84"/>
        <v>0.24837239583333334</v>
      </c>
      <c r="AD195" s="277"/>
      <c r="AE195" s="372">
        <f>+'Plan de Accion Proyectos estrat'!BK23</f>
        <v>0</v>
      </c>
      <c r="AF195" s="373">
        <f>+'Plan de Accion Proyectos estrat'!BM23</f>
        <v>0</v>
      </c>
      <c r="AG195" s="276">
        <f t="shared" si="85"/>
        <v>0</v>
      </c>
      <c r="AH195" s="373">
        <f>+'Plan de Accion Proyectos estrat'!BO23</f>
        <v>0.24837239583333334</v>
      </c>
      <c r="AI195" s="275">
        <f t="shared" si="86"/>
        <v>0.24837239583333334</v>
      </c>
      <c r="AJ195" s="996"/>
      <c r="AL195" s="1012"/>
      <c r="AM195" s="998"/>
      <c r="AN195" s="267"/>
      <c r="AO195" s="1009"/>
      <c r="AP195" s="998"/>
      <c r="AQ195" s="267"/>
      <c r="AR195" s="998"/>
      <c r="AS195" s="998"/>
      <c r="AT195" s="267"/>
      <c r="AU195" s="998"/>
      <c r="AV195" s="998"/>
      <c r="AW195" s="265"/>
      <c r="AX195" s="1016"/>
      <c r="AZ195" s="1012"/>
      <c r="BA195" s="998"/>
      <c r="BB195" s="267"/>
      <c r="BC195" s="1009"/>
      <c r="BD195" s="998"/>
      <c r="BE195" s="267"/>
      <c r="BF195" s="998"/>
      <c r="BG195" s="998"/>
      <c r="BH195" s="267"/>
      <c r="BI195" s="998"/>
      <c r="BJ195" s="998"/>
      <c r="BK195" s="265"/>
      <c r="BL195" s="1016"/>
      <c r="BN195" s="1012"/>
      <c r="BO195" s="998"/>
      <c r="BP195" s="267"/>
      <c r="BQ195" s="1009"/>
      <c r="BR195" s="998"/>
      <c r="BS195" s="267"/>
      <c r="BT195" s="998"/>
      <c r="BU195" s="998"/>
      <c r="BV195" s="267"/>
      <c r="BW195" s="998"/>
      <c r="BX195" s="998"/>
      <c r="BY195" s="265"/>
      <c r="BZ195" s="1016"/>
      <c r="CB195" s="1012"/>
      <c r="CC195" s="998"/>
      <c r="CD195" s="267"/>
      <c r="CE195" s="1009"/>
      <c r="CF195" s="998"/>
      <c r="CG195" s="267"/>
      <c r="CH195" s="998"/>
      <c r="CI195" s="998"/>
      <c r="CJ195" s="267"/>
      <c r="CK195" s="998"/>
      <c r="CL195" s="998"/>
      <c r="CM195" s="265"/>
      <c r="CN195" s="1016"/>
    </row>
    <row r="196" spans="2:92" ht="57" customHeight="1" x14ac:dyDescent="0.2">
      <c r="B196" s="970"/>
      <c r="C196" s="990" t="s">
        <v>346</v>
      </c>
      <c r="D196" s="952" t="s">
        <v>342</v>
      </c>
      <c r="E196" s="945" t="s">
        <v>12</v>
      </c>
      <c r="F196" s="948" t="s">
        <v>332</v>
      </c>
      <c r="G196" s="385" t="str">
        <f>+'Plan de Accion Proyectos estrat'!K25</f>
        <v>Procesos optimizados mediante desarrollos o ajustes tecnológicos</v>
      </c>
      <c r="H196" s="285" t="str">
        <f>+'Plan de Accion Proyectos estrat'!X25</f>
        <v># Procesos optimizados</v>
      </c>
      <c r="J196" s="283">
        <f>+'Plan de Accion Proyectos estrat'!AG25</f>
        <v>0</v>
      </c>
      <c r="K196" s="615">
        <f>+'Plan de Accion Proyectos estrat'!AI25</f>
        <v>0</v>
      </c>
      <c r="L196" s="615">
        <f t="shared" si="78"/>
        <v>0</v>
      </c>
      <c r="M196" s="615">
        <f>+'Plan de Accion Proyectos estrat'!AK25</f>
        <v>0</v>
      </c>
      <c r="N196" s="615">
        <f t="shared" si="47"/>
        <v>0</v>
      </c>
      <c r="O196" s="617">
        <f>+N196</f>
        <v>0</v>
      </c>
      <c r="P196" s="277"/>
      <c r="Q196" s="283">
        <f>+'Plan de Accion Proyectos estrat'!AQ25</f>
        <v>0</v>
      </c>
      <c r="R196" s="373">
        <f>+'Plan de Accion Proyectos estrat'!AS25</f>
        <v>0</v>
      </c>
      <c r="S196" s="276">
        <f t="shared" si="79"/>
        <v>0</v>
      </c>
      <c r="T196" s="373">
        <f>+'Plan de Accion Proyectos estrat'!AU25</f>
        <v>0</v>
      </c>
      <c r="U196" s="373">
        <f t="shared" si="80"/>
        <v>0</v>
      </c>
      <c r="V196" s="275">
        <f t="shared" si="81"/>
        <v>0</v>
      </c>
      <c r="W196" s="278"/>
      <c r="X196" s="283">
        <f>+'Plan de Accion Proyectos estrat'!BA25</f>
        <v>0</v>
      </c>
      <c r="Y196" s="373">
        <f>+'Plan de Accion Proyectos estrat'!BC25</f>
        <v>0</v>
      </c>
      <c r="Z196" s="276">
        <f t="shared" si="82"/>
        <v>0</v>
      </c>
      <c r="AA196" s="282">
        <f>+'Plan de Accion Proyectos estrat'!BE25</f>
        <v>0</v>
      </c>
      <c r="AB196" s="282">
        <f t="shared" si="83"/>
        <v>0</v>
      </c>
      <c r="AC196" s="281">
        <f t="shared" si="84"/>
        <v>0</v>
      </c>
      <c r="AD196" s="277"/>
      <c r="AE196" s="284">
        <f>+'Plan de Accion Proyectos estrat'!BK25</f>
        <v>0</v>
      </c>
      <c r="AF196" s="373">
        <f>+'Plan de Accion Proyectos estrat'!BM25</f>
        <v>0</v>
      </c>
      <c r="AG196" s="276">
        <f t="shared" si="85"/>
        <v>0</v>
      </c>
      <c r="AH196" s="373">
        <f>+'Plan de Accion Proyectos estrat'!BO25</f>
        <v>0</v>
      </c>
      <c r="AI196" s="275">
        <f t="shared" si="86"/>
        <v>0</v>
      </c>
      <c r="AJ196" s="996"/>
      <c r="AL196" s="1012"/>
      <c r="AM196" s="998"/>
      <c r="AN196" s="267"/>
      <c r="AO196" s="1009"/>
      <c r="AP196" s="998"/>
      <c r="AQ196" s="267"/>
      <c r="AR196" s="998"/>
      <c r="AS196" s="998"/>
      <c r="AT196" s="267"/>
      <c r="AU196" s="998"/>
      <c r="AV196" s="998"/>
      <c r="AW196" s="265"/>
      <c r="AX196" s="1016"/>
      <c r="AZ196" s="1012"/>
      <c r="BA196" s="998"/>
      <c r="BB196" s="267"/>
      <c r="BC196" s="1009"/>
      <c r="BD196" s="998"/>
      <c r="BE196" s="267"/>
      <c r="BF196" s="998"/>
      <c r="BG196" s="998"/>
      <c r="BH196" s="267"/>
      <c r="BI196" s="998"/>
      <c r="BJ196" s="998"/>
      <c r="BK196" s="265"/>
      <c r="BL196" s="1016"/>
      <c r="BN196" s="1012"/>
      <c r="BO196" s="998"/>
      <c r="BP196" s="267"/>
      <c r="BQ196" s="1009"/>
      <c r="BR196" s="998"/>
      <c r="BS196" s="267"/>
      <c r="BT196" s="998"/>
      <c r="BU196" s="998"/>
      <c r="BV196" s="267"/>
      <c r="BW196" s="998"/>
      <c r="BX196" s="998"/>
      <c r="BY196" s="265"/>
      <c r="BZ196" s="1016"/>
      <c r="CB196" s="1012"/>
      <c r="CC196" s="998"/>
      <c r="CD196" s="267"/>
      <c r="CE196" s="1009"/>
      <c r="CF196" s="998"/>
      <c r="CG196" s="267"/>
      <c r="CH196" s="998"/>
      <c r="CI196" s="998"/>
      <c r="CJ196" s="267"/>
      <c r="CK196" s="998"/>
      <c r="CL196" s="998"/>
      <c r="CM196" s="265"/>
      <c r="CN196" s="1016"/>
    </row>
    <row r="197" spans="2:92" ht="78.75" customHeight="1" x14ac:dyDescent="0.2">
      <c r="B197" s="970"/>
      <c r="C197" s="990"/>
      <c r="D197" s="952"/>
      <c r="E197" s="946"/>
      <c r="F197" s="949"/>
      <c r="G197" s="385" t="str">
        <f>+'Plan de Accion Proyectos estrat'!K26</f>
        <v>Controles de los procesos de liquidación y reconocimiento de UPC y de prestaciones económicas verificados y ajustados</v>
      </c>
      <c r="H197" s="285" t="str">
        <f>+'Plan de Accion Proyectos estrat'!X26</f>
        <v># Controles verificados y ajustados / # controles con ajuste requerido</v>
      </c>
      <c r="J197" s="372">
        <f>+'Plan de Accion Proyectos estrat'!AG26</f>
        <v>0.25</v>
      </c>
      <c r="K197" s="615">
        <f>+'Plan de Accion Proyectos estrat'!AI26</f>
        <v>1</v>
      </c>
      <c r="L197" s="615">
        <f t="shared" si="78"/>
        <v>1</v>
      </c>
      <c r="M197" s="615">
        <f>+'Plan de Accion Proyectos estrat'!AK26</f>
        <v>0.25</v>
      </c>
      <c r="N197" s="615">
        <f t="shared" si="47"/>
        <v>0.25</v>
      </c>
      <c r="O197" s="617">
        <f>+N197</f>
        <v>0.25</v>
      </c>
      <c r="P197" s="277"/>
      <c r="Q197" s="372">
        <f>+'Plan de Accion Proyectos estrat'!AQ26</f>
        <v>0</v>
      </c>
      <c r="R197" s="373">
        <f>+'Plan de Accion Proyectos estrat'!AS26</f>
        <v>0</v>
      </c>
      <c r="S197" s="276">
        <f t="shared" si="79"/>
        <v>0</v>
      </c>
      <c r="T197" s="373">
        <f>+'Plan de Accion Proyectos estrat'!AU26</f>
        <v>0.25</v>
      </c>
      <c r="U197" s="373">
        <f t="shared" si="80"/>
        <v>0.25</v>
      </c>
      <c r="V197" s="275">
        <f t="shared" si="81"/>
        <v>0.25</v>
      </c>
      <c r="W197" s="278"/>
      <c r="X197" s="372">
        <f>+'Plan de Accion Proyectos estrat'!BA26</f>
        <v>0</v>
      </c>
      <c r="Y197" s="373">
        <f>+'Plan de Accion Proyectos estrat'!BC26</f>
        <v>0</v>
      </c>
      <c r="Z197" s="276">
        <f t="shared" si="82"/>
        <v>0</v>
      </c>
      <c r="AA197" s="282">
        <f>+'Plan de Accion Proyectos estrat'!BE26</f>
        <v>0.25</v>
      </c>
      <c r="AB197" s="282">
        <f t="shared" si="83"/>
        <v>0.25</v>
      </c>
      <c r="AC197" s="281">
        <f t="shared" si="84"/>
        <v>0.25</v>
      </c>
      <c r="AD197" s="277"/>
      <c r="AE197" s="372">
        <f>+'Plan de Accion Proyectos estrat'!BK26</f>
        <v>0</v>
      </c>
      <c r="AF197" s="373">
        <f>+'Plan de Accion Proyectos estrat'!BM26</f>
        <v>0</v>
      </c>
      <c r="AG197" s="276">
        <f t="shared" si="85"/>
        <v>0</v>
      </c>
      <c r="AH197" s="373">
        <f>+'Plan de Accion Proyectos estrat'!BO26</f>
        <v>0.25</v>
      </c>
      <c r="AI197" s="275">
        <f t="shared" si="86"/>
        <v>0.25</v>
      </c>
      <c r="AJ197" s="996"/>
      <c r="AL197" s="1012"/>
      <c r="AM197" s="998"/>
      <c r="AN197" s="267"/>
      <c r="AO197" s="1009"/>
      <c r="AP197" s="998"/>
      <c r="AQ197" s="267"/>
      <c r="AR197" s="998"/>
      <c r="AS197" s="998"/>
      <c r="AT197" s="267"/>
      <c r="AU197" s="998"/>
      <c r="AV197" s="998"/>
      <c r="AW197" s="265"/>
      <c r="AX197" s="1016"/>
      <c r="AZ197" s="1012"/>
      <c r="BA197" s="998"/>
      <c r="BB197" s="267"/>
      <c r="BC197" s="1009"/>
      <c r="BD197" s="998"/>
      <c r="BE197" s="267"/>
      <c r="BF197" s="998"/>
      <c r="BG197" s="998"/>
      <c r="BH197" s="267"/>
      <c r="BI197" s="998"/>
      <c r="BJ197" s="998"/>
      <c r="BK197" s="265"/>
      <c r="BL197" s="1016"/>
      <c r="BN197" s="1012"/>
      <c r="BO197" s="998"/>
      <c r="BP197" s="267"/>
      <c r="BQ197" s="1009"/>
      <c r="BR197" s="998"/>
      <c r="BS197" s="267"/>
      <c r="BT197" s="998"/>
      <c r="BU197" s="998"/>
      <c r="BV197" s="267"/>
      <c r="BW197" s="998"/>
      <c r="BX197" s="998"/>
      <c r="BY197" s="265"/>
      <c r="BZ197" s="1016"/>
      <c r="CB197" s="1012"/>
      <c r="CC197" s="998"/>
      <c r="CD197" s="267"/>
      <c r="CE197" s="1009"/>
      <c r="CF197" s="998"/>
      <c r="CG197" s="267"/>
      <c r="CH197" s="998"/>
      <c r="CI197" s="998"/>
      <c r="CJ197" s="267"/>
      <c r="CK197" s="998"/>
      <c r="CL197" s="998"/>
      <c r="CM197" s="265"/>
      <c r="CN197" s="1016"/>
    </row>
    <row r="198" spans="2:92" ht="77.25" customHeight="1" x14ac:dyDescent="0.2">
      <c r="B198" s="970"/>
      <c r="C198" s="990"/>
      <c r="D198" s="952"/>
      <c r="E198" s="947"/>
      <c r="F198" s="950"/>
      <c r="G198" s="385" t="str">
        <f>+'Plan de Accion Proyectos estrat'!K32</f>
        <v>Informes de auditoría de los procesos de liquidación y reconocimiento de UPC de los afiliados al régimen contributivo y subsidiado</v>
      </c>
      <c r="H198" s="285" t="str">
        <f>+'Plan de Accion Proyectos estrat'!X32</f>
        <v># Informes de auditoría elaborados</v>
      </c>
      <c r="J198" s="283">
        <f>+'Plan de Accion Proyectos estrat'!AG32</f>
        <v>0</v>
      </c>
      <c r="K198" s="615" t="str">
        <f>+'Plan de Accion Proyectos estrat'!BR32</f>
        <v>No Prog ni Ejec</v>
      </c>
      <c r="L198" s="615" t="s">
        <v>206</v>
      </c>
      <c r="M198" s="615">
        <f>+'Plan de Accion Proyectos estrat'!AK32</f>
        <v>0</v>
      </c>
      <c r="N198" s="615">
        <f t="shared" si="47"/>
        <v>0</v>
      </c>
      <c r="O198" s="617" t="s">
        <v>206</v>
      </c>
      <c r="P198" s="277"/>
      <c r="Q198" s="283">
        <f>+'Plan de Accion Proyectos estrat'!AQ32</f>
        <v>0</v>
      </c>
      <c r="R198" s="373">
        <f>+'Plan de Accion Proyectos estrat'!AS32</f>
        <v>0</v>
      </c>
      <c r="S198" s="276">
        <f t="shared" si="79"/>
        <v>0</v>
      </c>
      <c r="T198" s="373">
        <f>+'Plan de Accion Proyectos estrat'!AU32</f>
        <v>0</v>
      </c>
      <c r="U198" s="373">
        <f t="shared" si="80"/>
        <v>0</v>
      </c>
      <c r="V198" s="275">
        <f t="shared" si="81"/>
        <v>0</v>
      </c>
      <c r="W198" s="278"/>
      <c r="X198" s="283">
        <f>+'Plan de Accion Proyectos estrat'!BA32</f>
        <v>0</v>
      </c>
      <c r="Y198" s="373">
        <f>+'Plan de Accion Proyectos estrat'!BC32</f>
        <v>0</v>
      </c>
      <c r="Z198" s="276">
        <f t="shared" si="82"/>
        <v>0</v>
      </c>
      <c r="AA198" s="282">
        <f>+'Plan de Accion Proyectos estrat'!BE32</f>
        <v>0</v>
      </c>
      <c r="AB198" s="282">
        <f t="shared" si="83"/>
        <v>0</v>
      </c>
      <c r="AC198" s="281">
        <f t="shared" si="84"/>
        <v>0</v>
      </c>
      <c r="AD198" s="277"/>
      <c r="AE198" s="284">
        <f>+'Plan de Accion Proyectos estrat'!BK32</f>
        <v>0</v>
      </c>
      <c r="AF198" s="373">
        <f>+'Plan de Accion Proyectos estrat'!BM32</f>
        <v>0</v>
      </c>
      <c r="AG198" s="276">
        <f t="shared" si="85"/>
        <v>0</v>
      </c>
      <c r="AH198" s="373">
        <f>+'Plan de Accion Proyectos estrat'!BO32</f>
        <v>0</v>
      </c>
      <c r="AI198" s="275">
        <f t="shared" si="86"/>
        <v>0</v>
      </c>
      <c r="AJ198" s="996"/>
      <c r="AL198" s="1012"/>
      <c r="AM198" s="998"/>
      <c r="AN198" s="267"/>
      <c r="AO198" s="1009"/>
      <c r="AP198" s="998"/>
      <c r="AQ198" s="267"/>
      <c r="AR198" s="998"/>
      <c r="AS198" s="998"/>
      <c r="AT198" s="267"/>
      <c r="AU198" s="998"/>
      <c r="AV198" s="998"/>
      <c r="AW198" s="265"/>
      <c r="AX198" s="1016"/>
      <c r="AZ198" s="1012"/>
      <c r="BA198" s="998"/>
      <c r="BB198" s="267"/>
      <c r="BC198" s="1009"/>
      <c r="BD198" s="998"/>
      <c r="BE198" s="267"/>
      <c r="BF198" s="998"/>
      <c r="BG198" s="998"/>
      <c r="BH198" s="267"/>
      <c r="BI198" s="998"/>
      <c r="BJ198" s="998"/>
      <c r="BK198" s="265"/>
      <c r="BL198" s="1016"/>
      <c r="BN198" s="1012"/>
      <c r="BO198" s="998"/>
      <c r="BP198" s="267"/>
      <c r="BQ198" s="1009"/>
      <c r="BR198" s="998"/>
      <c r="BS198" s="267"/>
      <c r="BT198" s="998"/>
      <c r="BU198" s="998"/>
      <c r="BV198" s="267"/>
      <c r="BW198" s="998"/>
      <c r="BX198" s="998"/>
      <c r="BY198" s="265"/>
      <c r="BZ198" s="1016"/>
      <c r="CB198" s="1012"/>
      <c r="CC198" s="998"/>
      <c r="CD198" s="267"/>
      <c r="CE198" s="1009"/>
      <c r="CF198" s="998"/>
      <c r="CG198" s="267"/>
      <c r="CH198" s="998"/>
      <c r="CI198" s="998"/>
      <c r="CJ198" s="267"/>
      <c r="CK198" s="998"/>
      <c r="CL198" s="998"/>
      <c r="CM198" s="265"/>
      <c r="CN198" s="1016"/>
    </row>
    <row r="199" spans="2:92" ht="71.25" x14ac:dyDescent="0.2">
      <c r="B199" s="970"/>
      <c r="C199" s="972" t="s">
        <v>60</v>
      </c>
      <c r="D199" s="955" t="s">
        <v>1289</v>
      </c>
      <c r="E199" s="945" t="s">
        <v>125</v>
      </c>
      <c r="F199" s="948" t="s">
        <v>332</v>
      </c>
      <c r="G199" s="385" t="str">
        <f>+'Plan de Accion Proyectos estrat'!K34</f>
        <v>Documentos de acercamiento con la rama judicial (Comunicaciones o actas de reuniones o actos administrativos)</v>
      </c>
      <c r="H199" s="285" t="str">
        <f>+'Plan de Accion Proyectos estrat'!X34</f>
        <v># Documentos de acercamiento con la rama judicial</v>
      </c>
      <c r="J199" s="283">
        <f>+'Plan de Accion Proyectos estrat'!AG34</f>
        <v>0</v>
      </c>
      <c r="K199" s="615" t="str">
        <f>+'Plan de Accion Proyectos estrat'!BR34</f>
        <v>No Prog ni Ejec</v>
      </c>
      <c r="L199" s="615" t="s">
        <v>206</v>
      </c>
      <c r="M199" s="615">
        <f>+'Plan de Accion Proyectos estrat'!AK34</f>
        <v>0</v>
      </c>
      <c r="N199" s="615">
        <f t="shared" si="47"/>
        <v>0</v>
      </c>
      <c r="O199" s="617" t="s">
        <v>206</v>
      </c>
      <c r="P199" s="277"/>
      <c r="Q199" s="283">
        <f>+'Plan de Accion Proyectos estrat'!AQ34</f>
        <v>0</v>
      </c>
      <c r="R199" s="373">
        <f>+'Plan de Accion Proyectos estrat'!BT34</f>
        <v>0</v>
      </c>
      <c r="S199" s="276">
        <f t="shared" si="79"/>
        <v>0</v>
      </c>
      <c r="T199" s="373">
        <f>+'Plan de Accion Proyectos estrat'!AU34</f>
        <v>0</v>
      </c>
      <c r="U199" s="373">
        <f t="shared" si="80"/>
        <v>0</v>
      </c>
      <c r="V199" s="275">
        <f t="shared" si="81"/>
        <v>0</v>
      </c>
      <c r="W199" s="278"/>
      <c r="X199" s="283">
        <f>+'Plan de Accion Proyectos estrat'!BA34</f>
        <v>0</v>
      </c>
      <c r="Y199" s="373" t="str">
        <f>+'Plan de Accion Proyectos estrat'!BV34</f>
        <v>No Prog ni Ejec</v>
      </c>
      <c r="Z199" s="276" t="s">
        <v>206</v>
      </c>
      <c r="AA199" s="282">
        <f>+'Plan de Accion Proyectos estrat'!BE34</f>
        <v>0</v>
      </c>
      <c r="AB199" s="282">
        <f t="shared" si="83"/>
        <v>0</v>
      </c>
      <c r="AC199" s="281" t="s">
        <v>206</v>
      </c>
      <c r="AD199" s="277"/>
      <c r="AE199" s="284">
        <f>+'Plan de Accion Proyectos estrat'!BK34</f>
        <v>0</v>
      </c>
      <c r="AF199" s="373">
        <f>+'Plan de Accion Proyectos estrat'!BX34</f>
        <v>0</v>
      </c>
      <c r="AG199" s="276">
        <f t="shared" si="85"/>
        <v>0</v>
      </c>
      <c r="AH199" s="373">
        <f>+'Plan de Accion Proyectos estrat'!BO34</f>
        <v>0</v>
      </c>
      <c r="AI199" s="275">
        <f t="shared" si="86"/>
        <v>0</v>
      </c>
      <c r="AJ199" s="996"/>
      <c r="AL199" s="1012"/>
      <c r="AM199" s="998"/>
      <c r="AN199" s="267"/>
      <c r="AO199" s="1009"/>
      <c r="AP199" s="998"/>
      <c r="AQ199" s="267"/>
      <c r="AR199" s="998"/>
      <c r="AS199" s="998"/>
      <c r="AT199" s="267"/>
      <c r="AU199" s="998"/>
      <c r="AV199" s="998"/>
      <c r="AW199" s="265"/>
      <c r="AX199" s="1016"/>
      <c r="AZ199" s="1012"/>
      <c r="BA199" s="998"/>
      <c r="BB199" s="267"/>
      <c r="BC199" s="1009"/>
      <c r="BD199" s="998"/>
      <c r="BE199" s="267"/>
      <c r="BF199" s="998"/>
      <c r="BG199" s="998"/>
      <c r="BH199" s="267"/>
      <c r="BI199" s="998"/>
      <c r="BJ199" s="998"/>
      <c r="BK199" s="265"/>
      <c r="BL199" s="1016"/>
      <c r="BN199" s="1012"/>
      <c r="BO199" s="998"/>
      <c r="BP199" s="267"/>
      <c r="BQ199" s="1009"/>
      <c r="BR199" s="998"/>
      <c r="BS199" s="267"/>
      <c r="BT199" s="998"/>
      <c r="BU199" s="998"/>
      <c r="BV199" s="267"/>
      <c r="BW199" s="998"/>
      <c r="BX199" s="998"/>
      <c r="BY199" s="265"/>
      <c r="BZ199" s="1016"/>
      <c r="CB199" s="1012"/>
      <c r="CC199" s="998"/>
      <c r="CD199" s="267"/>
      <c r="CE199" s="1009"/>
      <c r="CF199" s="998"/>
      <c r="CG199" s="267"/>
      <c r="CH199" s="998"/>
      <c r="CI199" s="998"/>
      <c r="CJ199" s="267"/>
      <c r="CK199" s="998"/>
      <c r="CL199" s="998"/>
      <c r="CM199" s="265"/>
      <c r="CN199" s="1016"/>
    </row>
    <row r="200" spans="2:92" ht="57" x14ac:dyDescent="0.2">
      <c r="B200" s="970"/>
      <c r="C200" s="973"/>
      <c r="D200" s="956"/>
      <c r="E200" s="946"/>
      <c r="F200" s="949"/>
      <c r="G200" s="385" t="str">
        <f>+'Plan de Accion Proyectos estrat'!K35</f>
        <v>Otro sí al convenio especificando las necesidades y acceso a la información</v>
      </c>
      <c r="H200" s="285" t="str">
        <f>+'Plan de Accion Proyectos estrat'!X35</f>
        <v># Otro si suscrtos</v>
      </c>
      <c r="J200" s="283">
        <f>+'Plan de Accion Proyectos estrat'!AG35</f>
        <v>0</v>
      </c>
      <c r="K200" s="615" t="str">
        <f>+'Plan de Accion Proyectos estrat'!BR35</f>
        <v>No Prog ni Ejec</v>
      </c>
      <c r="L200" s="615" t="s">
        <v>206</v>
      </c>
      <c r="M200" s="615">
        <f>+'Plan de Accion Proyectos estrat'!AK35</f>
        <v>0</v>
      </c>
      <c r="N200" s="615">
        <f t="shared" si="47"/>
        <v>0</v>
      </c>
      <c r="O200" s="617" t="s">
        <v>206</v>
      </c>
      <c r="P200" s="277"/>
      <c r="Q200" s="283">
        <f>+'Plan de Accion Proyectos estrat'!AQ35</f>
        <v>0</v>
      </c>
      <c r="R200" s="373" t="str">
        <f>+'Plan de Accion Proyectos estrat'!BT35</f>
        <v>No Prog ni Ejec</v>
      </c>
      <c r="S200" s="276" t="s">
        <v>206</v>
      </c>
      <c r="T200" s="373">
        <f>+'Plan de Accion Proyectos estrat'!AU35</f>
        <v>0</v>
      </c>
      <c r="U200" s="373">
        <f t="shared" ref="U200:U208" si="87">IF(T200&gt;100%,100%,T200)</f>
        <v>0</v>
      </c>
      <c r="V200" s="275" t="s">
        <v>206</v>
      </c>
      <c r="W200" s="278"/>
      <c r="X200" s="283">
        <f>+'Plan de Accion Proyectos estrat'!BA35</f>
        <v>0</v>
      </c>
      <c r="Y200" s="373" t="str">
        <f>+'Plan de Accion Proyectos estrat'!BV35</f>
        <v>No Prog ni Ejec</v>
      </c>
      <c r="Z200" s="276" t="s">
        <v>206</v>
      </c>
      <c r="AA200" s="282">
        <f>+'Plan de Accion Proyectos estrat'!BE35</f>
        <v>0</v>
      </c>
      <c r="AB200" s="282">
        <f t="shared" ref="AB200:AB208" si="88">IF(AA200&gt;100%,100%,AA200)</f>
        <v>0</v>
      </c>
      <c r="AC200" s="281" t="s">
        <v>206</v>
      </c>
      <c r="AD200" s="277"/>
      <c r="AE200" s="284">
        <f>+'Plan de Accion Proyectos estrat'!BK35</f>
        <v>0</v>
      </c>
      <c r="AF200" s="373">
        <f>+'Plan de Accion Proyectos estrat'!BX35</f>
        <v>0</v>
      </c>
      <c r="AG200" s="276">
        <f t="shared" ref="AG200:AG208" si="89">IF(AF200&gt;100%,100%,AF200)</f>
        <v>0</v>
      </c>
      <c r="AH200" s="373">
        <f>+'Plan de Accion Proyectos estrat'!BO35</f>
        <v>0</v>
      </c>
      <c r="AI200" s="275">
        <f t="shared" ref="AI200:AI208" si="90">IF(AH200&gt;100%,100%,AH200)</f>
        <v>0</v>
      </c>
      <c r="AJ200" s="996"/>
      <c r="AL200" s="1012"/>
      <c r="AM200" s="998"/>
      <c r="AN200" s="267"/>
      <c r="AO200" s="1009"/>
      <c r="AP200" s="998"/>
      <c r="AQ200" s="267"/>
      <c r="AR200" s="998"/>
      <c r="AS200" s="998"/>
      <c r="AT200" s="267"/>
      <c r="AU200" s="998"/>
      <c r="AV200" s="998"/>
      <c r="AW200" s="265"/>
      <c r="AX200" s="1016"/>
      <c r="AZ200" s="1012"/>
      <c r="BA200" s="998"/>
      <c r="BB200" s="267"/>
      <c r="BC200" s="1009"/>
      <c r="BD200" s="998"/>
      <c r="BE200" s="267"/>
      <c r="BF200" s="998"/>
      <c r="BG200" s="998"/>
      <c r="BH200" s="267"/>
      <c r="BI200" s="998"/>
      <c r="BJ200" s="998"/>
      <c r="BK200" s="265"/>
      <c r="BL200" s="1016"/>
      <c r="BN200" s="1012"/>
      <c r="BO200" s="998"/>
      <c r="BP200" s="267"/>
      <c r="BQ200" s="1009"/>
      <c r="BR200" s="998"/>
      <c r="BS200" s="267"/>
      <c r="BT200" s="998"/>
      <c r="BU200" s="998"/>
      <c r="BV200" s="267"/>
      <c r="BW200" s="998"/>
      <c r="BX200" s="998"/>
      <c r="BY200" s="265"/>
      <c r="BZ200" s="1016"/>
      <c r="CB200" s="1012"/>
      <c r="CC200" s="998"/>
      <c r="CD200" s="267"/>
      <c r="CE200" s="1009"/>
      <c r="CF200" s="998"/>
      <c r="CG200" s="267"/>
      <c r="CH200" s="998"/>
      <c r="CI200" s="998"/>
      <c r="CJ200" s="267"/>
      <c r="CK200" s="998"/>
      <c r="CL200" s="998"/>
      <c r="CM200" s="265"/>
      <c r="CN200" s="1016"/>
    </row>
    <row r="201" spans="2:92" ht="39.75" customHeight="1" thickBot="1" x14ac:dyDescent="0.25">
      <c r="B201" s="970"/>
      <c r="C201" s="974"/>
      <c r="D201" s="957"/>
      <c r="E201" s="947"/>
      <c r="F201" s="950"/>
      <c r="G201" s="385" t="str">
        <f>+'Plan de Accion Proyectos estrat'!K36</f>
        <v>Convenios o contratos interadministrativos</v>
      </c>
      <c r="H201" s="285" t="str">
        <f>+'Plan de Accion Proyectos estrat'!X36</f>
        <v># Convenios o contratos interadministrativos suscritos</v>
      </c>
      <c r="J201" s="283">
        <f>+'Plan de Accion Proyectos estrat'!AG36</f>
        <v>0</v>
      </c>
      <c r="K201" s="615" t="str">
        <f>+'Plan de Accion Proyectos estrat'!BR36</f>
        <v>No Prog ni Ejec</v>
      </c>
      <c r="L201" s="615" t="s">
        <v>206</v>
      </c>
      <c r="M201" s="615">
        <f>+'Plan de Accion Proyectos estrat'!AK36</f>
        <v>0</v>
      </c>
      <c r="N201" s="615">
        <f t="shared" si="47"/>
        <v>0</v>
      </c>
      <c r="O201" s="617" t="s">
        <v>206</v>
      </c>
      <c r="P201" s="277"/>
      <c r="Q201" s="283">
        <f>+'Plan de Accion Proyectos estrat'!AQ36</f>
        <v>0</v>
      </c>
      <c r="R201" s="373" t="str">
        <f>+'Plan de Accion Proyectos estrat'!BT36</f>
        <v>No Prog ni Ejec</v>
      </c>
      <c r="S201" s="276" t="s">
        <v>206</v>
      </c>
      <c r="T201" s="373">
        <f>+'Plan de Accion Proyectos estrat'!AU36</f>
        <v>0</v>
      </c>
      <c r="U201" s="373">
        <f t="shared" si="87"/>
        <v>0</v>
      </c>
      <c r="V201" s="275" t="s">
        <v>206</v>
      </c>
      <c r="W201" s="278"/>
      <c r="X201" s="283">
        <f>+'Plan de Accion Proyectos estrat'!BA36</f>
        <v>0</v>
      </c>
      <c r="Y201" s="373" t="str">
        <f>+'Plan de Accion Proyectos estrat'!BV36</f>
        <v>No Prog ni Ejec</v>
      </c>
      <c r="Z201" s="276" t="s">
        <v>206</v>
      </c>
      <c r="AA201" s="282">
        <f>+'Plan de Accion Proyectos estrat'!BE36</f>
        <v>0</v>
      </c>
      <c r="AB201" s="282">
        <f t="shared" si="88"/>
        <v>0</v>
      </c>
      <c r="AC201" s="281" t="s">
        <v>206</v>
      </c>
      <c r="AD201" s="277"/>
      <c r="AE201" s="284">
        <f>+'Plan de Accion Proyectos estrat'!BK36</f>
        <v>0</v>
      </c>
      <c r="AF201" s="373">
        <f>+'Plan de Accion Proyectos estrat'!BX36</f>
        <v>0</v>
      </c>
      <c r="AG201" s="276">
        <f t="shared" si="89"/>
        <v>0</v>
      </c>
      <c r="AH201" s="373">
        <f>+'Plan de Accion Proyectos estrat'!BO36</f>
        <v>0</v>
      </c>
      <c r="AI201" s="275">
        <f t="shared" si="90"/>
        <v>0</v>
      </c>
      <c r="AJ201" s="997"/>
      <c r="AL201" s="1013"/>
      <c r="AM201" s="999"/>
      <c r="AN201" s="267"/>
      <c r="AO201" s="1010"/>
      <c r="AP201" s="999"/>
      <c r="AQ201" s="267"/>
      <c r="AR201" s="999"/>
      <c r="AS201" s="999"/>
      <c r="AT201" s="267"/>
      <c r="AU201" s="999"/>
      <c r="AV201" s="999"/>
      <c r="AW201" s="265"/>
      <c r="AX201" s="1017"/>
      <c r="AZ201" s="1013"/>
      <c r="BA201" s="999"/>
      <c r="BB201" s="267"/>
      <c r="BC201" s="1010"/>
      <c r="BD201" s="999"/>
      <c r="BE201" s="267"/>
      <c r="BF201" s="999"/>
      <c r="BG201" s="999"/>
      <c r="BH201" s="267"/>
      <c r="BI201" s="999"/>
      <c r="BJ201" s="999"/>
      <c r="BK201" s="265"/>
      <c r="BL201" s="1017"/>
      <c r="BN201" s="1013"/>
      <c r="BO201" s="999"/>
      <c r="BP201" s="267"/>
      <c r="BQ201" s="1010"/>
      <c r="BR201" s="999"/>
      <c r="BS201" s="267"/>
      <c r="BT201" s="999"/>
      <c r="BU201" s="999"/>
      <c r="BV201" s="267"/>
      <c r="BW201" s="999"/>
      <c r="BX201" s="999"/>
      <c r="BY201" s="265"/>
      <c r="BZ201" s="1017"/>
      <c r="CB201" s="1013"/>
      <c r="CC201" s="999"/>
      <c r="CD201" s="267"/>
      <c r="CE201" s="1010"/>
      <c r="CF201" s="999"/>
      <c r="CG201" s="267"/>
      <c r="CH201" s="999"/>
      <c r="CI201" s="999"/>
      <c r="CJ201" s="267"/>
      <c r="CK201" s="999"/>
      <c r="CL201" s="999"/>
      <c r="CM201" s="265"/>
      <c r="CN201" s="1017"/>
    </row>
    <row r="202" spans="2:92" ht="99.75" customHeight="1" x14ac:dyDescent="0.2">
      <c r="B202" s="970"/>
      <c r="C202" s="990" t="s">
        <v>60</v>
      </c>
      <c r="D202" s="1041" t="s">
        <v>206</v>
      </c>
      <c r="E202" s="945" t="s">
        <v>125</v>
      </c>
      <c r="F202" s="948" t="s">
        <v>332</v>
      </c>
      <c r="G202" s="385" t="str">
        <f>+'Plan de Accion Misional'!K11</f>
        <v>Pagos registrados en el SII PRE Procesos de repetición</v>
      </c>
      <c r="H202" s="280" t="str">
        <f>+'Plan de Accion Misional'!X11</f>
        <v># Pagos registrados en SII PRE / # pagos realizados y conciliados</v>
      </c>
      <c r="J202" s="279">
        <f>+'Plan de Accion Misional'!AG11</f>
        <v>0</v>
      </c>
      <c r="K202" s="615" t="str">
        <f>+'Plan de Accion Misional'!BR11</f>
        <v>No Prog ni Ejec</v>
      </c>
      <c r="L202" s="615" t="s">
        <v>206</v>
      </c>
      <c r="M202" s="615">
        <f>+'Plan de Accion Misional'!AK11</f>
        <v>0</v>
      </c>
      <c r="N202" s="615">
        <f t="shared" si="47"/>
        <v>0</v>
      </c>
      <c r="O202" s="617" t="s">
        <v>206</v>
      </c>
      <c r="P202" s="277" t="s">
        <v>1290</v>
      </c>
      <c r="Q202" s="279">
        <f>+'Plan de Accion Misional'!AQ11</f>
        <v>0</v>
      </c>
      <c r="R202" s="315" t="str">
        <f>+'Plan de Accion Misional'!BT11</f>
        <v>No Prog ni Ejec</v>
      </c>
      <c r="S202" s="276" t="s">
        <v>206</v>
      </c>
      <c r="T202" s="373">
        <f>+'Plan de Accion Misional'!AU11</f>
        <v>0</v>
      </c>
      <c r="U202" s="373">
        <f t="shared" si="87"/>
        <v>0</v>
      </c>
      <c r="V202" s="275" t="s">
        <v>206</v>
      </c>
      <c r="W202" s="278"/>
      <c r="X202" s="372">
        <f>+'Plan de Accion Misional'!BA11</f>
        <v>0</v>
      </c>
      <c r="Y202" s="315" t="str">
        <f>+'Plan de Accion Misional'!BV11</f>
        <v>No Prog ni Ejec</v>
      </c>
      <c r="Z202" s="276" t="s">
        <v>206</v>
      </c>
      <c r="AA202" s="282">
        <f>+'Plan de Accion Misional'!BE11</f>
        <v>0</v>
      </c>
      <c r="AB202" s="282">
        <f t="shared" si="88"/>
        <v>0</v>
      </c>
      <c r="AC202" s="281" t="s">
        <v>206</v>
      </c>
      <c r="AD202" s="277"/>
      <c r="AE202" s="279">
        <f>+'Plan de Accion Misional'!BK11</f>
        <v>0</v>
      </c>
      <c r="AF202" s="315">
        <f>+'Plan de Accion Misional'!BX11</f>
        <v>0</v>
      </c>
      <c r="AG202" s="276">
        <f t="shared" si="89"/>
        <v>0</v>
      </c>
      <c r="AH202" s="315">
        <f>+'Plan de Accion Misional'!BO11</f>
        <v>0</v>
      </c>
      <c r="AI202" s="275">
        <f t="shared" si="90"/>
        <v>0</v>
      </c>
      <c r="AJ202" s="996"/>
      <c r="AL202" s="998"/>
      <c r="AM202" s="998"/>
      <c r="AN202" s="267"/>
      <c r="AO202" s="1009"/>
      <c r="AP202" s="998"/>
      <c r="AQ202" s="267"/>
      <c r="AR202" s="998"/>
      <c r="AS202" s="998"/>
      <c r="AT202" s="267"/>
      <c r="AU202" s="998"/>
      <c r="AV202" s="998"/>
      <c r="AW202" s="265"/>
      <c r="AX202" s="1016"/>
      <c r="AZ202" s="998"/>
      <c r="BA202" s="998"/>
      <c r="BB202" s="267"/>
      <c r="BC202" s="1009"/>
      <c r="BD202" s="998"/>
      <c r="BE202" s="267"/>
      <c r="BF202" s="998"/>
      <c r="BG202" s="998"/>
      <c r="BH202" s="267"/>
      <c r="BI202" s="998"/>
      <c r="BJ202" s="998"/>
      <c r="BK202" s="265"/>
      <c r="BL202" s="1016"/>
      <c r="BN202" s="998"/>
      <c r="BO202" s="998"/>
      <c r="BP202" s="267"/>
      <c r="BQ202" s="1009"/>
      <c r="BR202" s="998"/>
      <c r="BS202" s="267"/>
      <c r="BT202" s="998"/>
      <c r="BU202" s="998"/>
      <c r="BV202" s="267"/>
      <c r="BW202" s="998"/>
      <c r="BX202" s="998"/>
      <c r="BY202" s="265"/>
      <c r="BZ202" s="1016"/>
      <c r="CB202" s="998"/>
      <c r="CC202" s="998"/>
      <c r="CD202" s="267"/>
      <c r="CE202" s="1009"/>
      <c r="CF202" s="998"/>
      <c r="CG202" s="267"/>
      <c r="CH202" s="998"/>
      <c r="CI202" s="998"/>
      <c r="CJ202" s="267"/>
      <c r="CK202" s="998"/>
      <c r="CL202" s="998"/>
      <c r="CM202" s="265"/>
      <c r="CN202" s="1016"/>
    </row>
    <row r="203" spans="2:92" ht="72.75" customHeight="1" x14ac:dyDescent="0.2">
      <c r="B203" s="970"/>
      <c r="C203" s="990"/>
      <c r="D203" s="1041"/>
      <c r="E203" s="946"/>
      <c r="F203" s="949"/>
      <c r="G203" s="385" t="str">
        <f>+'Plan de Accion Misional'!K12</f>
        <v>Actos Administrativos mediante los cuales se ordena la depuración de reclamaciones y los estados financieros de la entidad</v>
      </c>
      <c r="H203" s="280" t="str">
        <f>+'Plan de Accion Misional'!X12</f>
        <v># Actos Administrativos proferidos / Universo de reclamaciones</v>
      </c>
      <c r="J203" s="279">
        <f>+'Plan de Accion Misional'!AG12</f>
        <v>0</v>
      </c>
      <c r="K203" s="615" t="str">
        <f>+'Plan de Accion Misional'!BR12</f>
        <v>No Prog ni Ejec</v>
      </c>
      <c r="L203" s="615" t="s">
        <v>206</v>
      </c>
      <c r="M203" s="615">
        <f>+'Plan de Accion Misional'!AK12</f>
        <v>0</v>
      </c>
      <c r="N203" s="615">
        <f t="shared" si="47"/>
        <v>0</v>
      </c>
      <c r="O203" s="617" t="s">
        <v>206</v>
      </c>
      <c r="P203" s="277"/>
      <c r="Q203" s="279">
        <f>+'Plan de Accion Misional'!AQ12</f>
        <v>0</v>
      </c>
      <c r="R203" s="315" t="str">
        <f>+'Plan de Accion Misional'!BT12</f>
        <v>No Prog ni Ejec</v>
      </c>
      <c r="S203" s="276" t="s">
        <v>206</v>
      </c>
      <c r="T203" s="373">
        <f>+'Plan de Accion Misional'!AU12</f>
        <v>0</v>
      </c>
      <c r="U203" s="373">
        <f t="shared" si="87"/>
        <v>0</v>
      </c>
      <c r="V203" s="275" t="s">
        <v>206</v>
      </c>
      <c r="W203" s="278"/>
      <c r="X203" s="279">
        <f>+'Plan de Accion Misional'!BA12</f>
        <v>0</v>
      </c>
      <c r="Y203" s="315" t="str">
        <f>+'Plan de Accion Misional'!BV12</f>
        <v>No Prog ni Ejec</v>
      </c>
      <c r="Z203" s="276" t="s">
        <v>206</v>
      </c>
      <c r="AA203" s="282">
        <f>+'Plan de Accion Misional'!BE12</f>
        <v>0</v>
      </c>
      <c r="AB203" s="282">
        <f t="shared" si="88"/>
        <v>0</v>
      </c>
      <c r="AC203" s="281" t="s">
        <v>206</v>
      </c>
      <c r="AD203" s="277"/>
      <c r="AE203" s="279">
        <f>+'Plan de Accion Misional'!BK12</f>
        <v>0</v>
      </c>
      <c r="AF203" s="315">
        <f>+'Plan de Accion Misional'!BX12</f>
        <v>0</v>
      </c>
      <c r="AG203" s="276">
        <f t="shared" si="89"/>
        <v>0</v>
      </c>
      <c r="AH203" s="315">
        <f>+'Plan de Accion Misional'!BO12</f>
        <v>0</v>
      </c>
      <c r="AI203" s="275">
        <f t="shared" si="90"/>
        <v>0</v>
      </c>
      <c r="AJ203" s="996"/>
      <c r="AL203" s="998"/>
      <c r="AM203" s="998"/>
      <c r="AN203" s="267"/>
      <c r="AO203" s="1009"/>
      <c r="AP203" s="998"/>
      <c r="AQ203" s="267"/>
      <c r="AR203" s="998"/>
      <c r="AS203" s="998"/>
      <c r="AT203" s="267"/>
      <c r="AU203" s="998"/>
      <c r="AV203" s="998"/>
      <c r="AW203" s="265"/>
      <c r="AX203" s="1016"/>
      <c r="AZ203" s="998"/>
      <c r="BA203" s="998"/>
      <c r="BB203" s="267"/>
      <c r="BC203" s="1009"/>
      <c r="BD203" s="998"/>
      <c r="BE203" s="267"/>
      <c r="BF203" s="998"/>
      <c r="BG203" s="998"/>
      <c r="BH203" s="267"/>
      <c r="BI203" s="998"/>
      <c r="BJ203" s="998"/>
      <c r="BK203" s="265"/>
      <c r="BL203" s="1016"/>
      <c r="BN203" s="998"/>
      <c r="BO203" s="998"/>
      <c r="BP203" s="267"/>
      <c r="BQ203" s="1009"/>
      <c r="BR203" s="998"/>
      <c r="BS203" s="267"/>
      <c r="BT203" s="998"/>
      <c r="BU203" s="998"/>
      <c r="BV203" s="267"/>
      <c r="BW203" s="998"/>
      <c r="BX203" s="998"/>
      <c r="BY203" s="265"/>
      <c r="BZ203" s="1016"/>
      <c r="CB203" s="998"/>
      <c r="CC203" s="998"/>
      <c r="CD203" s="267"/>
      <c r="CE203" s="1009"/>
      <c r="CF203" s="998"/>
      <c r="CG203" s="267"/>
      <c r="CH203" s="998"/>
      <c r="CI203" s="998"/>
      <c r="CJ203" s="267"/>
      <c r="CK203" s="998"/>
      <c r="CL203" s="998"/>
      <c r="CM203" s="265"/>
      <c r="CN203" s="1016"/>
    </row>
    <row r="204" spans="2:92" ht="72" thickBot="1" x14ac:dyDescent="0.25">
      <c r="B204" s="970"/>
      <c r="C204" s="990"/>
      <c r="D204" s="1041"/>
      <c r="E204" s="947"/>
      <c r="F204" s="950"/>
      <c r="G204" s="385" t="str">
        <f>+'Plan de Accion Misional'!K13</f>
        <v>Bases de información actualizadas</v>
      </c>
      <c r="H204" s="280" t="str">
        <f>+'Plan de Accion Misional'!X13</f>
        <v># Actos administrativos y actuaciones actualizados en las bases de información / # expedientes entregados en reparto</v>
      </c>
      <c r="J204" s="279">
        <f>+'Plan de Accion Misional'!AG13</f>
        <v>0.11191547642340051</v>
      </c>
      <c r="K204" s="615">
        <f>+'Plan de Accion Misional'!BR13</f>
        <v>0.44766190569360204</v>
      </c>
      <c r="L204" s="615">
        <f t="shared" ref="L204:L210" si="91">IF(K204&gt;100%,100%,K204)</f>
        <v>0.44766190569360204</v>
      </c>
      <c r="M204" s="615">
        <f>+'Plan de Accion Misional'!AK13</f>
        <v>0.11191547642340051</v>
      </c>
      <c r="N204" s="615">
        <f t="shared" si="47"/>
        <v>0.11191547642340051</v>
      </c>
      <c r="O204" s="617">
        <f t="shared" ref="O204:O210" si="92">+N204</f>
        <v>0.11191547642340051</v>
      </c>
      <c r="P204" s="277"/>
      <c r="Q204" s="279">
        <f>+'Plan de Accion Misional'!AQ13</f>
        <v>0</v>
      </c>
      <c r="R204" s="315">
        <f>+'Plan de Accion Misional'!BT13</f>
        <v>0</v>
      </c>
      <c r="S204" s="276">
        <f>IF(R204&gt;100%,100%,R204)</f>
        <v>0</v>
      </c>
      <c r="T204" s="373">
        <f>+'Plan de Accion Misional'!AU13</f>
        <v>0.11191547642340051</v>
      </c>
      <c r="U204" s="373">
        <f t="shared" si="87"/>
        <v>0.11191547642340051</v>
      </c>
      <c r="V204" s="275">
        <f>+U204</f>
        <v>0.11191547642340051</v>
      </c>
      <c r="W204" s="278"/>
      <c r="X204" s="279">
        <f>+'Plan de Accion Misional'!BA13</f>
        <v>0</v>
      </c>
      <c r="Y204" s="315">
        <f>+'Plan de Accion Misional'!BV13</f>
        <v>0</v>
      </c>
      <c r="Z204" s="276">
        <f>IF(Y204&gt;100%,100%,Y204)</f>
        <v>0</v>
      </c>
      <c r="AA204" s="282">
        <f>+'Plan de Accion Misional'!BE13</f>
        <v>0.11191547642340051</v>
      </c>
      <c r="AB204" s="282">
        <f t="shared" si="88"/>
        <v>0.11191547642340051</v>
      </c>
      <c r="AC204" s="281">
        <f>+AB204</f>
        <v>0.11191547642340051</v>
      </c>
      <c r="AD204" s="277"/>
      <c r="AE204" s="372">
        <f>+'Plan de Accion Misional'!BK13</f>
        <v>0</v>
      </c>
      <c r="AF204" s="315">
        <f>+'Plan de Accion Misional'!BX13</f>
        <v>0</v>
      </c>
      <c r="AG204" s="276">
        <f t="shared" si="89"/>
        <v>0</v>
      </c>
      <c r="AH204" s="315">
        <f>+'Plan de Accion Misional'!BO13</f>
        <v>0.11191547642340051</v>
      </c>
      <c r="AI204" s="275">
        <f t="shared" si="90"/>
        <v>0.11191547642340051</v>
      </c>
      <c r="AJ204" s="997"/>
      <c r="AL204" s="999"/>
      <c r="AM204" s="999"/>
      <c r="AN204" s="267"/>
      <c r="AO204" s="1010"/>
      <c r="AP204" s="999"/>
      <c r="AQ204" s="267"/>
      <c r="AR204" s="999"/>
      <c r="AS204" s="999"/>
      <c r="AT204" s="267"/>
      <c r="AU204" s="999"/>
      <c r="AV204" s="999"/>
      <c r="AW204" s="265"/>
      <c r="AX204" s="1017"/>
      <c r="AZ204" s="999"/>
      <c r="BA204" s="999"/>
      <c r="BB204" s="267"/>
      <c r="BC204" s="1010"/>
      <c r="BD204" s="999"/>
      <c r="BE204" s="267"/>
      <c r="BF204" s="999"/>
      <c r="BG204" s="999"/>
      <c r="BH204" s="267"/>
      <c r="BI204" s="999"/>
      <c r="BJ204" s="999"/>
      <c r="BK204" s="265"/>
      <c r="BL204" s="1017"/>
      <c r="BN204" s="999"/>
      <c r="BO204" s="999"/>
      <c r="BP204" s="267"/>
      <c r="BQ204" s="1010"/>
      <c r="BR204" s="999"/>
      <c r="BS204" s="267"/>
      <c r="BT204" s="999"/>
      <c r="BU204" s="999"/>
      <c r="BV204" s="267"/>
      <c r="BW204" s="999"/>
      <c r="BX204" s="999"/>
      <c r="BY204" s="265"/>
      <c r="BZ204" s="1017"/>
      <c r="CB204" s="999"/>
      <c r="CC204" s="999"/>
      <c r="CD204" s="267"/>
      <c r="CE204" s="1010"/>
      <c r="CF204" s="999"/>
      <c r="CG204" s="267"/>
      <c r="CH204" s="999"/>
      <c r="CI204" s="999"/>
      <c r="CJ204" s="267"/>
      <c r="CK204" s="999"/>
      <c r="CL204" s="999"/>
      <c r="CM204" s="265"/>
      <c r="CN204" s="1017"/>
    </row>
    <row r="205" spans="2:92" ht="57" customHeight="1" x14ac:dyDescent="0.2">
      <c r="B205" s="970"/>
      <c r="C205" s="972" t="s">
        <v>59</v>
      </c>
      <c r="D205" s="958" t="s">
        <v>206</v>
      </c>
      <c r="E205" s="945" t="s">
        <v>1291</v>
      </c>
      <c r="F205" s="948" t="s">
        <v>332</v>
      </c>
      <c r="G205" s="393" t="str">
        <f>+'Plan de Accion Misional'!K17</f>
        <v>Gestión de Recaudo</v>
      </c>
      <c r="H205" s="280" t="str">
        <f>+'Plan de Accion Misional'!X17</f>
        <v># Recaudos Identificados / # Total de Recaudo Recibido en el Trimestre</v>
      </c>
      <c r="J205" s="279">
        <f>+'Plan de Accion Misional'!AG17</f>
        <v>0.24984377122673551</v>
      </c>
      <c r="K205" s="615">
        <f>+'Plan de Accion Misional'!BR17</f>
        <v>0.99937508490694205</v>
      </c>
      <c r="L205" s="615">
        <f t="shared" si="91"/>
        <v>0.99937508490694205</v>
      </c>
      <c r="M205" s="615">
        <f>+'Plan de Accion Misional'!AK17</f>
        <v>0.24984377122673551</v>
      </c>
      <c r="N205" s="615">
        <f t="shared" ref="N205:N210" si="93">IF(M205&gt;100%,100%,M205)</f>
        <v>0.24984377122673551</v>
      </c>
      <c r="O205" s="617">
        <f t="shared" si="92"/>
        <v>0.24984377122673551</v>
      </c>
      <c r="P205" s="277"/>
      <c r="Q205" s="279">
        <f>+'Plan de Accion Misional'!AQ17</f>
        <v>0</v>
      </c>
      <c r="R205" s="315">
        <f>+'Plan de Accion Misional'!BT17</f>
        <v>0</v>
      </c>
      <c r="S205" s="276">
        <f>IF(R205&gt;100%,100%,R205)</f>
        <v>0</v>
      </c>
      <c r="T205" s="396">
        <f>+'Plan de Accion Misional'!AU17</f>
        <v>0.24984377122673551</v>
      </c>
      <c r="U205" s="396">
        <f t="shared" si="87"/>
        <v>0.24984377122673551</v>
      </c>
      <c r="V205" s="275">
        <f>+U205</f>
        <v>0.24984377122673551</v>
      </c>
      <c r="W205" s="278"/>
      <c r="X205" s="279">
        <f>+'Plan de Accion Misional'!BA17</f>
        <v>0</v>
      </c>
      <c r="Y205" s="315">
        <f>+'Plan de Accion Misional'!BV17</f>
        <v>0</v>
      </c>
      <c r="Z205" s="276">
        <f>IF(Y205&gt;100%,100%,Y205)</f>
        <v>0</v>
      </c>
      <c r="AA205" s="282">
        <f>+'Plan de Accion Misional'!BE17</f>
        <v>0.24984377122673551</v>
      </c>
      <c r="AB205" s="282">
        <f t="shared" si="88"/>
        <v>0.24984377122673551</v>
      </c>
      <c r="AC205" s="281">
        <f>+AB205</f>
        <v>0.24984377122673551</v>
      </c>
      <c r="AD205" s="277"/>
      <c r="AE205" s="401">
        <f>+'Plan de Accion Misional'!BK17</f>
        <v>0</v>
      </c>
      <c r="AF205" s="315">
        <f>+'Plan de Accion Misional'!BX17</f>
        <v>0</v>
      </c>
      <c r="AG205" s="276">
        <f t="shared" si="89"/>
        <v>0</v>
      </c>
      <c r="AH205" s="315">
        <f>+'Plan de Accion Misional'!BO17</f>
        <v>0.24984377122673551</v>
      </c>
      <c r="AI205" s="275">
        <f t="shared" si="90"/>
        <v>0.24984377122673551</v>
      </c>
      <c r="AJ205" s="399"/>
      <c r="AL205" s="397"/>
      <c r="AM205" s="397"/>
      <c r="AN205" s="267"/>
      <c r="AO205" s="400"/>
      <c r="AP205" s="397"/>
      <c r="AQ205" s="267"/>
      <c r="AR205" s="397"/>
      <c r="AS205" s="397"/>
      <c r="AT205" s="267"/>
      <c r="AU205" s="397"/>
      <c r="AV205" s="397"/>
      <c r="AW205" s="265"/>
      <c r="AX205" s="398"/>
      <c r="AZ205" s="397"/>
      <c r="BA205" s="397"/>
      <c r="BB205" s="267"/>
      <c r="BC205" s="400"/>
      <c r="BD205" s="397"/>
      <c r="BE205" s="267"/>
      <c r="BF205" s="397"/>
      <c r="BG205" s="397"/>
      <c r="BH205" s="267"/>
      <c r="BI205" s="397"/>
      <c r="BJ205" s="397"/>
      <c r="BK205" s="265"/>
      <c r="BL205" s="398"/>
      <c r="BN205" s="397"/>
      <c r="BO205" s="397"/>
      <c r="BP205" s="267"/>
      <c r="BQ205" s="400"/>
      <c r="BR205" s="397"/>
      <c r="BS205" s="267"/>
      <c r="BT205" s="397"/>
      <c r="BU205" s="397"/>
      <c r="BV205" s="267"/>
      <c r="BW205" s="397"/>
      <c r="BX205" s="397"/>
      <c r="BY205" s="265"/>
      <c r="BZ205" s="398"/>
      <c r="CB205" s="397"/>
      <c r="CC205" s="397"/>
      <c r="CD205" s="267"/>
      <c r="CE205" s="400"/>
      <c r="CF205" s="397"/>
      <c r="CG205" s="267"/>
      <c r="CH205" s="397"/>
      <c r="CI205" s="397"/>
      <c r="CJ205" s="267"/>
      <c r="CK205" s="397"/>
      <c r="CL205" s="397"/>
      <c r="CM205" s="265"/>
      <c r="CN205" s="398"/>
    </row>
    <row r="206" spans="2:92" ht="42.75" x14ac:dyDescent="0.2">
      <c r="B206" s="970"/>
      <c r="C206" s="974"/>
      <c r="D206" s="944"/>
      <c r="E206" s="947"/>
      <c r="F206" s="950"/>
      <c r="G206" s="393" t="str">
        <f>+'Plan de Accion Misional'!K19</f>
        <v>Informes de Portafolio</v>
      </c>
      <c r="H206" s="280" t="str">
        <f>+'Plan de Accion Misional'!X19</f>
        <v># Boletines Realizados / # Boletines Proyectados del Periodo</v>
      </c>
      <c r="J206" s="279">
        <f>+'Plan de Accion Misional'!AG19</f>
        <v>0.25</v>
      </c>
      <c r="K206" s="615">
        <f>+'Plan de Accion Misional'!BR19</f>
        <v>1</v>
      </c>
      <c r="L206" s="615">
        <f t="shared" si="91"/>
        <v>1</v>
      </c>
      <c r="M206" s="615">
        <f>+'Plan de Accion Misional'!AK19</f>
        <v>0.25</v>
      </c>
      <c r="N206" s="615">
        <f t="shared" si="93"/>
        <v>0.25</v>
      </c>
      <c r="O206" s="617">
        <f t="shared" si="92"/>
        <v>0.25</v>
      </c>
      <c r="P206" s="277"/>
      <c r="Q206" s="279">
        <f>+'Plan de Accion Misional'!AQ19</f>
        <v>0</v>
      </c>
      <c r="R206" s="315">
        <f>+'Plan de Accion Misional'!BT19</f>
        <v>0</v>
      </c>
      <c r="S206" s="276">
        <f>IF(R206&gt;100%,100%,R206)</f>
        <v>0</v>
      </c>
      <c r="T206" s="396">
        <f>+'Plan de Accion Misional'!AU19</f>
        <v>0.25</v>
      </c>
      <c r="U206" s="396">
        <f t="shared" si="87"/>
        <v>0.25</v>
      </c>
      <c r="V206" s="275">
        <f>+U206</f>
        <v>0.25</v>
      </c>
      <c r="W206" s="278"/>
      <c r="X206" s="279">
        <f>+'Plan de Accion Misional'!BA19</f>
        <v>0</v>
      </c>
      <c r="Y206" s="315">
        <f>+'Plan de Accion Misional'!BV19</f>
        <v>0</v>
      </c>
      <c r="Z206" s="276">
        <f>IF(Y206&gt;100%,100%,Y206)</f>
        <v>0</v>
      </c>
      <c r="AA206" s="282">
        <f>+'Plan de Accion Misional'!BE19</f>
        <v>0.25</v>
      </c>
      <c r="AB206" s="282">
        <f t="shared" si="88"/>
        <v>0.25</v>
      </c>
      <c r="AC206" s="281">
        <f>+AB206</f>
        <v>0.25</v>
      </c>
      <c r="AD206" s="277"/>
      <c r="AE206" s="401">
        <f>+'Plan de Accion Misional'!BK19</f>
        <v>0</v>
      </c>
      <c r="AF206" s="315">
        <f>+'Plan de Accion Misional'!BX19</f>
        <v>0</v>
      </c>
      <c r="AG206" s="276">
        <f t="shared" si="89"/>
        <v>0</v>
      </c>
      <c r="AH206" s="315">
        <f>+'Plan de Accion Misional'!BO19</f>
        <v>0.25</v>
      </c>
      <c r="AI206" s="275">
        <f t="shared" si="90"/>
        <v>0.25</v>
      </c>
      <c r="AJ206" s="399"/>
      <c r="AL206" s="397"/>
      <c r="AM206" s="397"/>
      <c r="AN206" s="267"/>
      <c r="AO206" s="400"/>
      <c r="AP206" s="397"/>
      <c r="AQ206" s="267"/>
      <c r="AR206" s="397"/>
      <c r="AS206" s="397"/>
      <c r="AT206" s="267"/>
      <c r="AU206" s="397"/>
      <c r="AV206" s="397"/>
      <c r="AW206" s="265"/>
      <c r="AX206" s="398"/>
      <c r="AZ206" s="397"/>
      <c r="BA206" s="397"/>
      <c r="BB206" s="267"/>
      <c r="BC206" s="400"/>
      <c r="BD206" s="397"/>
      <c r="BE206" s="267"/>
      <c r="BF206" s="397"/>
      <c r="BG206" s="397"/>
      <c r="BH206" s="267"/>
      <c r="BI206" s="397"/>
      <c r="BJ206" s="397"/>
      <c r="BK206" s="265"/>
      <c r="BL206" s="398"/>
      <c r="BN206" s="397"/>
      <c r="BO206" s="397"/>
      <c r="BP206" s="267"/>
      <c r="BQ206" s="400"/>
      <c r="BR206" s="397"/>
      <c r="BS206" s="267"/>
      <c r="BT206" s="397"/>
      <c r="BU206" s="397"/>
      <c r="BV206" s="267"/>
      <c r="BW206" s="397"/>
      <c r="BX206" s="397"/>
      <c r="BY206" s="265"/>
      <c r="BZ206" s="398"/>
      <c r="CB206" s="397"/>
      <c r="CC206" s="397"/>
      <c r="CD206" s="267"/>
      <c r="CE206" s="400"/>
      <c r="CF206" s="397"/>
      <c r="CG206" s="267"/>
      <c r="CH206" s="397"/>
      <c r="CI206" s="397"/>
      <c r="CJ206" s="267"/>
      <c r="CK206" s="397"/>
      <c r="CL206" s="397"/>
      <c r="CM206" s="265"/>
      <c r="CN206" s="398"/>
    </row>
    <row r="207" spans="2:92" ht="99.75" customHeight="1" x14ac:dyDescent="0.2">
      <c r="B207" s="970"/>
      <c r="C207" s="972" t="s">
        <v>60</v>
      </c>
      <c r="D207" s="958" t="s">
        <v>206</v>
      </c>
      <c r="E207" s="945" t="s">
        <v>125</v>
      </c>
      <c r="F207" s="948" t="s">
        <v>332</v>
      </c>
      <c r="G207" s="393" t="str">
        <f>+'Plan de Accion apoyo transversa'!X23</f>
        <v>Conceptos jurídicos</v>
      </c>
      <c r="H207" s="280" t="str">
        <f>+'Plan de Accion apoyo transversa'!AK23</f>
        <v># Conceptos jurídicos presentados en término legal / # Conceptos jurídicos requeridos el mes anterior al corte</v>
      </c>
      <c r="J207" s="283">
        <f>+'Plan de Accion apoyo transversa'!AT23</f>
        <v>0.19230769230769232</v>
      </c>
      <c r="K207" s="615">
        <f>+'Plan de Accion apoyo transversa'!CE23</f>
        <v>0.76923076923076927</v>
      </c>
      <c r="L207" s="615">
        <f t="shared" si="91"/>
        <v>0.76923076923076927</v>
      </c>
      <c r="M207" s="615">
        <f>+'Plan de Accion apoyo transversa'!AX23</f>
        <v>0.19230769230769232</v>
      </c>
      <c r="N207" s="615">
        <f t="shared" si="93"/>
        <v>0.19230769230769232</v>
      </c>
      <c r="O207" s="617">
        <f t="shared" si="92"/>
        <v>0.19230769230769232</v>
      </c>
      <c r="P207" s="277"/>
      <c r="Q207" s="283">
        <f>+'Plan de Accion apoyo transversa'!BD23</f>
        <v>0</v>
      </c>
      <c r="R207" s="315">
        <f>+'Plan de Accion apoyo transversa'!CG23</f>
        <v>0</v>
      </c>
      <c r="S207" s="276">
        <f>IF(R207&gt;100%,100%,R207)</f>
        <v>0</v>
      </c>
      <c r="T207" s="396">
        <f>+'Plan de Accion apoyo transversa'!BH23</f>
        <v>0.19230769230769232</v>
      </c>
      <c r="U207" s="396">
        <f t="shared" si="87"/>
        <v>0.19230769230769232</v>
      </c>
      <c r="V207" s="275">
        <f>+U207</f>
        <v>0.19230769230769232</v>
      </c>
      <c r="W207" s="278"/>
      <c r="X207" s="283">
        <f>+'Plan de Accion apoyo transversa'!BN23</f>
        <v>0</v>
      </c>
      <c r="Y207" s="315">
        <f>+'Plan de Accion apoyo transversa'!CI23</f>
        <v>0</v>
      </c>
      <c r="Z207" s="276">
        <f>IF(Y207&gt;100%,100%,Y207)</f>
        <v>0</v>
      </c>
      <c r="AA207" s="282">
        <f>+'Plan de Accion apoyo transversa'!BR23</f>
        <v>0.19230769230769232</v>
      </c>
      <c r="AB207" s="282">
        <f t="shared" si="88"/>
        <v>0.19230769230769232</v>
      </c>
      <c r="AC207" s="281">
        <f>+AB207</f>
        <v>0.19230769230769232</v>
      </c>
      <c r="AD207" s="277"/>
      <c r="AE207" s="283">
        <f>+'Plan de Accion apoyo transversa'!BX23</f>
        <v>0</v>
      </c>
      <c r="AF207" s="315">
        <f>+'Plan de Accion apoyo transversa'!CK23</f>
        <v>0</v>
      </c>
      <c r="AG207" s="276">
        <f t="shared" si="89"/>
        <v>0</v>
      </c>
      <c r="AH207" s="315">
        <f>+'Plan de Accion apoyo transversa'!CB23</f>
        <v>0.19230769230769232</v>
      </c>
      <c r="AI207" s="275">
        <f t="shared" si="90"/>
        <v>0.19230769230769232</v>
      </c>
      <c r="AJ207" s="399"/>
      <c r="AL207" s="397"/>
      <c r="AM207" s="397"/>
      <c r="AN207" s="267"/>
      <c r="AO207" s="400"/>
      <c r="AP207" s="397"/>
      <c r="AQ207" s="267"/>
      <c r="AR207" s="397"/>
      <c r="AS207" s="397"/>
      <c r="AT207" s="267"/>
      <c r="AU207" s="397"/>
      <c r="AV207" s="397"/>
      <c r="AW207" s="265"/>
      <c r="AX207" s="398"/>
      <c r="AZ207" s="397"/>
      <c r="BA207" s="397"/>
      <c r="BB207" s="267"/>
      <c r="BC207" s="400"/>
      <c r="BD207" s="397"/>
      <c r="BE207" s="267"/>
      <c r="BF207" s="397"/>
      <c r="BG207" s="397"/>
      <c r="BH207" s="267"/>
      <c r="BI207" s="397"/>
      <c r="BJ207" s="397"/>
      <c r="BK207" s="265"/>
      <c r="BL207" s="398"/>
      <c r="BN207" s="397"/>
      <c r="BO207" s="397"/>
      <c r="BP207" s="267"/>
      <c r="BQ207" s="400"/>
      <c r="BR207" s="397"/>
      <c r="BS207" s="267"/>
      <c r="BT207" s="397"/>
      <c r="BU207" s="397"/>
      <c r="BV207" s="267"/>
      <c r="BW207" s="397"/>
      <c r="BX207" s="397"/>
      <c r="BY207" s="265"/>
      <c r="BZ207" s="398"/>
      <c r="CB207" s="397"/>
      <c r="CC207" s="397"/>
      <c r="CD207" s="267"/>
      <c r="CE207" s="400"/>
      <c r="CF207" s="397"/>
      <c r="CG207" s="267"/>
      <c r="CH207" s="397"/>
      <c r="CI207" s="397"/>
      <c r="CJ207" s="267"/>
      <c r="CK207" s="397"/>
      <c r="CL207" s="397"/>
      <c r="CM207" s="265"/>
      <c r="CN207" s="398"/>
    </row>
    <row r="208" spans="2:92" ht="45" customHeight="1" x14ac:dyDescent="0.2">
      <c r="B208" s="970"/>
      <c r="C208" s="973"/>
      <c r="D208" s="943"/>
      <c r="E208" s="946"/>
      <c r="F208" s="949"/>
      <c r="G208" s="393" t="str">
        <f>+'Plan de Accion apoyo transversa'!X24</f>
        <v>Recursos de casación y representación judicial</v>
      </c>
      <c r="H208" s="280" t="str">
        <f>+'Plan de Accion apoyo transversa'!AK24</f>
        <v>(# argumentos pertinentes X recursos presentados) / (# argumentos totales X procesos entregados)</v>
      </c>
      <c r="J208" s="283">
        <f>+'Plan de Accion apoyo transversa'!AT24</f>
        <v>0</v>
      </c>
      <c r="K208" s="615">
        <f>+'Plan de Accion apoyo transversa'!CE24</f>
        <v>0</v>
      </c>
      <c r="L208" s="615">
        <f t="shared" si="91"/>
        <v>0</v>
      </c>
      <c r="M208" s="615">
        <f>+'Plan de Accion apoyo transversa'!AX24</f>
        <v>0</v>
      </c>
      <c r="N208" s="615">
        <f t="shared" si="93"/>
        <v>0</v>
      </c>
      <c r="O208" s="617">
        <f t="shared" si="92"/>
        <v>0</v>
      </c>
      <c r="P208" s="277"/>
      <c r="Q208" s="283">
        <f>+'Plan de Accion apoyo transversa'!BD24</f>
        <v>0</v>
      </c>
      <c r="R208" s="315">
        <f>+'Plan de Accion apoyo transversa'!CG24</f>
        <v>0</v>
      </c>
      <c r="S208" s="276">
        <f>IF(R208&gt;100%,100%,R208)</f>
        <v>0</v>
      </c>
      <c r="T208" s="396">
        <f>+'Plan de Accion apoyo transversa'!BH24</f>
        <v>0</v>
      </c>
      <c r="U208" s="396">
        <f t="shared" si="87"/>
        <v>0</v>
      </c>
      <c r="V208" s="275">
        <f>+U208</f>
        <v>0</v>
      </c>
      <c r="W208" s="278"/>
      <c r="X208" s="283">
        <f>+'Plan de Accion apoyo transversa'!BN24</f>
        <v>0</v>
      </c>
      <c r="Y208" s="315">
        <f>+'Plan de Accion apoyo transversa'!CI24</f>
        <v>0</v>
      </c>
      <c r="Z208" s="276">
        <f>IF(Y208&gt;100%,100%,Y208)</f>
        <v>0</v>
      </c>
      <c r="AA208" s="282">
        <f>+'Plan de Accion apoyo transversa'!BR24</f>
        <v>0</v>
      </c>
      <c r="AB208" s="282">
        <f t="shared" si="88"/>
        <v>0</v>
      </c>
      <c r="AC208" s="281">
        <f>+AB208</f>
        <v>0</v>
      </c>
      <c r="AD208" s="277"/>
      <c r="AE208" s="283">
        <f>+'Plan de Accion apoyo transversa'!BX24</f>
        <v>0</v>
      </c>
      <c r="AF208" s="315">
        <f>+'Plan de Accion apoyo transversa'!CK24</f>
        <v>0</v>
      </c>
      <c r="AG208" s="276">
        <f t="shared" si="89"/>
        <v>0</v>
      </c>
      <c r="AH208" s="315">
        <f>+'Plan de Accion apoyo transversa'!CB24</f>
        <v>0</v>
      </c>
      <c r="AI208" s="275">
        <f t="shared" si="90"/>
        <v>0</v>
      </c>
      <c r="AJ208" s="399"/>
      <c r="AL208" s="397"/>
      <c r="AM208" s="397"/>
      <c r="AN208" s="267"/>
      <c r="AO208" s="400"/>
      <c r="AP208" s="397"/>
      <c r="AQ208" s="267"/>
      <c r="AR208" s="397"/>
      <c r="AS208" s="397"/>
      <c r="AT208" s="267"/>
      <c r="AU208" s="397"/>
      <c r="AV208" s="397"/>
      <c r="AW208" s="265"/>
      <c r="AX208" s="398"/>
      <c r="AZ208" s="397"/>
      <c r="BA208" s="397"/>
      <c r="BB208" s="267"/>
      <c r="BC208" s="400"/>
      <c r="BD208" s="397"/>
      <c r="BE208" s="267"/>
      <c r="BF208" s="397"/>
      <c r="BG208" s="397"/>
      <c r="BH208" s="267"/>
      <c r="BI208" s="397"/>
      <c r="BJ208" s="397"/>
      <c r="BK208" s="265"/>
      <c r="BL208" s="398"/>
      <c r="BN208" s="397"/>
      <c r="BO208" s="397"/>
      <c r="BP208" s="267"/>
      <c r="BQ208" s="400"/>
      <c r="BR208" s="397"/>
      <c r="BS208" s="267"/>
      <c r="BT208" s="397"/>
      <c r="BU208" s="397"/>
      <c r="BV208" s="267"/>
      <c r="BW208" s="397"/>
      <c r="BX208" s="397"/>
      <c r="BY208" s="265"/>
      <c r="BZ208" s="398"/>
      <c r="CB208" s="397"/>
      <c r="CC208" s="397"/>
      <c r="CD208" s="267"/>
      <c r="CE208" s="400"/>
      <c r="CF208" s="397"/>
      <c r="CG208" s="267"/>
      <c r="CH208" s="397"/>
      <c r="CI208" s="397"/>
      <c r="CJ208" s="267"/>
      <c r="CK208" s="397"/>
      <c r="CL208" s="397"/>
      <c r="CM208" s="265"/>
      <c r="CN208" s="398"/>
    </row>
    <row r="209" spans="2:92" ht="42.75" x14ac:dyDescent="0.2">
      <c r="B209" s="970"/>
      <c r="C209" s="973"/>
      <c r="D209" s="943"/>
      <c r="E209" s="946"/>
      <c r="F209" s="949"/>
      <c r="G209" s="393" t="str">
        <f>+'Plan de Accion apoyo transversa'!X25</f>
        <v>Vigilancia judicial</v>
      </c>
      <c r="H209" s="280" t="str">
        <f>+'Plan de Accion apoyo transversa'!AK25</f>
        <v># Autos notificados por estado / # autos informados por el contratista</v>
      </c>
      <c r="J209" s="283">
        <f>+'Plan de Accion apoyo transversa'!AT25</f>
        <v>0</v>
      </c>
      <c r="K209" s="615">
        <f>+'Plan de Accion apoyo transversa'!CE25</f>
        <v>0</v>
      </c>
      <c r="L209" s="615">
        <f t="shared" si="91"/>
        <v>0</v>
      </c>
      <c r="M209" s="615">
        <f>+'Plan de Accion apoyo transversa'!AX25</f>
        <v>0</v>
      </c>
      <c r="N209" s="615">
        <f t="shared" si="93"/>
        <v>0</v>
      </c>
      <c r="O209" s="617">
        <f t="shared" si="92"/>
        <v>0</v>
      </c>
      <c r="P209" s="277"/>
      <c r="Q209" s="283">
        <f>+'Plan de Accion apoyo transversa'!BD25</f>
        <v>0</v>
      </c>
      <c r="R209" s="315">
        <f>+'Plan de Accion apoyo transversa'!CG25</f>
        <v>0</v>
      </c>
      <c r="S209" s="276">
        <f t="shared" ref="S209:S218" si="94">IF(R209&gt;100%,100%,R209)</f>
        <v>0</v>
      </c>
      <c r="T209" s="396">
        <f>+'Plan de Accion apoyo transversa'!BH25</f>
        <v>0</v>
      </c>
      <c r="U209" s="396">
        <f t="shared" ref="U209:U218" si="95">IF(T209&gt;100%,100%,T209)</f>
        <v>0</v>
      </c>
      <c r="V209" s="275">
        <f t="shared" ref="V209:V218" si="96">+U209</f>
        <v>0</v>
      </c>
      <c r="W209" s="278"/>
      <c r="X209" s="283">
        <f>+'Plan de Accion apoyo transversa'!BN25</f>
        <v>0</v>
      </c>
      <c r="Y209" s="315">
        <f>+'Plan de Accion apoyo transversa'!CI25</f>
        <v>0</v>
      </c>
      <c r="Z209" s="276">
        <f t="shared" ref="Z209:Z218" si="97">IF(Y209&gt;100%,100%,Y209)</f>
        <v>0</v>
      </c>
      <c r="AA209" s="282">
        <f>+'Plan de Accion apoyo transversa'!BR25</f>
        <v>0</v>
      </c>
      <c r="AB209" s="282">
        <f t="shared" ref="AB209:AB218" si="98">IF(AA209&gt;100%,100%,AA209)</f>
        <v>0</v>
      </c>
      <c r="AC209" s="281">
        <f t="shared" ref="AC209:AC218" si="99">+AB209</f>
        <v>0</v>
      </c>
      <c r="AD209" s="277"/>
      <c r="AE209" s="283">
        <f>+'Plan de Accion apoyo transversa'!BX25</f>
        <v>0</v>
      </c>
      <c r="AF209" s="315">
        <f>+'Plan de Accion apoyo transversa'!CK25</f>
        <v>0</v>
      </c>
      <c r="AG209" s="276">
        <f t="shared" ref="AG209:AG218" si="100">IF(AF209&gt;100%,100%,AF209)</f>
        <v>0</v>
      </c>
      <c r="AH209" s="315">
        <f>+'Plan de Accion apoyo transversa'!CB25</f>
        <v>0</v>
      </c>
      <c r="AI209" s="275">
        <f t="shared" ref="AI209:AI218" si="101">IF(AH209&gt;100%,100%,AH209)</f>
        <v>0</v>
      </c>
      <c r="AJ209" s="399"/>
      <c r="AL209" s="397"/>
      <c r="AM209" s="397"/>
      <c r="AN209" s="267"/>
      <c r="AO209" s="400"/>
      <c r="AP209" s="397"/>
      <c r="AQ209" s="267"/>
      <c r="AR209" s="397"/>
      <c r="AS209" s="397"/>
      <c r="AT209" s="267"/>
      <c r="AU209" s="397"/>
      <c r="AV209" s="397"/>
      <c r="AW209" s="265"/>
      <c r="AX209" s="398"/>
      <c r="AZ209" s="397"/>
      <c r="BA209" s="397"/>
      <c r="BB209" s="267"/>
      <c r="BC209" s="400"/>
      <c r="BD209" s="397"/>
      <c r="BE209" s="267"/>
      <c r="BF209" s="397"/>
      <c r="BG209" s="397"/>
      <c r="BH209" s="267"/>
      <c r="BI209" s="397"/>
      <c r="BJ209" s="397"/>
      <c r="BK209" s="265"/>
      <c r="BL209" s="398"/>
      <c r="BN209" s="397"/>
      <c r="BO209" s="397"/>
      <c r="BP209" s="267"/>
      <c r="BQ209" s="400"/>
      <c r="BR209" s="397"/>
      <c r="BS209" s="267"/>
      <c r="BT209" s="397"/>
      <c r="BU209" s="397"/>
      <c r="BV209" s="267"/>
      <c r="BW209" s="397"/>
      <c r="BX209" s="397"/>
      <c r="BY209" s="265"/>
      <c r="BZ209" s="398"/>
      <c r="CB209" s="397"/>
      <c r="CC209" s="397"/>
      <c r="CD209" s="267"/>
      <c r="CE209" s="400"/>
      <c r="CF209" s="397"/>
      <c r="CG209" s="267"/>
      <c r="CH209" s="397"/>
      <c r="CI209" s="397"/>
      <c r="CJ209" s="267"/>
      <c r="CK209" s="397"/>
      <c r="CL209" s="397"/>
      <c r="CM209" s="265"/>
      <c r="CN209" s="398"/>
    </row>
    <row r="210" spans="2:92" ht="28.5" customHeight="1" x14ac:dyDescent="0.2">
      <c r="B210" s="970"/>
      <c r="C210" s="973"/>
      <c r="D210" s="943"/>
      <c r="E210" s="946"/>
      <c r="F210" s="949"/>
      <c r="G210" s="393" t="str">
        <f>+'Plan de Accion apoyo transversa'!X27</f>
        <v>Procesos radicados en Ekogui</v>
      </c>
      <c r="H210" s="280" t="str">
        <f>+'Plan de Accion apoyo transversa'!AK27</f>
        <v># procesos radicados en Ekogui / # procesos asignados a los apoderados</v>
      </c>
      <c r="J210" s="283">
        <f>+'Plan de Accion apoyo transversa'!AT27</f>
        <v>0.23670557717250323</v>
      </c>
      <c r="K210" s="615">
        <f>+'Plan de Accion apoyo transversa'!CE27</f>
        <v>0.94682230869001294</v>
      </c>
      <c r="L210" s="615">
        <f t="shared" si="91"/>
        <v>0.94682230869001294</v>
      </c>
      <c r="M210" s="615">
        <f>+'Plan de Accion apoyo transversa'!AX27</f>
        <v>0.23670557717250323</v>
      </c>
      <c r="N210" s="615">
        <f t="shared" si="93"/>
        <v>0.23670557717250323</v>
      </c>
      <c r="O210" s="617">
        <f t="shared" si="92"/>
        <v>0.23670557717250323</v>
      </c>
      <c r="P210" s="277"/>
      <c r="Q210" s="283">
        <f>+'Plan de Accion apoyo transversa'!BD27</f>
        <v>0</v>
      </c>
      <c r="R210" s="315">
        <f>+'Plan de Accion apoyo transversa'!CG27</f>
        <v>0</v>
      </c>
      <c r="S210" s="276">
        <f t="shared" si="94"/>
        <v>0</v>
      </c>
      <c r="T210" s="396">
        <f>+'Plan de Accion apoyo transversa'!BH27</f>
        <v>0.23670557717250323</v>
      </c>
      <c r="U210" s="396">
        <f t="shared" si="95"/>
        <v>0.23670557717250323</v>
      </c>
      <c r="V210" s="275">
        <f t="shared" si="96"/>
        <v>0.23670557717250323</v>
      </c>
      <c r="W210" s="278"/>
      <c r="X210" s="283">
        <f>+'Plan de Accion apoyo transversa'!BN27</f>
        <v>0</v>
      </c>
      <c r="Y210" s="315">
        <f>+'Plan de Accion apoyo transversa'!CI27</f>
        <v>0</v>
      </c>
      <c r="Z210" s="276">
        <f t="shared" si="97"/>
        <v>0</v>
      </c>
      <c r="AA210" s="282">
        <f>+'Plan de Accion apoyo transversa'!BR27</f>
        <v>0.23670557717250323</v>
      </c>
      <c r="AB210" s="282">
        <f t="shared" si="98"/>
        <v>0.23670557717250323</v>
      </c>
      <c r="AC210" s="281">
        <f t="shared" si="99"/>
        <v>0.23670557717250323</v>
      </c>
      <c r="AD210" s="277"/>
      <c r="AE210" s="283">
        <f>+'Plan de Accion apoyo transversa'!BX27</f>
        <v>0</v>
      </c>
      <c r="AF210" s="315">
        <f>+'Plan de Accion apoyo transversa'!CK27</f>
        <v>0</v>
      </c>
      <c r="AG210" s="276">
        <f t="shared" si="100"/>
        <v>0</v>
      </c>
      <c r="AH210" s="315">
        <f>+'Plan de Accion apoyo transversa'!CB27</f>
        <v>0.23670557717250323</v>
      </c>
      <c r="AI210" s="275">
        <f t="shared" si="101"/>
        <v>0.23670557717250323</v>
      </c>
      <c r="AJ210" s="399"/>
      <c r="AL210" s="397"/>
      <c r="AM210" s="397"/>
      <c r="AN210" s="267"/>
      <c r="AO210" s="400"/>
      <c r="AP210" s="397"/>
      <c r="AQ210" s="267"/>
      <c r="AR210" s="397"/>
      <c r="AS210" s="397"/>
      <c r="AT210" s="267"/>
      <c r="AU210" s="397"/>
      <c r="AV210" s="397"/>
      <c r="AW210" s="265"/>
      <c r="AX210" s="398"/>
      <c r="AZ210" s="397"/>
      <c r="BA210" s="397"/>
      <c r="BB210" s="267"/>
      <c r="BC210" s="400"/>
      <c r="BD210" s="397"/>
      <c r="BE210" s="267"/>
      <c r="BF210" s="397"/>
      <c r="BG210" s="397"/>
      <c r="BH210" s="267"/>
      <c r="BI210" s="397"/>
      <c r="BJ210" s="397"/>
      <c r="BK210" s="265"/>
      <c r="BL210" s="398"/>
      <c r="BN210" s="397"/>
      <c r="BO210" s="397"/>
      <c r="BP210" s="267"/>
      <c r="BQ210" s="400"/>
      <c r="BR210" s="397"/>
      <c r="BS210" s="267"/>
      <c r="BT210" s="397"/>
      <c r="BU210" s="397"/>
      <c r="BV210" s="267"/>
      <c r="BW210" s="397"/>
      <c r="BX210" s="397"/>
      <c r="BY210" s="265"/>
      <c r="BZ210" s="398"/>
      <c r="CB210" s="397"/>
      <c r="CC210" s="397"/>
      <c r="CD210" s="267"/>
      <c r="CE210" s="400"/>
      <c r="CF210" s="397"/>
      <c r="CG210" s="267"/>
      <c r="CH210" s="397"/>
      <c r="CI210" s="397"/>
      <c r="CJ210" s="267"/>
      <c r="CK210" s="397"/>
      <c r="CL210" s="397"/>
      <c r="CM210" s="265"/>
      <c r="CN210" s="398"/>
    </row>
    <row r="211" spans="2:92" ht="71.25" customHeight="1" x14ac:dyDescent="0.2">
      <c r="B211" s="970"/>
      <c r="C211" s="973"/>
      <c r="D211" s="943"/>
      <c r="E211" s="946"/>
      <c r="F211" s="949"/>
      <c r="G211" s="519" t="str">
        <f>+'Plan de Accion apoyo transversa'!X28</f>
        <v>Entrega de la provisión de contingencias judiciales al Grupo de Gestión Contable y Control de Recursos ET en la fecha pactada</v>
      </c>
      <c r="H211" s="280" t="str">
        <f>+'Plan de Accion apoyo transversa'!AK28</f>
        <v>Fecha de entrega real de la provisión de contingencias judiciales durante el trimestre - Fecha de entrega pactada con el Grupo de Gestión Contable y Control de Recursos ET</v>
      </c>
      <c r="J211" s="283">
        <f>+'Plan de Accion apoyo transversa'!AT28</f>
        <v>1</v>
      </c>
      <c r="K211" s="615" t="str">
        <f>+'Plan de Accion apoyo transversa'!CE28</f>
        <v>No Prog, Ejec=  1</v>
      </c>
      <c r="L211" s="615" t="s">
        <v>206</v>
      </c>
      <c r="M211" s="615" t="s">
        <v>206</v>
      </c>
      <c r="N211" s="615" t="s">
        <v>206</v>
      </c>
      <c r="O211" s="617" t="s">
        <v>206</v>
      </c>
      <c r="P211" s="277"/>
      <c r="Q211" s="283">
        <f>+'Plan de Accion apoyo transversa'!BD28</f>
        <v>0</v>
      </c>
      <c r="R211" s="315" t="str">
        <f>+'Plan de Accion apoyo transversa'!CG28</f>
        <v>No Prog ni Ejec</v>
      </c>
      <c r="S211" s="276" t="s">
        <v>206</v>
      </c>
      <c r="T211" s="396">
        <f>+'Plan de Accion apoyo transversa'!BH28</f>
        <v>0</v>
      </c>
      <c r="U211" s="396">
        <f t="shared" si="95"/>
        <v>0</v>
      </c>
      <c r="V211" s="275" t="s">
        <v>206</v>
      </c>
      <c r="W211" s="278"/>
      <c r="X211" s="283">
        <f>+'Plan de Accion apoyo transversa'!BN28</f>
        <v>0</v>
      </c>
      <c r="Y211" s="315" t="str">
        <f>+'Plan de Accion apoyo transversa'!CI28</f>
        <v>No Prog ni Ejec</v>
      </c>
      <c r="Z211" s="276" t="s">
        <v>206</v>
      </c>
      <c r="AA211" s="282" t="e">
        <f>+'Plan de Accion apoyo transversa'!BR28</f>
        <v>#DIV/0!</v>
      </c>
      <c r="AB211" s="282" t="e">
        <f t="shared" si="98"/>
        <v>#DIV/0!</v>
      </c>
      <c r="AC211" s="281" t="s">
        <v>206</v>
      </c>
      <c r="AD211" s="277"/>
      <c r="AE211" s="283">
        <f>+'Plan de Accion apoyo transversa'!BX28</f>
        <v>0</v>
      </c>
      <c r="AF211" s="315" t="str">
        <f>+'Plan de Accion apoyo transversa'!CK28</f>
        <v>No Prog ni Ejec</v>
      </c>
      <c r="AG211" s="276" t="s">
        <v>206</v>
      </c>
      <c r="AH211" s="315" t="e">
        <f>+'Plan de Accion apoyo transversa'!CB28</f>
        <v>#DIV/0!</v>
      </c>
      <c r="AI211" s="275" t="s">
        <v>206</v>
      </c>
      <c r="AJ211" s="399"/>
      <c r="AL211" s="397"/>
      <c r="AM211" s="397"/>
      <c r="AN211" s="267"/>
      <c r="AO211" s="400"/>
      <c r="AP211" s="397"/>
      <c r="AQ211" s="267"/>
      <c r="AR211" s="397"/>
      <c r="AS211" s="397"/>
      <c r="AT211" s="267"/>
      <c r="AU211" s="397"/>
      <c r="AV211" s="397"/>
      <c r="AW211" s="265"/>
      <c r="AX211" s="398"/>
      <c r="AZ211" s="397"/>
      <c r="BA211" s="397"/>
      <c r="BB211" s="267"/>
      <c r="BC211" s="400"/>
      <c r="BD211" s="397"/>
      <c r="BE211" s="267"/>
      <c r="BF211" s="397"/>
      <c r="BG211" s="397"/>
      <c r="BH211" s="267"/>
      <c r="BI211" s="397"/>
      <c r="BJ211" s="397"/>
      <c r="BK211" s="265"/>
      <c r="BL211" s="398"/>
      <c r="BN211" s="397"/>
      <c r="BO211" s="397"/>
      <c r="BP211" s="267"/>
      <c r="BQ211" s="400"/>
      <c r="BR211" s="397"/>
      <c r="BS211" s="267"/>
      <c r="BT211" s="397"/>
      <c r="BU211" s="397"/>
      <c r="BV211" s="267"/>
      <c r="BW211" s="397"/>
      <c r="BX211" s="397"/>
      <c r="BY211" s="265"/>
      <c r="BZ211" s="398"/>
      <c r="CB211" s="397"/>
      <c r="CC211" s="397"/>
      <c r="CD211" s="267"/>
      <c r="CE211" s="400"/>
      <c r="CF211" s="397"/>
      <c r="CG211" s="267"/>
      <c r="CH211" s="397"/>
      <c r="CI211" s="397"/>
      <c r="CJ211" s="267"/>
      <c r="CK211" s="397"/>
      <c r="CL211" s="397"/>
      <c r="CM211" s="265"/>
      <c r="CN211" s="398"/>
    </row>
    <row r="212" spans="2:92" ht="85.5" x14ac:dyDescent="0.2">
      <c r="B212" s="970"/>
      <c r="C212" s="973"/>
      <c r="D212" s="943"/>
      <c r="E212" s="946"/>
      <c r="F212" s="949"/>
      <c r="G212" s="945" t="str">
        <f>+'Plan de Accion apoyo transversa'!X29</f>
        <v>Intervención en los procesos e investigaciones penales</v>
      </c>
      <c r="H212" s="280" t="str">
        <f>+'Plan de Accion apoyo transversa'!AK29</f>
        <v># procesos penales en los que el apoderado adelantó actuación judicial / # procesos penales en los que es parte, tercero interviniente o víctima la ADRES</v>
      </c>
      <c r="J212" s="283">
        <f>+'Plan de Accion apoyo transversa'!AT29</f>
        <v>7.1428571428571425E-2</v>
      </c>
      <c r="K212" s="930">
        <f>AVERAGE('Plan de Accion apoyo transversa'!CE29:CE30)</f>
        <v>0.14285714285714285</v>
      </c>
      <c r="L212" s="930">
        <f t="shared" ref="L212:L222" si="102">IF(K212&gt;100%,100%,K212)</f>
        <v>0.14285714285714285</v>
      </c>
      <c r="M212" s="930">
        <f>AVERAGE('Plan de Accion apoyo transversa'!AX29:AX30)</f>
        <v>3.5714285714285712E-2</v>
      </c>
      <c r="N212" s="930">
        <f t="shared" ref="N212:N218" si="103">IF(M212&gt;100%,100%,M212)</f>
        <v>3.5714285714285712E-2</v>
      </c>
      <c r="O212" s="933">
        <f t="shared" ref="O212:O222" si="104">+N212</f>
        <v>3.5714285714285712E-2</v>
      </c>
      <c r="P212" s="277"/>
      <c r="Q212" s="283">
        <f>+'Plan de Accion apoyo transversa'!BD29</f>
        <v>0</v>
      </c>
      <c r="R212" s="930">
        <f>AVERAGE('Plan de Accion apoyo transversa'!CG29:CG30)</f>
        <v>0</v>
      </c>
      <c r="S212" s="930">
        <f t="shared" si="94"/>
        <v>0</v>
      </c>
      <c r="T212" s="930">
        <f>AVERAGE('Plan de Accion apoyo transversa'!BH29:BH30)</f>
        <v>7.1428571428571425E-2</v>
      </c>
      <c r="U212" s="930">
        <f t="shared" si="95"/>
        <v>7.1428571428571425E-2</v>
      </c>
      <c r="V212" s="933">
        <f t="shared" si="96"/>
        <v>7.1428571428571425E-2</v>
      </c>
      <c r="W212" s="278"/>
      <c r="X212" s="283">
        <f>+'Plan de Accion apoyo transversa'!BN29</f>
        <v>0</v>
      </c>
      <c r="Y212" s="930">
        <f>AVERAGE('Plan de Accion apoyo transversa'!CI29:CI30)</f>
        <v>0</v>
      </c>
      <c r="Z212" s="930">
        <f t="shared" si="97"/>
        <v>0</v>
      </c>
      <c r="AA212" s="936">
        <f>AVERAGE('Plan de Accion apoyo transversa'!BR29:BR30)</f>
        <v>7.1428571428571425E-2</v>
      </c>
      <c r="AB212" s="936">
        <f t="shared" si="98"/>
        <v>7.1428571428571425E-2</v>
      </c>
      <c r="AC212" s="939">
        <f t="shared" si="99"/>
        <v>7.1428571428571425E-2</v>
      </c>
      <c r="AD212" s="277"/>
      <c r="AE212" s="283">
        <f>+'Plan de Accion apoyo transversa'!BX29</f>
        <v>0</v>
      </c>
      <c r="AF212" s="930">
        <f>AVERAGE('Plan de Accion apoyo transversa'!CK29:CK30)</f>
        <v>0</v>
      </c>
      <c r="AG212" s="930">
        <f t="shared" si="100"/>
        <v>0</v>
      </c>
      <c r="AH212" s="930">
        <f>AVERAGE('Plan de Accion apoyo transversa'!CB29:CB30)</f>
        <v>7.1428571428571425E-2</v>
      </c>
      <c r="AI212" s="933">
        <f t="shared" si="101"/>
        <v>7.1428571428571425E-2</v>
      </c>
      <c r="AJ212" s="399"/>
      <c r="AL212" s="397"/>
      <c r="AM212" s="397"/>
      <c r="AN212" s="267"/>
      <c r="AO212" s="400"/>
      <c r="AP212" s="397"/>
      <c r="AQ212" s="267"/>
      <c r="AR212" s="397"/>
      <c r="AS212" s="397"/>
      <c r="AT212" s="267"/>
      <c r="AU212" s="397"/>
      <c r="AV212" s="397"/>
      <c r="AW212" s="265"/>
      <c r="AX212" s="398"/>
      <c r="AZ212" s="397"/>
      <c r="BA212" s="397"/>
      <c r="BB212" s="267"/>
      <c r="BC212" s="400"/>
      <c r="BD212" s="397"/>
      <c r="BE212" s="267"/>
      <c r="BF212" s="397"/>
      <c r="BG212" s="397"/>
      <c r="BH212" s="267"/>
      <c r="BI212" s="397"/>
      <c r="BJ212" s="397"/>
      <c r="BK212" s="265"/>
      <c r="BL212" s="398"/>
      <c r="BN212" s="397"/>
      <c r="BO212" s="397"/>
      <c r="BP212" s="267"/>
      <c r="BQ212" s="400"/>
      <c r="BR212" s="397"/>
      <c r="BS212" s="267"/>
      <c r="BT212" s="397"/>
      <c r="BU212" s="397"/>
      <c r="BV212" s="267"/>
      <c r="BW212" s="397"/>
      <c r="BX212" s="397"/>
      <c r="BY212" s="265"/>
      <c r="BZ212" s="398"/>
      <c r="CB212" s="397"/>
      <c r="CC212" s="397"/>
      <c r="CD212" s="267"/>
      <c r="CE212" s="400"/>
      <c r="CF212" s="397"/>
      <c r="CG212" s="267"/>
      <c r="CH212" s="397"/>
      <c r="CI212" s="397"/>
      <c r="CJ212" s="267"/>
      <c r="CK212" s="397"/>
      <c r="CL212" s="397"/>
      <c r="CM212" s="265"/>
      <c r="CN212" s="398"/>
    </row>
    <row r="213" spans="2:92" ht="71.25" x14ac:dyDescent="0.2">
      <c r="B213" s="970"/>
      <c r="C213" s="973"/>
      <c r="D213" s="943"/>
      <c r="E213" s="946"/>
      <c r="F213" s="949"/>
      <c r="G213" s="947"/>
      <c r="H213" s="280" t="str">
        <f>+'Plan de Accion apoyo transversa'!AK30</f>
        <v>#denuncias en las que el apoderado intervino / # denuncias reportadas en la base de datos de coordinación GRJ</v>
      </c>
      <c r="J213" s="283">
        <f>+'Plan de Accion apoyo transversa'!AT30</f>
        <v>0</v>
      </c>
      <c r="K213" s="932"/>
      <c r="L213" s="932"/>
      <c r="M213" s="932"/>
      <c r="N213" s="932"/>
      <c r="O213" s="935"/>
      <c r="P213" s="277"/>
      <c r="Q213" s="283">
        <f>+'Plan de Accion apoyo transversa'!BD30</f>
        <v>0</v>
      </c>
      <c r="R213" s="932"/>
      <c r="S213" s="932"/>
      <c r="T213" s="932"/>
      <c r="U213" s="932"/>
      <c r="V213" s="935"/>
      <c r="W213" s="278"/>
      <c r="X213" s="283">
        <f>+'Plan de Accion apoyo transversa'!BN30</f>
        <v>0</v>
      </c>
      <c r="Y213" s="932"/>
      <c r="Z213" s="932"/>
      <c r="AA213" s="938"/>
      <c r="AB213" s="938"/>
      <c r="AC213" s="941"/>
      <c r="AD213" s="277"/>
      <c r="AE213" s="283">
        <f>+'Plan de Accion apoyo transversa'!BX30</f>
        <v>0</v>
      </c>
      <c r="AF213" s="932"/>
      <c r="AG213" s="932"/>
      <c r="AH213" s="932"/>
      <c r="AI213" s="935"/>
      <c r="AJ213" s="399"/>
      <c r="AL213" s="397"/>
      <c r="AM213" s="397"/>
      <c r="AN213" s="267"/>
      <c r="AO213" s="400"/>
      <c r="AP213" s="397"/>
      <c r="AQ213" s="267"/>
      <c r="AR213" s="397"/>
      <c r="AS213" s="397"/>
      <c r="AT213" s="267"/>
      <c r="AU213" s="397"/>
      <c r="AV213" s="397"/>
      <c r="AW213" s="265"/>
      <c r="AX213" s="398"/>
      <c r="AZ213" s="397"/>
      <c r="BA213" s="397"/>
      <c r="BB213" s="267"/>
      <c r="BC213" s="400"/>
      <c r="BD213" s="397"/>
      <c r="BE213" s="267"/>
      <c r="BF213" s="397"/>
      <c r="BG213" s="397"/>
      <c r="BH213" s="267"/>
      <c r="BI213" s="397"/>
      <c r="BJ213" s="397"/>
      <c r="BK213" s="265"/>
      <c r="BL213" s="398"/>
      <c r="BN213" s="397"/>
      <c r="BO213" s="397"/>
      <c r="BP213" s="267"/>
      <c r="BQ213" s="400"/>
      <c r="BR213" s="397"/>
      <c r="BS213" s="267"/>
      <c r="BT213" s="397"/>
      <c r="BU213" s="397"/>
      <c r="BV213" s="267"/>
      <c r="BW213" s="397"/>
      <c r="BX213" s="397"/>
      <c r="BY213" s="265"/>
      <c r="BZ213" s="398"/>
      <c r="CB213" s="397"/>
      <c r="CC213" s="397"/>
      <c r="CD213" s="267"/>
      <c r="CE213" s="400"/>
      <c r="CF213" s="397"/>
      <c r="CG213" s="267"/>
      <c r="CH213" s="397"/>
      <c r="CI213" s="397"/>
      <c r="CJ213" s="267"/>
      <c r="CK213" s="397"/>
      <c r="CL213" s="397"/>
      <c r="CM213" s="265"/>
      <c r="CN213" s="398"/>
    </row>
    <row r="214" spans="2:92" ht="42.75" x14ac:dyDescent="0.2">
      <c r="B214" s="970"/>
      <c r="C214" s="973"/>
      <c r="D214" s="943"/>
      <c r="E214" s="946"/>
      <c r="F214" s="949"/>
      <c r="G214" s="393" t="str">
        <f>+'Plan de Accion apoyo transversa'!X33</f>
        <v xml:space="preserve">Fichas técnicas  </v>
      </c>
      <c r="H214" s="280" t="str">
        <f>+'Plan de Accion apoyo transversa'!AK33</f>
        <v># Fichas técnicas  / # Audiencias a la conciliación notificadas a la entidad</v>
      </c>
      <c r="J214" s="283">
        <f>+'Plan de Accion apoyo transversa'!AT33</f>
        <v>0.10372340425531915</v>
      </c>
      <c r="K214" s="615">
        <f>+'Plan de Accion apoyo transversa'!CE33</f>
        <v>0.41489361702127658</v>
      </c>
      <c r="L214" s="615">
        <f t="shared" si="102"/>
        <v>0.41489361702127658</v>
      </c>
      <c r="M214" s="615">
        <f>+'Plan de Accion apoyo transversa'!AX33</f>
        <v>0.10372340425531915</v>
      </c>
      <c r="N214" s="615">
        <f t="shared" si="103"/>
        <v>0.10372340425531915</v>
      </c>
      <c r="O214" s="617">
        <f t="shared" si="104"/>
        <v>0.10372340425531915</v>
      </c>
      <c r="P214" s="277"/>
      <c r="Q214" s="283">
        <f>+'Plan de Accion apoyo transversa'!BD33</f>
        <v>0</v>
      </c>
      <c r="R214" s="315">
        <f>+'Plan de Accion apoyo transversa'!CG33</f>
        <v>0</v>
      </c>
      <c r="S214" s="276">
        <f t="shared" si="94"/>
        <v>0</v>
      </c>
      <c r="T214" s="396">
        <f>+'Plan de Accion apoyo transversa'!BH33</f>
        <v>0.10372340425531915</v>
      </c>
      <c r="U214" s="396">
        <f t="shared" si="95"/>
        <v>0.10372340425531915</v>
      </c>
      <c r="V214" s="275">
        <f t="shared" si="96"/>
        <v>0.10372340425531915</v>
      </c>
      <c r="W214" s="278"/>
      <c r="X214" s="283">
        <f>+'Plan de Accion apoyo transversa'!BN33</f>
        <v>0</v>
      </c>
      <c r="Y214" s="315">
        <f>+'Plan de Accion apoyo transversa'!CI33</f>
        <v>0</v>
      </c>
      <c r="Z214" s="276">
        <f t="shared" si="97"/>
        <v>0</v>
      </c>
      <c r="AA214" s="282">
        <f>+'Plan de Accion apoyo transversa'!BR33</f>
        <v>0.10372340425531915</v>
      </c>
      <c r="AB214" s="282">
        <f t="shared" si="98"/>
        <v>0.10372340425531915</v>
      </c>
      <c r="AC214" s="281">
        <f t="shared" si="99"/>
        <v>0.10372340425531915</v>
      </c>
      <c r="AD214" s="277"/>
      <c r="AE214" s="283">
        <f>+'Plan de Accion apoyo transversa'!BX33</f>
        <v>0</v>
      </c>
      <c r="AF214" s="315">
        <f>+'Plan de Accion apoyo transversa'!CK33</f>
        <v>0</v>
      </c>
      <c r="AG214" s="276">
        <f t="shared" si="100"/>
        <v>0</v>
      </c>
      <c r="AH214" s="315">
        <f>+'Plan de Accion apoyo transversa'!CB33</f>
        <v>0.10372340425531915</v>
      </c>
      <c r="AI214" s="275">
        <f t="shared" si="101"/>
        <v>0.10372340425531915</v>
      </c>
      <c r="AJ214" s="399"/>
      <c r="AL214" s="397"/>
      <c r="AM214" s="397"/>
      <c r="AN214" s="267"/>
      <c r="AO214" s="400"/>
      <c r="AP214" s="397"/>
      <c r="AQ214" s="267"/>
      <c r="AR214" s="397"/>
      <c r="AS214" s="397"/>
      <c r="AT214" s="267"/>
      <c r="AU214" s="397"/>
      <c r="AV214" s="397"/>
      <c r="AW214" s="265"/>
      <c r="AX214" s="398"/>
      <c r="AZ214" s="397"/>
      <c r="BA214" s="397"/>
      <c r="BB214" s="267"/>
      <c r="BC214" s="400"/>
      <c r="BD214" s="397"/>
      <c r="BE214" s="267"/>
      <c r="BF214" s="397"/>
      <c r="BG214" s="397"/>
      <c r="BH214" s="267"/>
      <c r="BI214" s="397"/>
      <c r="BJ214" s="397"/>
      <c r="BK214" s="265"/>
      <c r="BL214" s="398"/>
      <c r="BN214" s="397"/>
      <c r="BO214" s="397"/>
      <c r="BP214" s="267"/>
      <c r="BQ214" s="400"/>
      <c r="BR214" s="397"/>
      <c r="BS214" s="267"/>
      <c r="BT214" s="397"/>
      <c r="BU214" s="397"/>
      <c r="BV214" s="267"/>
      <c r="BW214" s="397"/>
      <c r="BX214" s="397"/>
      <c r="BY214" s="265"/>
      <c r="BZ214" s="398"/>
      <c r="CB214" s="397"/>
      <c r="CC214" s="397"/>
      <c r="CD214" s="267"/>
      <c r="CE214" s="400"/>
      <c r="CF214" s="397"/>
      <c r="CG214" s="267"/>
      <c r="CH214" s="397"/>
      <c r="CI214" s="397"/>
      <c r="CJ214" s="267"/>
      <c r="CK214" s="397"/>
      <c r="CL214" s="397"/>
      <c r="CM214" s="265"/>
      <c r="CN214" s="398"/>
    </row>
    <row r="215" spans="2:92" ht="42.75" x14ac:dyDescent="0.2">
      <c r="B215" s="970"/>
      <c r="C215" s="973"/>
      <c r="D215" s="943"/>
      <c r="E215" s="946"/>
      <c r="F215" s="949"/>
      <c r="G215" s="393" t="str">
        <f>+'Plan de Accion apoyo transversa'!X34</f>
        <v xml:space="preserve">Fichas técnicas demandas </v>
      </c>
      <c r="H215" s="280" t="str">
        <f>+'Plan de Accion apoyo transversa'!AK34</f>
        <v># Fichas técnicas demandas próximas a audiencia inicial / # audiencias iniciales</v>
      </c>
      <c r="J215" s="283">
        <f>+'Plan de Accion apoyo transversa'!AT34</f>
        <v>0.24786324786324787</v>
      </c>
      <c r="K215" s="615">
        <f>+'Plan de Accion apoyo transversa'!CE34</f>
        <v>0.99145299145299148</v>
      </c>
      <c r="L215" s="615">
        <f t="shared" si="102"/>
        <v>0.99145299145299148</v>
      </c>
      <c r="M215" s="615">
        <f>+'Plan de Accion apoyo transversa'!AX34</f>
        <v>0.24786324786324787</v>
      </c>
      <c r="N215" s="615">
        <f t="shared" si="103"/>
        <v>0.24786324786324787</v>
      </c>
      <c r="O215" s="617">
        <f t="shared" si="104"/>
        <v>0.24786324786324787</v>
      </c>
      <c r="P215" s="277"/>
      <c r="Q215" s="283">
        <f>+'Plan de Accion apoyo transversa'!BD34</f>
        <v>0</v>
      </c>
      <c r="R215" s="315">
        <f>+'Plan de Accion apoyo transversa'!CG34</f>
        <v>0</v>
      </c>
      <c r="S215" s="276">
        <f t="shared" si="94"/>
        <v>0</v>
      </c>
      <c r="T215" s="396">
        <f>+'Plan de Accion apoyo transversa'!BH34</f>
        <v>0.24786324786324787</v>
      </c>
      <c r="U215" s="396">
        <f t="shared" si="95"/>
        <v>0.24786324786324787</v>
      </c>
      <c r="V215" s="275">
        <f t="shared" si="96"/>
        <v>0.24786324786324787</v>
      </c>
      <c r="W215" s="278"/>
      <c r="X215" s="283">
        <f>+'Plan de Accion apoyo transversa'!BN34</f>
        <v>0</v>
      </c>
      <c r="Y215" s="315">
        <f>+'Plan de Accion apoyo transversa'!CI34</f>
        <v>0</v>
      </c>
      <c r="Z215" s="276">
        <f t="shared" si="97"/>
        <v>0</v>
      </c>
      <c r="AA215" s="282">
        <f>+'Plan de Accion apoyo transversa'!BR34</f>
        <v>0.24786324786324787</v>
      </c>
      <c r="AB215" s="282">
        <f t="shared" si="98"/>
        <v>0.24786324786324787</v>
      </c>
      <c r="AC215" s="281">
        <f t="shared" si="99"/>
        <v>0.24786324786324787</v>
      </c>
      <c r="AD215" s="277"/>
      <c r="AE215" s="283">
        <f>+'Plan de Accion apoyo transversa'!BX34</f>
        <v>0</v>
      </c>
      <c r="AF215" s="315">
        <f>+'Plan de Accion apoyo transversa'!CK34</f>
        <v>0</v>
      </c>
      <c r="AG215" s="276">
        <f t="shared" si="100"/>
        <v>0</v>
      </c>
      <c r="AH215" s="315">
        <f>+'Plan de Accion apoyo transversa'!CB34</f>
        <v>0.24786324786324787</v>
      </c>
      <c r="AI215" s="275">
        <f t="shared" si="101"/>
        <v>0.24786324786324787</v>
      </c>
      <c r="AJ215" s="399"/>
      <c r="AL215" s="397"/>
      <c r="AM215" s="397"/>
      <c r="AN215" s="267"/>
      <c r="AO215" s="400"/>
      <c r="AP215" s="397"/>
      <c r="AQ215" s="267"/>
      <c r="AR215" s="397"/>
      <c r="AS215" s="397"/>
      <c r="AT215" s="267"/>
      <c r="AU215" s="397"/>
      <c r="AV215" s="397"/>
      <c r="AW215" s="265"/>
      <c r="AX215" s="398"/>
      <c r="AZ215" s="397"/>
      <c r="BA215" s="397"/>
      <c r="BB215" s="267"/>
      <c r="BC215" s="400"/>
      <c r="BD215" s="397"/>
      <c r="BE215" s="267"/>
      <c r="BF215" s="397"/>
      <c r="BG215" s="397"/>
      <c r="BH215" s="267"/>
      <c r="BI215" s="397"/>
      <c r="BJ215" s="397"/>
      <c r="BK215" s="265"/>
      <c r="BL215" s="398"/>
      <c r="BN215" s="397"/>
      <c r="BO215" s="397"/>
      <c r="BP215" s="267"/>
      <c r="BQ215" s="400"/>
      <c r="BR215" s="397"/>
      <c r="BS215" s="267"/>
      <c r="BT215" s="397"/>
      <c r="BU215" s="397"/>
      <c r="BV215" s="267"/>
      <c r="BW215" s="397"/>
      <c r="BX215" s="397"/>
      <c r="BY215" s="265"/>
      <c r="BZ215" s="398"/>
      <c r="CB215" s="397"/>
      <c r="CC215" s="397"/>
      <c r="CD215" s="267"/>
      <c r="CE215" s="400"/>
      <c r="CF215" s="397"/>
      <c r="CG215" s="267"/>
      <c r="CH215" s="397"/>
      <c r="CI215" s="397"/>
      <c r="CJ215" s="267"/>
      <c r="CK215" s="397"/>
      <c r="CL215" s="397"/>
      <c r="CM215" s="265"/>
      <c r="CN215" s="398"/>
    </row>
    <row r="216" spans="2:92" ht="42.75" customHeight="1" x14ac:dyDescent="0.2">
      <c r="B216" s="970"/>
      <c r="C216" s="973"/>
      <c r="D216" s="943"/>
      <c r="E216" s="946"/>
      <c r="F216" s="949"/>
      <c r="G216" s="393" t="str">
        <f>+'Plan de Accion apoyo transversa'!X37</f>
        <v>Actas del Comité de Conciliación dibidamente firmadas</v>
      </c>
      <c r="H216" s="280" t="str">
        <f>+'Plan de Accion apoyo transversa'!AK37</f>
        <v># Actas debidamente firmadas / # sesiones del Comité de Conciliación</v>
      </c>
      <c r="J216" s="283">
        <f>+'Plan de Accion apoyo transversa'!AT37</f>
        <v>0.05</v>
      </c>
      <c r="K216" s="615">
        <f>+'Plan de Accion apoyo transversa'!CE37</f>
        <v>0.2</v>
      </c>
      <c r="L216" s="615">
        <f t="shared" si="102"/>
        <v>0.2</v>
      </c>
      <c r="M216" s="615">
        <f>+'Plan de Accion apoyo transversa'!AX37</f>
        <v>0.05</v>
      </c>
      <c r="N216" s="615">
        <f t="shared" si="103"/>
        <v>0.05</v>
      </c>
      <c r="O216" s="617">
        <f t="shared" si="104"/>
        <v>0.05</v>
      </c>
      <c r="P216" s="277"/>
      <c r="Q216" s="283">
        <f>+'Plan de Accion apoyo transversa'!BD37</f>
        <v>0</v>
      </c>
      <c r="R216" s="315">
        <f>+'Plan de Accion apoyo transversa'!CG37</f>
        <v>0</v>
      </c>
      <c r="S216" s="276">
        <f t="shared" si="94"/>
        <v>0</v>
      </c>
      <c r="T216" s="396">
        <f>+'Plan de Accion apoyo transversa'!BH37</f>
        <v>0.05</v>
      </c>
      <c r="U216" s="396">
        <f t="shared" si="95"/>
        <v>0.05</v>
      </c>
      <c r="V216" s="275">
        <f t="shared" si="96"/>
        <v>0.05</v>
      </c>
      <c r="W216" s="278"/>
      <c r="X216" s="283">
        <f>+'Plan de Accion apoyo transversa'!BN37</f>
        <v>0</v>
      </c>
      <c r="Y216" s="315">
        <f>+'Plan de Accion apoyo transversa'!CI37</f>
        <v>0</v>
      </c>
      <c r="Z216" s="276">
        <f t="shared" si="97"/>
        <v>0</v>
      </c>
      <c r="AA216" s="282">
        <f>+'Plan de Accion apoyo transversa'!BR37</f>
        <v>0.05</v>
      </c>
      <c r="AB216" s="282">
        <f t="shared" si="98"/>
        <v>0.05</v>
      </c>
      <c r="AC216" s="281">
        <f t="shared" si="99"/>
        <v>0.05</v>
      </c>
      <c r="AD216" s="277"/>
      <c r="AE216" s="283">
        <f>+'Plan de Accion apoyo transversa'!BX37</f>
        <v>0</v>
      </c>
      <c r="AF216" s="315">
        <f>+'Plan de Accion apoyo transversa'!CK37</f>
        <v>0</v>
      </c>
      <c r="AG216" s="276">
        <f t="shared" si="100"/>
        <v>0</v>
      </c>
      <c r="AH216" s="315">
        <f>+'Plan de Accion apoyo transversa'!CB37</f>
        <v>0.05</v>
      </c>
      <c r="AI216" s="275">
        <f t="shared" si="101"/>
        <v>0.05</v>
      </c>
      <c r="AJ216" s="399"/>
      <c r="AL216" s="397"/>
      <c r="AM216" s="397"/>
      <c r="AN216" s="267"/>
      <c r="AO216" s="400"/>
      <c r="AP216" s="397"/>
      <c r="AQ216" s="267"/>
      <c r="AR216" s="397"/>
      <c r="AS216" s="397"/>
      <c r="AT216" s="267"/>
      <c r="AU216" s="397"/>
      <c r="AV216" s="397"/>
      <c r="AW216" s="265"/>
      <c r="AX216" s="398"/>
      <c r="AZ216" s="397"/>
      <c r="BA216" s="397"/>
      <c r="BB216" s="267"/>
      <c r="BC216" s="400"/>
      <c r="BD216" s="397"/>
      <c r="BE216" s="267"/>
      <c r="BF216" s="397"/>
      <c r="BG216" s="397"/>
      <c r="BH216" s="267"/>
      <c r="BI216" s="397"/>
      <c r="BJ216" s="397"/>
      <c r="BK216" s="265"/>
      <c r="BL216" s="398"/>
      <c r="BN216" s="397"/>
      <c r="BO216" s="397"/>
      <c r="BP216" s="267"/>
      <c r="BQ216" s="400"/>
      <c r="BR216" s="397"/>
      <c r="BS216" s="267"/>
      <c r="BT216" s="397"/>
      <c r="BU216" s="397"/>
      <c r="BV216" s="267"/>
      <c r="BW216" s="397"/>
      <c r="BX216" s="397"/>
      <c r="BY216" s="265"/>
      <c r="BZ216" s="398"/>
      <c r="CB216" s="397"/>
      <c r="CC216" s="397"/>
      <c r="CD216" s="267"/>
      <c r="CE216" s="400"/>
      <c r="CF216" s="397"/>
      <c r="CG216" s="267"/>
      <c r="CH216" s="397"/>
      <c r="CI216" s="397"/>
      <c r="CJ216" s="267"/>
      <c r="CK216" s="397"/>
      <c r="CL216" s="397"/>
      <c r="CM216" s="265"/>
      <c r="CN216" s="398"/>
    </row>
    <row r="217" spans="2:92" ht="42.75" x14ac:dyDescent="0.2">
      <c r="B217" s="970"/>
      <c r="C217" s="973"/>
      <c r="D217" s="943"/>
      <c r="E217" s="946"/>
      <c r="F217" s="949"/>
      <c r="G217" s="393" t="str">
        <f>+'Plan de Accion apoyo transversa'!X38</f>
        <v xml:space="preserve">Reparto </v>
      </c>
      <c r="H217" s="280" t="str">
        <f>+'Plan de Accion apoyo transversa'!AK38</f>
        <v># asignaciones realizadas / # de radicados de correspondencia</v>
      </c>
      <c r="J217" s="283">
        <f>+'Plan de Accion apoyo transversa'!AT38</f>
        <v>0.25</v>
      </c>
      <c r="K217" s="615">
        <f>+'Plan de Accion apoyo transversa'!CE38</f>
        <v>1</v>
      </c>
      <c r="L217" s="615">
        <f t="shared" si="102"/>
        <v>1</v>
      </c>
      <c r="M217" s="615">
        <f>+'Plan de Accion apoyo transversa'!AX38</f>
        <v>0.25</v>
      </c>
      <c r="N217" s="615">
        <f t="shared" si="103"/>
        <v>0.25</v>
      </c>
      <c r="O217" s="617">
        <f t="shared" si="104"/>
        <v>0.25</v>
      </c>
      <c r="P217" s="277"/>
      <c r="Q217" s="283">
        <f>+'Plan de Accion apoyo transversa'!BD38</f>
        <v>0</v>
      </c>
      <c r="R217" s="315">
        <f>+'Plan de Accion apoyo transversa'!CG38</f>
        <v>0</v>
      </c>
      <c r="S217" s="276">
        <f t="shared" si="94"/>
        <v>0</v>
      </c>
      <c r="T217" s="396">
        <f>+'Plan de Accion apoyo transversa'!BH38</f>
        <v>0.25</v>
      </c>
      <c r="U217" s="396">
        <f t="shared" si="95"/>
        <v>0.25</v>
      </c>
      <c r="V217" s="275">
        <f t="shared" si="96"/>
        <v>0.25</v>
      </c>
      <c r="W217" s="278"/>
      <c r="X217" s="283">
        <f>+'Plan de Accion apoyo transversa'!BN38</f>
        <v>0</v>
      </c>
      <c r="Y217" s="315">
        <f>+'Plan de Accion apoyo transversa'!CI38</f>
        <v>0</v>
      </c>
      <c r="Z217" s="276">
        <f t="shared" si="97"/>
        <v>0</v>
      </c>
      <c r="AA217" s="282">
        <f>+'Plan de Accion apoyo transversa'!BR38</f>
        <v>0.25</v>
      </c>
      <c r="AB217" s="282">
        <f t="shared" si="98"/>
        <v>0.25</v>
      </c>
      <c r="AC217" s="281">
        <f t="shared" si="99"/>
        <v>0.25</v>
      </c>
      <c r="AD217" s="277"/>
      <c r="AE217" s="283">
        <f>+'Plan de Accion apoyo transversa'!BX38</f>
        <v>0</v>
      </c>
      <c r="AF217" s="315">
        <f>+'Plan de Accion apoyo transversa'!CK38</f>
        <v>0</v>
      </c>
      <c r="AG217" s="276">
        <f t="shared" si="100"/>
        <v>0</v>
      </c>
      <c r="AH217" s="315">
        <f>+'Plan de Accion apoyo transversa'!CB38</f>
        <v>0.25</v>
      </c>
      <c r="AI217" s="275">
        <f t="shared" si="101"/>
        <v>0.25</v>
      </c>
      <c r="AJ217" s="399"/>
      <c r="AL217" s="397"/>
      <c r="AM217" s="397"/>
      <c r="AN217" s="267"/>
      <c r="AO217" s="400"/>
      <c r="AP217" s="397"/>
      <c r="AQ217" s="267"/>
      <c r="AR217" s="397"/>
      <c r="AS217" s="397"/>
      <c r="AT217" s="267"/>
      <c r="AU217" s="397"/>
      <c r="AV217" s="397"/>
      <c r="AW217" s="265"/>
      <c r="AX217" s="398"/>
      <c r="AZ217" s="397"/>
      <c r="BA217" s="397"/>
      <c r="BB217" s="267"/>
      <c r="BC217" s="400"/>
      <c r="BD217" s="397"/>
      <c r="BE217" s="267"/>
      <c r="BF217" s="397"/>
      <c r="BG217" s="397"/>
      <c r="BH217" s="267"/>
      <c r="BI217" s="397"/>
      <c r="BJ217" s="397"/>
      <c r="BK217" s="265"/>
      <c r="BL217" s="398"/>
      <c r="BN217" s="397"/>
      <c r="BO217" s="397"/>
      <c r="BP217" s="267"/>
      <c r="BQ217" s="400"/>
      <c r="BR217" s="397"/>
      <c r="BS217" s="267"/>
      <c r="BT217" s="397"/>
      <c r="BU217" s="397"/>
      <c r="BV217" s="267"/>
      <c r="BW217" s="397"/>
      <c r="BX217" s="397"/>
      <c r="BY217" s="265"/>
      <c r="BZ217" s="398"/>
      <c r="CB217" s="397"/>
      <c r="CC217" s="397"/>
      <c r="CD217" s="267"/>
      <c r="CE217" s="400"/>
      <c r="CF217" s="397"/>
      <c r="CG217" s="267"/>
      <c r="CH217" s="397"/>
      <c r="CI217" s="397"/>
      <c r="CJ217" s="267"/>
      <c r="CK217" s="397"/>
      <c r="CL217" s="397"/>
      <c r="CM217" s="265"/>
      <c r="CN217" s="398"/>
    </row>
    <row r="218" spans="2:92" ht="42.75" x14ac:dyDescent="0.2">
      <c r="B218" s="970"/>
      <c r="C218" s="974"/>
      <c r="D218" s="944"/>
      <c r="E218" s="947"/>
      <c r="F218" s="950"/>
      <c r="G218" s="393" t="str">
        <f>+'Plan de Accion apoyo transversa'!X39</f>
        <v>Poderes</v>
      </c>
      <c r="H218" s="280" t="str">
        <f>+'Plan de Accion apoyo transversa'!AK39</f>
        <v># Poderes elaborados / # demandas asignadas a los apoderados</v>
      </c>
      <c r="J218" s="283">
        <f>+'Plan de Accion apoyo transversa'!AT39</f>
        <v>0.25</v>
      </c>
      <c r="K218" s="615">
        <f>+'Plan de Accion apoyo transversa'!CE39</f>
        <v>1</v>
      </c>
      <c r="L218" s="615">
        <f t="shared" si="102"/>
        <v>1</v>
      </c>
      <c r="M218" s="615">
        <f>+'Plan de Accion apoyo transversa'!AX39</f>
        <v>0.25</v>
      </c>
      <c r="N218" s="615">
        <f t="shared" si="103"/>
        <v>0.25</v>
      </c>
      <c r="O218" s="617">
        <f t="shared" si="104"/>
        <v>0.25</v>
      </c>
      <c r="P218" s="277"/>
      <c r="Q218" s="283">
        <f>+'Plan de Accion apoyo transversa'!BD39</f>
        <v>0</v>
      </c>
      <c r="R218" s="315">
        <f>+'Plan de Accion apoyo transversa'!CG39</f>
        <v>0</v>
      </c>
      <c r="S218" s="276">
        <f t="shared" si="94"/>
        <v>0</v>
      </c>
      <c r="T218" s="396">
        <f>+'Plan de Accion apoyo transversa'!BH39</f>
        <v>0.25</v>
      </c>
      <c r="U218" s="396">
        <f t="shared" si="95"/>
        <v>0.25</v>
      </c>
      <c r="V218" s="275">
        <f t="shared" si="96"/>
        <v>0.25</v>
      </c>
      <c r="W218" s="278"/>
      <c r="X218" s="283">
        <f>+'Plan de Accion apoyo transversa'!BN39</f>
        <v>0</v>
      </c>
      <c r="Y218" s="315">
        <f>+'Plan de Accion apoyo transversa'!CI39</f>
        <v>0</v>
      </c>
      <c r="Z218" s="276">
        <f t="shared" si="97"/>
        <v>0</v>
      </c>
      <c r="AA218" s="282">
        <f>+'Plan de Accion apoyo transversa'!BR39</f>
        <v>0.25</v>
      </c>
      <c r="AB218" s="282">
        <f t="shared" si="98"/>
        <v>0.25</v>
      </c>
      <c r="AC218" s="281">
        <f t="shared" si="99"/>
        <v>0.25</v>
      </c>
      <c r="AD218" s="277"/>
      <c r="AE218" s="283">
        <f>+'Plan de Accion apoyo transversa'!BX39</f>
        <v>0</v>
      </c>
      <c r="AF218" s="315">
        <f>+'Plan de Accion apoyo transversa'!CK39</f>
        <v>0</v>
      </c>
      <c r="AG218" s="276">
        <f t="shared" si="100"/>
        <v>0</v>
      </c>
      <c r="AH218" s="315">
        <f>+'Plan de Accion apoyo transversa'!CB39</f>
        <v>0.25</v>
      </c>
      <c r="AI218" s="275">
        <f t="shared" si="101"/>
        <v>0.25</v>
      </c>
      <c r="AJ218" s="399"/>
      <c r="AL218" s="397"/>
      <c r="AM218" s="397"/>
      <c r="AN218" s="267"/>
      <c r="AO218" s="400"/>
      <c r="AP218" s="397"/>
      <c r="AQ218" s="267"/>
      <c r="AR218" s="397"/>
      <c r="AS218" s="397"/>
      <c r="AT218" s="267"/>
      <c r="AU218" s="397"/>
      <c r="AV218" s="397"/>
      <c r="AW218" s="265"/>
      <c r="AX218" s="398"/>
      <c r="AZ218" s="397"/>
      <c r="BA218" s="397"/>
      <c r="BB218" s="267"/>
      <c r="BC218" s="400"/>
      <c r="BD218" s="397"/>
      <c r="BE218" s="267"/>
      <c r="BF218" s="397"/>
      <c r="BG218" s="397"/>
      <c r="BH218" s="267"/>
      <c r="BI218" s="397"/>
      <c r="BJ218" s="397"/>
      <c r="BK218" s="265"/>
      <c r="BL218" s="398"/>
      <c r="BN218" s="397"/>
      <c r="BO218" s="397"/>
      <c r="BP218" s="267"/>
      <c r="BQ218" s="400"/>
      <c r="BR218" s="397"/>
      <c r="BS218" s="267"/>
      <c r="BT218" s="397"/>
      <c r="BU218" s="397"/>
      <c r="BV218" s="267"/>
      <c r="BW218" s="397"/>
      <c r="BX218" s="397"/>
      <c r="BY218" s="265"/>
      <c r="BZ218" s="398"/>
      <c r="CB218" s="397"/>
      <c r="CC218" s="397"/>
      <c r="CD218" s="267"/>
      <c r="CE218" s="400"/>
      <c r="CF218" s="397"/>
      <c r="CG218" s="267"/>
      <c r="CH218" s="397"/>
      <c r="CI218" s="397"/>
      <c r="CJ218" s="267"/>
      <c r="CK218" s="397"/>
      <c r="CL218" s="397"/>
      <c r="CM218" s="265"/>
      <c r="CN218" s="398"/>
    </row>
    <row r="219" spans="2:92" ht="71.25" x14ac:dyDescent="0.2">
      <c r="B219" s="970"/>
      <c r="C219" s="990" t="s">
        <v>60</v>
      </c>
      <c r="D219" s="1041" t="s">
        <v>206</v>
      </c>
      <c r="E219" s="953" t="s">
        <v>125</v>
      </c>
      <c r="F219" s="951" t="s">
        <v>332</v>
      </c>
      <c r="G219" s="385" t="str">
        <f>+'Plan de Accion ajustes normativ'!I8</f>
        <v>Propuesta de articulado para inclusión en el proyecto del Plan Nacional de Desarrollo aprobada por Min Salud</v>
      </c>
      <c r="H219" s="280" t="str">
        <f>+'Plan de Accion ajustes normativ'!V8</f>
        <v># Propuestas aporbadas por el Min Salud</v>
      </c>
      <c r="I219" s="231"/>
      <c r="J219" s="283">
        <f>+'Plan de Accion ajustes normativ'!AE8</f>
        <v>1</v>
      </c>
      <c r="K219" s="615">
        <f>+'Plan de Accion ajustes normativ'!BP8</f>
        <v>1</v>
      </c>
      <c r="L219" s="615">
        <f t="shared" si="102"/>
        <v>1</v>
      </c>
      <c r="M219" s="615">
        <f>+'Plan de Accion ajustes normativ'!AI8</f>
        <v>1</v>
      </c>
      <c r="N219" s="615">
        <f t="shared" si="47"/>
        <v>1</v>
      </c>
      <c r="O219" s="617">
        <f t="shared" si="104"/>
        <v>1</v>
      </c>
      <c r="P219" s="411"/>
      <c r="Q219" s="284">
        <f>+'Plan de Accion ajustes normativ'!AO8</f>
        <v>0</v>
      </c>
      <c r="R219" s="315" t="str">
        <f>+'Plan de Accion ajustes normativ'!BR8</f>
        <v>No Prog ni Ejec</v>
      </c>
      <c r="S219" s="276" t="s">
        <v>206</v>
      </c>
      <c r="T219" s="373">
        <f>+'Plan de Accion ajustes normativ'!AS8</f>
        <v>1</v>
      </c>
      <c r="U219" s="373">
        <f t="shared" ref="U219:U230" si="105">IF(T219&gt;100%,100%,T219)</f>
        <v>1</v>
      </c>
      <c r="V219" s="275" t="s">
        <v>206</v>
      </c>
      <c r="W219" s="411"/>
      <c r="X219" s="284">
        <f>+'Plan de Accion ajustes normativ'!AY8</f>
        <v>0</v>
      </c>
      <c r="Y219" s="315" t="str">
        <f>+'Plan de Accion ajustes normativ'!BT8</f>
        <v>No Prog ni Ejec</v>
      </c>
      <c r="Z219" s="276" t="s">
        <v>206</v>
      </c>
      <c r="AA219" s="282">
        <f>+'Plan de Accion ajustes normativ'!BC8</f>
        <v>1</v>
      </c>
      <c r="AB219" s="282">
        <f t="shared" ref="AB219:AB230" si="106">IF(AA219&gt;100%,100%,AA219)</f>
        <v>1</v>
      </c>
      <c r="AC219" s="281" t="s">
        <v>206</v>
      </c>
      <c r="AD219" s="411"/>
      <c r="AE219" s="284">
        <f>+'Plan de Accion ajustes normativ'!BI8</f>
        <v>0</v>
      </c>
      <c r="AF219" s="315" t="str">
        <f>+'Plan de Accion ajustes normativ'!BV8</f>
        <v>No Prog ni Ejec</v>
      </c>
      <c r="AG219" s="276" t="s">
        <v>206</v>
      </c>
      <c r="AH219" s="315">
        <f>+'Plan de Accion ajustes normativ'!BM8</f>
        <v>1</v>
      </c>
      <c r="AI219" s="275">
        <f t="shared" ref="AI219:AI230" si="107">IF(AH219&gt;100%,100%,AH219)</f>
        <v>1</v>
      </c>
      <c r="AJ219" s="274"/>
      <c r="AL219" s="271"/>
      <c r="AM219" s="271"/>
      <c r="AN219" s="267"/>
      <c r="AO219" s="272"/>
      <c r="AP219" s="271"/>
      <c r="AQ219" s="267"/>
      <c r="AR219" s="271"/>
      <c r="AS219" s="271"/>
      <c r="AT219" s="267"/>
      <c r="AU219" s="271"/>
      <c r="AV219" s="271"/>
      <c r="AW219" s="265"/>
      <c r="AX219" s="270"/>
      <c r="AZ219" s="271"/>
      <c r="BA219" s="271"/>
      <c r="BB219" s="267"/>
      <c r="BC219" s="272"/>
      <c r="BD219" s="271"/>
      <c r="BE219" s="267"/>
      <c r="BF219" s="271"/>
      <c r="BG219" s="271"/>
      <c r="BH219" s="267"/>
      <c r="BI219" s="271"/>
      <c r="BJ219" s="271"/>
      <c r="BK219" s="265"/>
      <c r="BL219" s="270"/>
      <c r="BN219" s="271"/>
      <c r="BO219" s="271"/>
      <c r="BP219" s="267"/>
      <c r="BQ219" s="272"/>
      <c r="BR219" s="271"/>
      <c r="BS219" s="267"/>
      <c r="BT219" s="271"/>
      <c r="BU219" s="271"/>
      <c r="BV219" s="267"/>
      <c r="BW219" s="271"/>
      <c r="BX219" s="271"/>
      <c r="BY219" s="265"/>
      <c r="BZ219" s="270"/>
      <c r="CB219" s="271"/>
      <c r="CC219" s="271"/>
      <c r="CD219" s="267"/>
      <c r="CE219" s="272"/>
      <c r="CF219" s="271"/>
      <c r="CG219" s="267"/>
      <c r="CH219" s="271"/>
      <c r="CI219" s="271"/>
      <c r="CJ219" s="267"/>
      <c r="CK219" s="271"/>
      <c r="CL219" s="271"/>
      <c r="CM219" s="265"/>
      <c r="CN219" s="270"/>
    </row>
    <row r="220" spans="2:92" ht="64.5" customHeight="1" x14ac:dyDescent="0.2">
      <c r="B220" s="970"/>
      <c r="C220" s="990"/>
      <c r="D220" s="1041"/>
      <c r="E220" s="953"/>
      <c r="F220" s="951"/>
      <c r="G220" s="385" t="str">
        <f>+'Plan de Accion ajustes normativ'!I9</f>
        <v>Propuesta de articulado para inclusión en el proyecto del Plan Nacional de Desarrollo aprobada por Min Salud</v>
      </c>
      <c r="H220" s="280" t="str">
        <f>+'Plan de Accion ajustes normativ'!V9</f>
        <v># Propuestas aporbadas por el Min Salud</v>
      </c>
      <c r="I220" s="231"/>
      <c r="J220" s="283">
        <f>+'Plan de Accion ajustes normativ'!AE9</f>
        <v>1</v>
      </c>
      <c r="K220" s="615">
        <f>+'Plan de Accion ajustes normativ'!BP9</f>
        <v>1</v>
      </c>
      <c r="L220" s="615">
        <f t="shared" si="102"/>
        <v>1</v>
      </c>
      <c r="M220" s="615">
        <f>+'Plan de Accion ajustes normativ'!AI9</f>
        <v>1</v>
      </c>
      <c r="N220" s="615">
        <f t="shared" si="47"/>
        <v>1</v>
      </c>
      <c r="O220" s="617">
        <f t="shared" si="104"/>
        <v>1</v>
      </c>
      <c r="P220" s="411"/>
      <c r="Q220" s="283">
        <f>+'Plan de Accion ajustes normativ'!AO9</f>
        <v>0</v>
      </c>
      <c r="R220" s="315" t="str">
        <f>+'Plan de Accion ajustes normativ'!BR9</f>
        <v>No Prog ni Ejec</v>
      </c>
      <c r="S220" s="276" t="s">
        <v>206</v>
      </c>
      <c r="T220" s="373">
        <f>+'Plan de Accion ajustes normativ'!AS9</f>
        <v>1</v>
      </c>
      <c r="U220" s="373">
        <f t="shared" si="105"/>
        <v>1</v>
      </c>
      <c r="V220" s="275" t="s">
        <v>206</v>
      </c>
      <c r="W220" s="411"/>
      <c r="X220" s="284">
        <f>+'Plan de Accion ajustes normativ'!AY9</f>
        <v>0</v>
      </c>
      <c r="Y220" s="315" t="str">
        <f>+'Plan de Accion ajustes normativ'!BT9</f>
        <v>No Prog ni Ejec</v>
      </c>
      <c r="Z220" s="276" t="s">
        <v>206</v>
      </c>
      <c r="AA220" s="282">
        <f>+'Plan de Accion ajustes normativ'!BC9</f>
        <v>1</v>
      </c>
      <c r="AB220" s="282">
        <f t="shared" si="106"/>
        <v>1</v>
      </c>
      <c r="AC220" s="281" t="s">
        <v>206</v>
      </c>
      <c r="AD220" s="411"/>
      <c r="AE220" s="284">
        <f>+'Plan de Accion ajustes normativ'!BI9</f>
        <v>0</v>
      </c>
      <c r="AF220" s="315" t="str">
        <f>+'Plan de Accion ajustes normativ'!BV9</f>
        <v>No Prog ni Ejec</v>
      </c>
      <c r="AG220" s="276" t="s">
        <v>206</v>
      </c>
      <c r="AH220" s="315">
        <f>+'Plan de Accion ajustes normativ'!BM9</f>
        <v>1</v>
      </c>
      <c r="AI220" s="275">
        <f t="shared" si="107"/>
        <v>1</v>
      </c>
      <c r="AJ220" s="274"/>
      <c r="AL220" s="271"/>
      <c r="AM220" s="271"/>
      <c r="AN220" s="267"/>
      <c r="AO220" s="272"/>
      <c r="AP220" s="271"/>
      <c r="AQ220" s="267"/>
      <c r="AR220" s="271"/>
      <c r="AS220" s="271"/>
      <c r="AT220" s="267"/>
      <c r="AU220" s="271"/>
      <c r="AV220" s="271"/>
      <c r="AW220" s="265"/>
      <c r="AX220" s="270"/>
      <c r="AZ220" s="271"/>
      <c r="BA220" s="271"/>
      <c r="BB220" s="267"/>
      <c r="BC220" s="272"/>
      <c r="BD220" s="271"/>
      <c r="BE220" s="267"/>
      <c r="BF220" s="271"/>
      <c r="BG220" s="271"/>
      <c r="BH220" s="267"/>
      <c r="BI220" s="271"/>
      <c r="BJ220" s="271"/>
      <c r="BK220" s="265"/>
      <c r="BL220" s="270"/>
      <c r="BN220" s="271"/>
      <c r="BO220" s="271"/>
      <c r="BP220" s="267"/>
      <c r="BQ220" s="272"/>
      <c r="BR220" s="271"/>
      <c r="BS220" s="267"/>
      <c r="BT220" s="271"/>
      <c r="BU220" s="271"/>
      <c r="BV220" s="267"/>
      <c r="BW220" s="271"/>
      <c r="BX220" s="271"/>
      <c r="BY220" s="265"/>
      <c r="BZ220" s="270"/>
      <c r="CB220" s="271"/>
      <c r="CC220" s="271"/>
      <c r="CD220" s="267"/>
      <c r="CE220" s="272"/>
      <c r="CF220" s="271"/>
      <c r="CG220" s="267"/>
      <c r="CH220" s="271"/>
      <c r="CI220" s="271"/>
      <c r="CJ220" s="267"/>
      <c r="CK220" s="271"/>
      <c r="CL220" s="271"/>
      <c r="CM220" s="265"/>
      <c r="CN220" s="270"/>
    </row>
    <row r="221" spans="2:92" ht="64.5" customHeight="1" thickBot="1" x14ac:dyDescent="0.25">
      <c r="B221" s="970"/>
      <c r="C221" s="975" t="s">
        <v>94</v>
      </c>
      <c r="D221" s="958" t="s">
        <v>206</v>
      </c>
      <c r="E221" s="945" t="s">
        <v>1</v>
      </c>
      <c r="F221" s="948" t="s">
        <v>332</v>
      </c>
      <c r="G221" s="385" t="str">
        <f>+'Plan de Accion apoyo transversa'!X10</f>
        <v>Informe mensual de los contenidos digitales de la ADRES</v>
      </c>
      <c r="H221" s="280" t="str">
        <f>+'Plan de Accion apoyo transversa'!AK10</f>
        <v># Informes de administración de contenidos digitales de la ADRES presentados</v>
      </c>
      <c r="J221" s="283">
        <f>+'Plan de Accion apoyo transversa'!AT10</f>
        <v>3</v>
      </c>
      <c r="K221" s="615">
        <f>+'Plan de Accion apoyo transversa'!CE10</f>
        <v>1</v>
      </c>
      <c r="L221" s="615">
        <f t="shared" si="102"/>
        <v>1</v>
      </c>
      <c r="M221" s="615">
        <f>+'Plan de Accion apoyo transversa'!AX10</f>
        <v>0.25</v>
      </c>
      <c r="N221" s="615">
        <f t="shared" si="47"/>
        <v>0.25</v>
      </c>
      <c r="O221" s="617">
        <f t="shared" si="104"/>
        <v>0.25</v>
      </c>
      <c r="P221" s="277"/>
      <c r="Q221" s="283">
        <f>+'Plan de Accion apoyo transversa'!BD10</f>
        <v>0</v>
      </c>
      <c r="R221" s="315">
        <f>+'Plan de Accion apoyo transversa'!CG10</f>
        <v>0</v>
      </c>
      <c r="S221" s="276">
        <f t="shared" ref="S221:S228" si="108">IF(R221&gt;100%,100%,R221)</f>
        <v>0</v>
      </c>
      <c r="T221" s="373">
        <f>+'Plan de Accion apoyo transversa'!BH10</f>
        <v>0.25</v>
      </c>
      <c r="U221" s="373">
        <f t="shared" si="105"/>
        <v>0.25</v>
      </c>
      <c r="V221" s="275">
        <f t="shared" ref="V221:V228" si="109">+U221</f>
        <v>0.25</v>
      </c>
      <c r="W221" s="278"/>
      <c r="X221" s="283">
        <f>+'Plan de Accion apoyo transversa'!BN10</f>
        <v>0</v>
      </c>
      <c r="Y221" s="315">
        <f>+'Plan de Accion apoyo transversa'!CI10</f>
        <v>0</v>
      </c>
      <c r="Z221" s="276">
        <f t="shared" ref="Z221:Z228" si="110">IF(Y221&gt;100%,100%,Y221)</f>
        <v>0</v>
      </c>
      <c r="AA221" s="282">
        <f>+'Plan de Accion apoyo transversa'!BR10</f>
        <v>0.25</v>
      </c>
      <c r="AB221" s="282">
        <f t="shared" si="106"/>
        <v>0.25</v>
      </c>
      <c r="AC221" s="281">
        <f t="shared" ref="AC221:AC228" si="111">+AB221</f>
        <v>0.25</v>
      </c>
      <c r="AD221" s="277"/>
      <c r="AE221" s="283">
        <f>+'Plan de Accion apoyo transversa'!BX10</f>
        <v>0</v>
      </c>
      <c r="AF221" s="315">
        <f>+'Plan de Accion apoyo transversa'!CK10</f>
        <v>0</v>
      </c>
      <c r="AG221" s="276">
        <f t="shared" ref="AG221:AG226" si="112">IF(AF221&gt;100%,100%,AF221)</f>
        <v>0</v>
      </c>
      <c r="AH221" s="315">
        <f>+'Plan de Accion apoyo transversa'!CB10</f>
        <v>0.25</v>
      </c>
      <c r="AI221" s="275">
        <f t="shared" si="107"/>
        <v>0.25</v>
      </c>
      <c r="AJ221" s="274"/>
      <c r="AL221" s="271"/>
      <c r="AM221" s="271"/>
      <c r="AN221" s="267"/>
      <c r="AO221" s="272"/>
      <c r="AP221" s="271"/>
      <c r="AQ221" s="267"/>
      <c r="AR221" s="271"/>
      <c r="AS221" s="271"/>
      <c r="AT221" s="267"/>
      <c r="AU221" s="271"/>
      <c r="AV221" s="271"/>
      <c r="AW221" s="265"/>
      <c r="AX221" s="270"/>
      <c r="AZ221" s="271"/>
      <c r="BA221" s="271"/>
      <c r="BB221" s="267"/>
      <c r="BC221" s="272"/>
      <c r="BD221" s="271"/>
      <c r="BE221" s="267"/>
      <c r="BF221" s="271"/>
      <c r="BG221" s="271"/>
      <c r="BH221" s="267"/>
      <c r="BI221" s="271"/>
      <c r="BJ221" s="271"/>
      <c r="BK221" s="265"/>
      <c r="BL221" s="270"/>
      <c r="BN221" s="271"/>
      <c r="BO221" s="271"/>
      <c r="BP221" s="267"/>
      <c r="BQ221" s="272"/>
      <c r="BR221" s="271"/>
      <c r="BS221" s="267"/>
      <c r="BT221" s="271"/>
      <c r="BU221" s="271"/>
      <c r="BV221" s="267"/>
      <c r="BW221" s="271"/>
      <c r="BX221" s="271"/>
      <c r="BY221" s="265"/>
      <c r="BZ221" s="270"/>
      <c r="CB221" s="271"/>
      <c r="CC221" s="271"/>
      <c r="CD221" s="267"/>
      <c r="CE221" s="272"/>
      <c r="CF221" s="271"/>
      <c r="CG221" s="267"/>
      <c r="CH221" s="271"/>
      <c r="CI221" s="271"/>
      <c r="CJ221" s="267"/>
      <c r="CK221" s="271"/>
      <c r="CL221" s="271"/>
      <c r="CM221" s="265"/>
      <c r="CN221" s="270"/>
    </row>
    <row r="222" spans="2:92" ht="71.25" x14ac:dyDescent="0.2">
      <c r="B222" s="970"/>
      <c r="C222" s="976"/>
      <c r="D222" s="943"/>
      <c r="E222" s="946"/>
      <c r="F222" s="949"/>
      <c r="G222" s="945" t="str">
        <f>+'Plan de Accion apoyo transversa'!X11</f>
        <v>Correos electrónicos con el monitoreo de noticias</v>
      </c>
      <c r="H222" s="280" t="str">
        <f>+'Plan de Accion apoyo transversa'!AK11</f>
        <v>((# de seguidores en Twitter periodo actual - # de seguidores en Twitter periodo anterior)/ # de seguidores en Twitter periodo anterior)</v>
      </c>
      <c r="J222" s="279">
        <f>+'Plan de Accion apoyo transversa'!AT11</f>
        <v>0.16063675832127353</v>
      </c>
      <c r="K222" s="930">
        <f>AVERAGE('Plan de Accion apoyo transversa'!CE11:CE13)</f>
        <v>0.2141823444283647</v>
      </c>
      <c r="L222" s="930">
        <f t="shared" si="102"/>
        <v>0.2141823444283647</v>
      </c>
      <c r="M222" s="930">
        <f>AVERAGE('Plan de Accion apoyo transversa'!AX11:AX13)</f>
        <v>5.3545586107091175E-2</v>
      </c>
      <c r="N222" s="930">
        <f t="shared" si="47"/>
        <v>5.3545586107091175E-2</v>
      </c>
      <c r="O222" s="933">
        <f t="shared" si="104"/>
        <v>5.3545586107091175E-2</v>
      </c>
      <c r="P222" s="277"/>
      <c r="Q222" s="279">
        <f>+'Plan de Accion apoyo transversa'!BD11</f>
        <v>0</v>
      </c>
      <c r="R222" s="930">
        <f>+AVERAGE('Plan de Accion apoyo transversa'!CG11:CG13)</f>
        <v>0</v>
      </c>
      <c r="S222" s="930">
        <f t="shared" si="108"/>
        <v>0</v>
      </c>
      <c r="T222" s="930">
        <f>AVERAGE('Plan de Accion apoyo transversa'!BH11:BH13)</f>
        <v>0.16063675832127353</v>
      </c>
      <c r="U222" s="930">
        <f t="shared" si="105"/>
        <v>0.16063675832127353</v>
      </c>
      <c r="V222" s="933">
        <f t="shared" si="109"/>
        <v>0.16063675832127353</v>
      </c>
      <c r="W222" s="278"/>
      <c r="X222" s="279">
        <f>+'Plan de Accion apoyo transversa'!BN11</f>
        <v>0</v>
      </c>
      <c r="Y222" s="930">
        <f>AVERAGE('Plan de Accion apoyo transversa'!CI11:CI13)</f>
        <v>0</v>
      </c>
      <c r="Z222" s="930">
        <f t="shared" si="110"/>
        <v>0</v>
      </c>
      <c r="AA222" s="936">
        <f>AVERAGE('Plan de Accion apoyo transversa'!BR11:BR13)</f>
        <v>0.16063675832127353</v>
      </c>
      <c r="AB222" s="936">
        <f t="shared" si="106"/>
        <v>0.16063675832127353</v>
      </c>
      <c r="AC222" s="939">
        <f t="shared" si="111"/>
        <v>0.16063675832127353</v>
      </c>
      <c r="AD222" s="277"/>
      <c r="AE222" s="279">
        <f>+'Plan de Accion apoyo transversa'!BX11</f>
        <v>0</v>
      </c>
      <c r="AF222" s="930">
        <f>AVERAGE('Plan de Accion apoyo transversa'!CK11:CK13)</f>
        <v>0</v>
      </c>
      <c r="AG222" s="930">
        <f t="shared" si="112"/>
        <v>0</v>
      </c>
      <c r="AH222" s="930">
        <f>AVERAGE('Plan de Accion apoyo transversa'!CB11:CB13)</f>
        <v>0.16063675832127353</v>
      </c>
      <c r="AI222" s="933">
        <f t="shared" si="107"/>
        <v>0.16063675832127353</v>
      </c>
      <c r="AJ222" s="297"/>
      <c r="AL222" s="1007"/>
      <c r="AM222" s="1007"/>
      <c r="AN222" s="267"/>
      <c r="AO222" s="1008"/>
      <c r="AP222" s="1007"/>
      <c r="AQ222" s="267"/>
      <c r="AR222" s="1007"/>
      <c r="AS222" s="1007"/>
      <c r="AT222" s="267"/>
      <c r="AU222" s="1007"/>
      <c r="AV222" s="1007"/>
      <c r="AW222" s="265"/>
      <c r="AX222" s="296"/>
      <c r="AZ222" s="1007"/>
      <c r="BA222" s="1007"/>
      <c r="BB222" s="267"/>
      <c r="BC222" s="1008"/>
      <c r="BD222" s="1007"/>
      <c r="BE222" s="267"/>
      <c r="BF222" s="1007"/>
      <c r="BG222" s="1007"/>
      <c r="BH222" s="267"/>
      <c r="BI222" s="1007"/>
      <c r="BJ222" s="1007"/>
      <c r="BK222" s="265"/>
      <c r="BL222" s="296"/>
      <c r="BN222" s="1007"/>
      <c r="BO222" s="1007"/>
      <c r="BP222" s="267"/>
      <c r="BQ222" s="1008"/>
      <c r="BR222" s="1007"/>
      <c r="BS222" s="267"/>
      <c r="BT222" s="1007"/>
      <c r="BU222" s="1007"/>
      <c r="BV222" s="267"/>
      <c r="BW222" s="1007"/>
      <c r="BX222" s="1007"/>
      <c r="BY222" s="265"/>
      <c r="BZ222" s="296"/>
      <c r="CB222" s="1007"/>
      <c r="CC222" s="1007"/>
      <c r="CD222" s="267"/>
      <c r="CE222" s="1008"/>
      <c r="CF222" s="1007"/>
      <c r="CG222" s="267"/>
      <c r="CH222" s="1007"/>
      <c r="CI222" s="1007"/>
      <c r="CJ222" s="267"/>
      <c r="CK222" s="1007"/>
      <c r="CL222" s="1007"/>
      <c r="CM222" s="265"/>
      <c r="CN222" s="296"/>
    </row>
    <row r="223" spans="2:92" ht="71.25" x14ac:dyDescent="0.2">
      <c r="B223" s="970"/>
      <c r="C223" s="976"/>
      <c r="D223" s="943"/>
      <c r="E223" s="946"/>
      <c r="F223" s="949"/>
      <c r="G223" s="946"/>
      <c r="H223" s="280" t="str">
        <f>+'Plan de Accion apoyo transversa'!AK12</f>
        <v>((#Visitas Página WEB periodo actual - # Visitas Página WEB periodo anterior) / # Visitas Página WEB periodo anterior)</v>
      </c>
      <c r="J223" s="279">
        <f>+'Plan de Accion apoyo transversa'!AT12</f>
        <v>0</v>
      </c>
      <c r="K223" s="931"/>
      <c r="L223" s="931"/>
      <c r="M223" s="931"/>
      <c r="N223" s="931"/>
      <c r="O223" s="934"/>
      <c r="P223" s="277"/>
      <c r="Q223" s="279">
        <f>+'Plan de Accion apoyo transversa'!BD12</f>
        <v>0</v>
      </c>
      <c r="R223" s="931"/>
      <c r="S223" s="931"/>
      <c r="T223" s="931"/>
      <c r="U223" s="931"/>
      <c r="V223" s="934"/>
      <c r="W223" s="278"/>
      <c r="X223" s="279">
        <f>+'Plan de Accion apoyo transversa'!BN12</f>
        <v>0</v>
      </c>
      <c r="Y223" s="931"/>
      <c r="Z223" s="931"/>
      <c r="AA223" s="937"/>
      <c r="AB223" s="937"/>
      <c r="AC223" s="940"/>
      <c r="AD223" s="277"/>
      <c r="AE223" s="279">
        <f>+'Plan de Accion apoyo transversa'!BX12</f>
        <v>0</v>
      </c>
      <c r="AF223" s="931"/>
      <c r="AG223" s="931"/>
      <c r="AH223" s="931"/>
      <c r="AI223" s="934"/>
      <c r="AJ223" s="295"/>
      <c r="AL223" s="998"/>
      <c r="AM223" s="998"/>
      <c r="AN223" s="267"/>
      <c r="AO223" s="1009"/>
      <c r="AP223" s="998"/>
      <c r="AQ223" s="267"/>
      <c r="AR223" s="998"/>
      <c r="AS223" s="998"/>
      <c r="AT223" s="267"/>
      <c r="AU223" s="998"/>
      <c r="AV223" s="998"/>
      <c r="AW223" s="265"/>
      <c r="AX223" s="294"/>
      <c r="AZ223" s="998"/>
      <c r="BA223" s="998"/>
      <c r="BB223" s="267"/>
      <c r="BC223" s="1009"/>
      <c r="BD223" s="998"/>
      <c r="BE223" s="267"/>
      <c r="BF223" s="998"/>
      <c r="BG223" s="998"/>
      <c r="BH223" s="267"/>
      <c r="BI223" s="998"/>
      <c r="BJ223" s="998"/>
      <c r="BK223" s="265"/>
      <c r="BL223" s="294"/>
      <c r="BN223" s="998"/>
      <c r="BO223" s="998"/>
      <c r="BP223" s="267"/>
      <c r="BQ223" s="1009"/>
      <c r="BR223" s="998"/>
      <c r="BS223" s="267"/>
      <c r="BT223" s="998"/>
      <c r="BU223" s="998"/>
      <c r="BV223" s="267"/>
      <c r="BW223" s="998"/>
      <c r="BX223" s="998"/>
      <c r="BY223" s="265"/>
      <c r="BZ223" s="294"/>
      <c r="CB223" s="998"/>
      <c r="CC223" s="998"/>
      <c r="CD223" s="267"/>
      <c r="CE223" s="1009"/>
      <c r="CF223" s="998"/>
      <c r="CG223" s="267"/>
      <c r="CH223" s="998"/>
      <c r="CI223" s="998"/>
      <c r="CJ223" s="267"/>
      <c r="CK223" s="998"/>
      <c r="CL223" s="998"/>
      <c r="CM223" s="265"/>
      <c r="CN223" s="294"/>
    </row>
    <row r="224" spans="2:92" ht="53.25" customHeight="1" thickBot="1" x14ac:dyDescent="0.25">
      <c r="B224" s="970"/>
      <c r="C224" s="976"/>
      <c r="D224" s="944"/>
      <c r="E224" s="947"/>
      <c r="F224" s="950"/>
      <c r="G224" s="947"/>
      <c r="H224" s="280" t="str">
        <f>+'Plan de Accion apoyo transversa'!AK13</f>
        <v>#Noticias Positivas en el periodo/#Noticias Negativas en el mismo periodo.</v>
      </c>
      <c r="J224" s="283">
        <f>+'Plan de Accion apoyo transversa'!AT13</f>
        <v>0</v>
      </c>
      <c r="K224" s="932"/>
      <c r="L224" s="932"/>
      <c r="M224" s="932"/>
      <c r="N224" s="932"/>
      <c r="O224" s="935"/>
      <c r="P224" s="277"/>
      <c r="Q224" s="283">
        <f>+'Plan de Accion apoyo transversa'!BD13</f>
        <v>0</v>
      </c>
      <c r="R224" s="932"/>
      <c r="S224" s="932"/>
      <c r="T224" s="932"/>
      <c r="U224" s="932"/>
      <c r="V224" s="935"/>
      <c r="W224" s="278"/>
      <c r="X224" s="283">
        <f>+'Plan de Accion apoyo transversa'!BN13</f>
        <v>0</v>
      </c>
      <c r="Y224" s="932"/>
      <c r="Z224" s="932"/>
      <c r="AA224" s="938"/>
      <c r="AB224" s="938"/>
      <c r="AC224" s="941"/>
      <c r="AD224" s="277"/>
      <c r="AE224" s="283">
        <f>+'Plan de Accion apoyo transversa'!BX13</f>
        <v>0</v>
      </c>
      <c r="AF224" s="932"/>
      <c r="AG224" s="932"/>
      <c r="AH224" s="932"/>
      <c r="AI224" s="935"/>
      <c r="AJ224" s="293"/>
      <c r="AL224" s="999"/>
      <c r="AM224" s="999"/>
      <c r="AN224" s="267"/>
      <c r="AO224" s="1010"/>
      <c r="AP224" s="999"/>
      <c r="AQ224" s="267"/>
      <c r="AR224" s="999"/>
      <c r="AS224" s="999"/>
      <c r="AT224" s="267"/>
      <c r="AU224" s="999"/>
      <c r="AV224" s="999"/>
      <c r="AW224" s="265"/>
      <c r="AX224" s="292"/>
      <c r="AZ224" s="999"/>
      <c r="BA224" s="999"/>
      <c r="BB224" s="267"/>
      <c r="BC224" s="1010"/>
      <c r="BD224" s="999"/>
      <c r="BE224" s="267"/>
      <c r="BF224" s="999"/>
      <c r="BG224" s="999"/>
      <c r="BH224" s="267"/>
      <c r="BI224" s="999"/>
      <c r="BJ224" s="999"/>
      <c r="BK224" s="265"/>
      <c r="BL224" s="292"/>
      <c r="BN224" s="999"/>
      <c r="BO224" s="999"/>
      <c r="BP224" s="267"/>
      <c r="BQ224" s="1010"/>
      <c r="BR224" s="999"/>
      <c r="BS224" s="267"/>
      <c r="BT224" s="999"/>
      <c r="BU224" s="999"/>
      <c r="BV224" s="267"/>
      <c r="BW224" s="999"/>
      <c r="BX224" s="999"/>
      <c r="BY224" s="265"/>
      <c r="BZ224" s="292"/>
      <c r="CB224" s="999"/>
      <c r="CC224" s="999"/>
      <c r="CD224" s="267"/>
      <c r="CE224" s="1010"/>
      <c r="CF224" s="999"/>
      <c r="CG224" s="267"/>
      <c r="CH224" s="999"/>
      <c r="CI224" s="999"/>
      <c r="CJ224" s="267"/>
      <c r="CK224" s="999"/>
      <c r="CL224" s="999"/>
      <c r="CM224" s="265"/>
      <c r="CN224" s="292"/>
    </row>
    <row r="225" spans="2:92" ht="42.75" customHeight="1" x14ac:dyDescent="0.2">
      <c r="B225" s="970"/>
      <c r="C225" s="976"/>
      <c r="D225" s="367" t="s">
        <v>206</v>
      </c>
      <c r="E225" s="385" t="s">
        <v>1291</v>
      </c>
      <c r="F225" s="405" t="s">
        <v>338</v>
      </c>
      <c r="G225" s="385" t="str">
        <f>+'Plan de Accion apoyo transversa'!X18</f>
        <v>Reuniones de autocontrol y seguimiento a  los procesos que evidencien monitoreo a los riesgos, indicadores, planes de mejoramiento, manuales y documentos asociados</v>
      </c>
      <c r="H225" s="280" t="str">
        <f>+'Plan de Accion apoyo transversa'!AK18</f>
        <v># reuniones realizadas</v>
      </c>
      <c r="J225" s="283">
        <f>+'Plan de Accion apoyo transversa'!AT18</f>
        <v>0</v>
      </c>
      <c r="K225" s="615" t="str">
        <f>+'Plan de Accion apoyo transversa'!CE18</f>
        <v>No Prog ni Ejec</v>
      </c>
      <c r="L225" s="615" t="s">
        <v>206</v>
      </c>
      <c r="M225" s="615">
        <f>+'Plan de Accion apoyo transversa'!AX18</f>
        <v>0</v>
      </c>
      <c r="N225" s="615">
        <f t="shared" ref="N225:N286" si="113">IF(M225&gt;100%,100%,M225)</f>
        <v>0</v>
      </c>
      <c r="O225" s="617" t="s">
        <v>206</v>
      </c>
      <c r="P225" s="277"/>
      <c r="Q225" s="283">
        <f>+'Plan de Accion apoyo transversa'!BD18</f>
        <v>0</v>
      </c>
      <c r="R225" s="315">
        <f>+'Plan de Accion apoyo transversa'!CG18</f>
        <v>0</v>
      </c>
      <c r="S225" s="276">
        <f t="shared" si="108"/>
        <v>0</v>
      </c>
      <c r="T225" s="373">
        <f>+'Plan de Accion apoyo transversa'!BH18</f>
        <v>0</v>
      </c>
      <c r="U225" s="373">
        <f t="shared" si="105"/>
        <v>0</v>
      </c>
      <c r="V225" s="275">
        <f t="shared" si="109"/>
        <v>0</v>
      </c>
      <c r="W225" s="278"/>
      <c r="X225" s="283">
        <f>+'Plan de Accion apoyo transversa'!BN18</f>
        <v>0</v>
      </c>
      <c r="Y225" s="315">
        <f>+'Plan de Accion apoyo transversa'!CI18</f>
        <v>0</v>
      </c>
      <c r="Z225" s="276">
        <f t="shared" si="110"/>
        <v>0</v>
      </c>
      <c r="AA225" s="282">
        <f>+'Plan de Accion apoyo transversa'!BR18</f>
        <v>0</v>
      </c>
      <c r="AB225" s="282">
        <f t="shared" si="106"/>
        <v>0</v>
      </c>
      <c r="AC225" s="281">
        <f t="shared" si="111"/>
        <v>0</v>
      </c>
      <c r="AD225" s="277"/>
      <c r="AE225" s="283">
        <f>+'Plan de Accion apoyo transversa'!BX18</f>
        <v>0</v>
      </c>
      <c r="AF225" s="315">
        <f>+'Plan de Accion apoyo transversa'!CK18</f>
        <v>0</v>
      </c>
      <c r="AG225" s="276">
        <f t="shared" si="112"/>
        <v>0</v>
      </c>
      <c r="AH225" s="315">
        <f>+'Plan de Accion apoyo transversa'!CB18</f>
        <v>0</v>
      </c>
      <c r="AI225" s="275">
        <f t="shared" si="107"/>
        <v>0</v>
      </c>
      <c r="AJ225" s="274"/>
      <c r="AL225" s="998"/>
      <c r="AM225" s="1007"/>
      <c r="AN225" s="267"/>
      <c r="AO225" s="1009"/>
      <c r="AP225" s="1007"/>
      <c r="AQ225" s="267"/>
      <c r="AR225" s="998"/>
      <c r="AS225" s="1007"/>
      <c r="AT225" s="267"/>
      <c r="AU225" s="998"/>
      <c r="AV225" s="1007"/>
      <c r="AW225" s="265"/>
      <c r="AX225" s="270"/>
      <c r="AZ225" s="998"/>
      <c r="BA225" s="1007"/>
      <c r="BB225" s="267"/>
      <c r="BC225" s="1009"/>
      <c r="BD225" s="1007"/>
      <c r="BE225" s="267"/>
      <c r="BF225" s="998"/>
      <c r="BG225" s="1007"/>
      <c r="BH225" s="267"/>
      <c r="BI225" s="998"/>
      <c r="BJ225" s="1007"/>
      <c r="BK225" s="265"/>
      <c r="BL225" s="270"/>
      <c r="BN225" s="998"/>
      <c r="BO225" s="1007"/>
      <c r="BP225" s="267"/>
      <c r="BQ225" s="1009"/>
      <c r="BR225" s="1007"/>
      <c r="BS225" s="267"/>
      <c r="BT225" s="998"/>
      <c r="BU225" s="1007"/>
      <c r="BV225" s="267"/>
      <c r="BW225" s="998"/>
      <c r="BX225" s="1007"/>
      <c r="BY225" s="265"/>
      <c r="BZ225" s="270"/>
      <c r="CB225" s="998"/>
      <c r="CC225" s="1007"/>
      <c r="CD225" s="267"/>
      <c r="CE225" s="1009"/>
      <c r="CF225" s="1007"/>
      <c r="CG225" s="267"/>
      <c r="CH225" s="998"/>
      <c r="CI225" s="1007"/>
      <c r="CJ225" s="267"/>
      <c r="CK225" s="998"/>
      <c r="CL225" s="1007"/>
      <c r="CM225" s="265"/>
      <c r="CN225" s="270"/>
    </row>
    <row r="226" spans="2:92" ht="99.75" x14ac:dyDescent="0.2">
      <c r="B226" s="970"/>
      <c r="C226" s="976"/>
      <c r="D226" s="367" t="s">
        <v>206</v>
      </c>
      <c r="E226" s="385" t="s">
        <v>1292</v>
      </c>
      <c r="F226" s="405" t="s">
        <v>332</v>
      </c>
      <c r="G226" s="385" t="str">
        <f>+'Plan de Accion apoyo transversa'!X17</f>
        <v>SARL, SARC y SARM implementados</v>
      </c>
      <c r="H226" s="280" t="str">
        <f>+'Plan de Accion apoyo transversa'!AK17</f>
        <v># Actividades ejecutadas / # actividades programadas</v>
      </c>
      <c r="J226" s="279">
        <f>+'Plan de Accion apoyo transversa'!AT17</f>
        <v>0</v>
      </c>
      <c r="K226" s="615" t="str">
        <f>+'Plan de Accion apoyo transversa'!CE17</f>
        <v>No Prog ni Ejec</v>
      </c>
      <c r="L226" s="615" t="s">
        <v>206</v>
      </c>
      <c r="M226" s="615">
        <f>+'Plan de Accion apoyo transversa'!AX17</f>
        <v>0</v>
      </c>
      <c r="N226" s="615">
        <f t="shared" si="113"/>
        <v>0</v>
      </c>
      <c r="O226" s="617" t="s">
        <v>206</v>
      </c>
      <c r="P226" s="277"/>
      <c r="Q226" s="279">
        <f>+'Plan de Accion apoyo transversa'!BD17</f>
        <v>0</v>
      </c>
      <c r="R226" s="315" t="str">
        <f>+'Plan de Accion apoyo transversa'!CG17</f>
        <v>No Prog ni Ejec</v>
      </c>
      <c r="S226" s="276" t="s">
        <v>206</v>
      </c>
      <c r="T226" s="373">
        <f>+'Plan de Accion apoyo transversa'!BH17</f>
        <v>0</v>
      </c>
      <c r="U226" s="373">
        <f t="shared" si="105"/>
        <v>0</v>
      </c>
      <c r="V226" s="275" t="s">
        <v>206</v>
      </c>
      <c r="W226" s="278"/>
      <c r="X226" s="279">
        <f>+'Plan de Accion apoyo transversa'!BN17</f>
        <v>0</v>
      </c>
      <c r="Y226" s="315">
        <f>+'Plan de Accion apoyo transversa'!CI17</f>
        <v>0</v>
      </c>
      <c r="Z226" s="276">
        <f t="shared" si="110"/>
        <v>0</v>
      </c>
      <c r="AA226" s="282">
        <f>+'Plan de Accion apoyo transversa'!BR17</f>
        <v>0</v>
      </c>
      <c r="AB226" s="282">
        <f t="shared" si="106"/>
        <v>0</v>
      </c>
      <c r="AC226" s="281">
        <f t="shared" si="111"/>
        <v>0</v>
      </c>
      <c r="AD226" s="277"/>
      <c r="AE226" s="279">
        <f>+'Plan de Accion apoyo transversa'!BX17</f>
        <v>0</v>
      </c>
      <c r="AF226" s="315">
        <f>+'Plan de Accion apoyo transversa'!CK17</f>
        <v>0</v>
      </c>
      <c r="AG226" s="276">
        <f t="shared" si="112"/>
        <v>0</v>
      </c>
      <c r="AH226" s="315">
        <f>+'Plan de Accion apoyo transversa'!CB17</f>
        <v>0</v>
      </c>
      <c r="AI226" s="275">
        <f t="shared" si="107"/>
        <v>0</v>
      </c>
      <c r="AJ226" s="274"/>
      <c r="AL226" s="998"/>
      <c r="AM226" s="998"/>
      <c r="AN226" s="267"/>
      <c r="AO226" s="1009"/>
      <c r="AP226" s="998"/>
      <c r="AQ226" s="267"/>
      <c r="AR226" s="998"/>
      <c r="AS226" s="998"/>
      <c r="AT226" s="267"/>
      <c r="AU226" s="998"/>
      <c r="AV226" s="998"/>
      <c r="AW226" s="265"/>
      <c r="AX226" s="270"/>
      <c r="AZ226" s="998"/>
      <c r="BA226" s="998"/>
      <c r="BB226" s="267"/>
      <c r="BC226" s="1009"/>
      <c r="BD226" s="998"/>
      <c r="BE226" s="267"/>
      <c r="BF226" s="998"/>
      <c r="BG226" s="998"/>
      <c r="BH226" s="267"/>
      <c r="BI226" s="998"/>
      <c r="BJ226" s="998"/>
      <c r="BK226" s="265"/>
      <c r="BL226" s="270"/>
      <c r="BN226" s="998"/>
      <c r="BO226" s="998"/>
      <c r="BP226" s="267"/>
      <c r="BQ226" s="1009"/>
      <c r="BR226" s="998"/>
      <c r="BS226" s="267"/>
      <c r="BT226" s="998"/>
      <c r="BU226" s="998"/>
      <c r="BV226" s="267"/>
      <c r="BW226" s="998"/>
      <c r="BX226" s="998"/>
      <c r="BY226" s="265"/>
      <c r="BZ226" s="270"/>
      <c r="CB226" s="998"/>
      <c r="CC226" s="998"/>
      <c r="CD226" s="267"/>
      <c r="CE226" s="1009"/>
      <c r="CF226" s="998"/>
      <c r="CG226" s="267"/>
      <c r="CH226" s="998"/>
      <c r="CI226" s="998"/>
      <c r="CJ226" s="267"/>
      <c r="CK226" s="998"/>
      <c r="CL226" s="998"/>
      <c r="CM226" s="265"/>
      <c r="CN226" s="270"/>
    </row>
    <row r="227" spans="2:92" ht="57.75" customHeight="1" thickBot="1" x14ac:dyDescent="0.25">
      <c r="B227" s="970"/>
      <c r="C227" s="976"/>
      <c r="D227" s="948" t="s">
        <v>206</v>
      </c>
      <c r="E227" s="945" t="s">
        <v>1293</v>
      </c>
      <c r="F227" s="948" t="s">
        <v>332</v>
      </c>
      <c r="G227" s="385" t="str">
        <f>+'Plan de Accion apoyo transversa'!X19</f>
        <v>SARLAFT implementado</v>
      </c>
      <c r="H227" s="280" t="str">
        <f>+'Plan de Accion apoyo transversa'!AK19</f>
        <v># Actividades ejecutadas / # actividades programadas</v>
      </c>
      <c r="J227" s="279">
        <f>+'Plan de Accion apoyo transversa'!AT19</f>
        <v>0.2</v>
      </c>
      <c r="K227" s="615">
        <f>+'Plan de Accion apoyo transversa'!CE19</f>
        <v>0.44444444444444448</v>
      </c>
      <c r="L227" s="615">
        <f>IF(K227&gt;100%,100%,K227)</f>
        <v>0.44444444444444448</v>
      </c>
      <c r="M227" s="615">
        <f>+'Plan de Accion apoyo transversa'!AX19</f>
        <v>0.2</v>
      </c>
      <c r="N227" s="615">
        <f t="shared" si="113"/>
        <v>0.2</v>
      </c>
      <c r="O227" s="617">
        <f>+N227</f>
        <v>0.2</v>
      </c>
      <c r="P227" s="277"/>
      <c r="Q227" s="279">
        <f>+'Plan de Accion apoyo transversa'!BD19</f>
        <v>0</v>
      </c>
      <c r="R227" s="315">
        <f>+'Plan de Accion apoyo transversa'!CG19</f>
        <v>0</v>
      </c>
      <c r="S227" s="276">
        <f t="shared" si="108"/>
        <v>0</v>
      </c>
      <c r="T227" s="373">
        <f>+'Plan de Accion apoyo transversa'!BH19</f>
        <v>0.2</v>
      </c>
      <c r="U227" s="373">
        <f t="shared" si="105"/>
        <v>0.2</v>
      </c>
      <c r="V227" s="275">
        <f t="shared" si="109"/>
        <v>0.2</v>
      </c>
      <c r="W227" s="278"/>
      <c r="X227" s="279">
        <f>+'Plan de Accion apoyo transversa'!BN19</f>
        <v>0</v>
      </c>
      <c r="Y227" s="315">
        <f>+'Plan de Accion apoyo transversa'!CI19</f>
        <v>0</v>
      </c>
      <c r="Z227" s="276">
        <f t="shared" si="110"/>
        <v>0</v>
      </c>
      <c r="AA227" s="282">
        <f>+'Plan de Accion apoyo transversa'!BR19</f>
        <v>0.2</v>
      </c>
      <c r="AB227" s="282">
        <f t="shared" si="106"/>
        <v>0.2</v>
      </c>
      <c r="AC227" s="281">
        <f t="shared" si="111"/>
        <v>0.2</v>
      </c>
      <c r="AD227" s="277"/>
      <c r="AE227" s="279">
        <f>+'Plan de Accion apoyo transversa'!BX19</f>
        <v>0</v>
      </c>
      <c r="AF227" s="315" t="str">
        <f>+'Plan de Accion apoyo transversa'!CK19</f>
        <v>No Prog ni Ejec</v>
      </c>
      <c r="AG227" s="276" t="s">
        <v>206</v>
      </c>
      <c r="AH227" s="315">
        <f>+'Plan de Accion apoyo transversa'!CB19</f>
        <v>0.2</v>
      </c>
      <c r="AI227" s="275">
        <f t="shared" si="107"/>
        <v>0.2</v>
      </c>
      <c r="AJ227" s="291"/>
      <c r="AL227" s="999"/>
      <c r="AM227" s="999"/>
      <c r="AN227" s="267"/>
      <c r="AO227" s="1010"/>
      <c r="AP227" s="999"/>
      <c r="AQ227" s="267"/>
      <c r="AR227" s="999"/>
      <c r="AS227" s="999"/>
      <c r="AT227" s="267"/>
      <c r="AU227" s="999"/>
      <c r="AV227" s="999"/>
      <c r="AW227" s="265"/>
      <c r="AX227" s="290"/>
      <c r="AZ227" s="999"/>
      <c r="BA227" s="999"/>
      <c r="BB227" s="267"/>
      <c r="BC227" s="1010"/>
      <c r="BD227" s="999"/>
      <c r="BE227" s="267"/>
      <c r="BF227" s="999"/>
      <c r="BG227" s="999"/>
      <c r="BH227" s="267"/>
      <c r="BI227" s="999"/>
      <c r="BJ227" s="999"/>
      <c r="BK227" s="265"/>
      <c r="BL227" s="290"/>
      <c r="BN227" s="999"/>
      <c r="BO227" s="999"/>
      <c r="BP227" s="267"/>
      <c r="BQ227" s="1010"/>
      <c r="BR227" s="999"/>
      <c r="BS227" s="267"/>
      <c r="BT227" s="999"/>
      <c r="BU227" s="999"/>
      <c r="BV227" s="267"/>
      <c r="BW227" s="999"/>
      <c r="BX227" s="999"/>
      <c r="BY227" s="265"/>
      <c r="BZ227" s="290"/>
      <c r="CB227" s="999"/>
      <c r="CC227" s="999"/>
      <c r="CD227" s="267"/>
      <c r="CE227" s="1010"/>
      <c r="CF227" s="999"/>
      <c r="CG227" s="267"/>
      <c r="CH227" s="999"/>
      <c r="CI227" s="999"/>
      <c r="CJ227" s="267"/>
      <c r="CK227" s="999"/>
      <c r="CL227" s="999"/>
      <c r="CM227" s="265"/>
      <c r="CN227" s="290"/>
    </row>
    <row r="228" spans="2:92" ht="29.25" thickBot="1" x14ac:dyDescent="0.25">
      <c r="B228" s="970"/>
      <c r="C228" s="976"/>
      <c r="D228" s="949"/>
      <c r="E228" s="946"/>
      <c r="F228" s="949"/>
      <c r="G228" s="385" t="str">
        <f>+'Plan de Accion apoyo transversa'!X20</f>
        <v>Plan de Continuidad del negocio implementado</v>
      </c>
      <c r="H228" s="280" t="str">
        <f>+'Plan de Accion apoyo transversa'!AK20</f>
        <v># Actividades ejecutadas / # actividades programadas</v>
      </c>
      <c r="J228" s="279">
        <f>+'Plan de Accion apoyo transversa'!AT20</f>
        <v>0</v>
      </c>
      <c r="K228" s="615">
        <f>+'Plan de Accion apoyo transversa'!CE20</f>
        <v>0</v>
      </c>
      <c r="L228" s="615">
        <f>IF(K228&gt;100%,100%,K228)</f>
        <v>0</v>
      </c>
      <c r="M228" s="615">
        <f>+'Plan de Accion apoyo transversa'!AX20</f>
        <v>0</v>
      </c>
      <c r="N228" s="615">
        <f t="shared" si="113"/>
        <v>0</v>
      </c>
      <c r="O228" s="617">
        <f>+N228</f>
        <v>0</v>
      </c>
      <c r="P228" s="277"/>
      <c r="Q228" s="279">
        <f>+'Plan de Accion apoyo transversa'!BD20</f>
        <v>0</v>
      </c>
      <c r="R228" s="315">
        <f>+'Plan de Accion apoyo transversa'!CG20</f>
        <v>0</v>
      </c>
      <c r="S228" s="276">
        <f t="shared" si="108"/>
        <v>0</v>
      </c>
      <c r="T228" s="373">
        <f>+'Plan de Accion apoyo transversa'!BH20</f>
        <v>0</v>
      </c>
      <c r="U228" s="373">
        <f t="shared" si="105"/>
        <v>0</v>
      </c>
      <c r="V228" s="275">
        <f t="shared" si="109"/>
        <v>0</v>
      </c>
      <c r="W228" s="278"/>
      <c r="X228" s="279">
        <f>+'Plan de Accion apoyo transversa'!BN20</f>
        <v>0</v>
      </c>
      <c r="Y228" s="315">
        <f>+'Plan de Accion apoyo transversa'!CI20</f>
        <v>0</v>
      </c>
      <c r="Z228" s="276">
        <f t="shared" si="110"/>
        <v>0</v>
      </c>
      <c r="AA228" s="282">
        <f>+'Plan de Accion apoyo transversa'!BR20</f>
        <v>0</v>
      </c>
      <c r="AB228" s="282">
        <f t="shared" si="106"/>
        <v>0</v>
      </c>
      <c r="AC228" s="281">
        <f t="shared" si="111"/>
        <v>0</v>
      </c>
      <c r="AD228" s="277"/>
      <c r="AE228" s="279">
        <f>+'Plan de Accion apoyo transversa'!BX20</f>
        <v>0</v>
      </c>
      <c r="AF228" s="315" t="str">
        <f>+'Plan de Accion apoyo transversa'!CK20</f>
        <v>No Prog ni Ejec</v>
      </c>
      <c r="AG228" s="276" t="s">
        <v>206</v>
      </c>
      <c r="AH228" s="315">
        <f>+'Plan de Accion apoyo transversa'!CB20</f>
        <v>0</v>
      </c>
      <c r="AI228" s="275">
        <f t="shared" si="107"/>
        <v>0</v>
      </c>
      <c r="AJ228" s="286"/>
      <c r="AL228" s="288"/>
      <c r="AM228" s="287"/>
      <c r="AN228" s="267"/>
      <c r="AO228" s="288"/>
      <c r="AP228" s="287"/>
      <c r="AQ228" s="267"/>
      <c r="AR228" s="288"/>
      <c r="AS228" s="287"/>
      <c r="AT228" s="267"/>
      <c r="AU228" s="288"/>
      <c r="AV228" s="287"/>
      <c r="AW228" s="265"/>
      <c r="AX228" s="286"/>
      <c r="AZ228" s="288"/>
      <c r="BA228" s="287"/>
      <c r="BB228" s="267"/>
      <c r="BC228" s="288"/>
      <c r="BD228" s="287"/>
      <c r="BE228" s="267"/>
      <c r="BF228" s="288"/>
      <c r="BG228" s="287"/>
      <c r="BH228" s="267"/>
      <c r="BI228" s="288"/>
      <c r="BJ228" s="287"/>
      <c r="BK228" s="265"/>
      <c r="BL228" s="286"/>
      <c r="BN228" s="288"/>
      <c r="BO228" s="287"/>
      <c r="BP228" s="267"/>
      <c r="BQ228" s="288"/>
      <c r="BR228" s="287"/>
      <c r="BS228" s="267"/>
      <c r="BT228" s="288"/>
      <c r="BU228" s="287"/>
      <c r="BV228" s="267"/>
      <c r="BW228" s="288"/>
      <c r="BX228" s="287"/>
      <c r="BY228" s="265"/>
      <c r="BZ228" s="286"/>
      <c r="CB228" s="288"/>
      <c r="CC228" s="287"/>
      <c r="CD228" s="267"/>
      <c r="CE228" s="288"/>
      <c r="CF228" s="287"/>
      <c r="CG228" s="267"/>
      <c r="CH228" s="288"/>
      <c r="CI228" s="287"/>
      <c r="CJ228" s="267"/>
      <c r="CK228" s="288"/>
      <c r="CL228" s="287"/>
      <c r="CM228" s="265"/>
      <c r="CN228" s="286"/>
    </row>
    <row r="229" spans="2:92" ht="29.25" thickBot="1" x14ac:dyDescent="0.25">
      <c r="B229" s="970"/>
      <c r="C229" s="976"/>
      <c r="D229" s="950"/>
      <c r="E229" s="947"/>
      <c r="F229" s="950"/>
      <c r="G229" s="385" t="str">
        <f>+'Plan de Accion apoyo transversa'!X21</f>
        <v>Plan estratégico cuatrienal aprobado</v>
      </c>
      <c r="H229" s="280" t="str">
        <f>+'Plan de Accion apoyo transversa'!AK21</f>
        <v># Planes estratégicos cuatrienales aprobados</v>
      </c>
      <c r="J229" s="283">
        <f>+'Plan de Accion apoyo transversa'!AT21</f>
        <v>0</v>
      </c>
      <c r="K229" s="615" t="str">
        <f>+'Plan de Accion apoyo transversa'!CE21</f>
        <v>No Prog ni Ejec</v>
      </c>
      <c r="L229" s="615" t="s">
        <v>206</v>
      </c>
      <c r="M229" s="615">
        <f>+'Plan de Accion apoyo transversa'!AX21</f>
        <v>0</v>
      </c>
      <c r="N229" s="615">
        <f t="shared" si="113"/>
        <v>0</v>
      </c>
      <c r="O229" s="617" t="s">
        <v>206</v>
      </c>
      <c r="P229" s="277"/>
      <c r="Q229" s="283">
        <f>+'Plan de Accion apoyo transversa'!BD21</f>
        <v>0</v>
      </c>
      <c r="R229" s="315" t="str">
        <f>+'Plan de Accion apoyo transversa'!CG21</f>
        <v>No Prog ni Ejec</v>
      </c>
      <c r="S229" s="276" t="s">
        <v>206</v>
      </c>
      <c r="T229" s="373">
        <f>+'Plan de Accion apoyo transversa'!BH21</f>
        <v>0</v>
      </c>
      <c r="U229" s="373">
        <f t="shared" si="105"/>
        <v>0</v>
      </c>
      <c r="V229" s="275" t="s">
        <v>206</v>
      </c>
      <c r="W229" s="278"/>
      <c r="X229" s="283">
        <f>+'Plan de Accion apoyo transversa'!BN21</f>
        <v>0</v>
      </c>
      <c r="Y229" s="315" t="str">
        <f>+'Plan de Accion apoyo transversa'!CI21</f>
        <v>No Prog ni Ejec</v>
      </c>
      <c r="Z229" s="276" t="s">
        <v>206</v>
      </c>
      <c r="AA229" s="282">
        <f>+'Plan de Accion apoyo transversa'!BR21</f>
        <v>0</v>
      </c>
      <c r="AB229" s="282">
        <f t="shared" si="106"/>
        <v>0</v>
      </c>
      <c r="AC229" s="281" t="s">
        <v>206</v>
      </c>
      <c r="AD229" s="277"/>
      <c r="AE229" s="283">
        <f>+'Plan de Accion apoyo transversa'!BX21</f>
        <v>0</v>
      </c>
      <c r="AF229" s="315">
        <f>+'Plan de Accion apoyo transversa'!CK21</f>
        <v>0</v>
      </c>
      <c r="AG229" s="276">
        <f>IF(AF229&gt;100%,100%,AF229)</f>
        <v>0</v>
      </c>
      <c r="AH229" s="315">
        <f>+'Plan de Accion apoyo transversa'!CB21</f>
        <v>0</v>
      </c>
      <c r="AI229" s="275">
        <f t="shared" si="107"/>
        <v>0</v>
      </c>
      <c r="AJ229" s="286"/>
      <c r="AL229" s="288"/>
      <c r="AM229" s="287"/>
      <c r="AN229" s="267"/>
      <c r="AO229" s="288"/>
      <c r="AP229" s="287"/>
      <c r="AQ229" s="267"/>
      <c r="AR229" s="288"/>
      <c r="AS229" s="287"/>
      <c r="AT229" s="267"/>
      <c r="AU229" s="288"/>
      <c r="AV229" s="287"/>
      <c r="AW229" s="265"/>
      <c r="AX229" s="286"/>
      <c r="AZ229" s="288"/>
      <c r="BA229" s="287"/>
      <c r="BB229" s="267"/>
      <c r="BC229" s="288"/>
      <c r="BD229" s="287"/>
      <c r="BE229" s="267"/>
      <c r="BF229" s="288"/>
      <c r="BG229" s="287"/>
      <c r="BH229" s="267"/>
      <c r="BI229" s="288"/>
      <c r="BJ229" s="287"/>
      <c r="BK229" s="265"/>
      <c r="BL229" s="286"/>
      <c r="BN229" s="288"/>
      <c r="BO229" s="287"/>
      <c r="BP229" s="267"/>
      <c r="BQ229" s="288"/>
      <c r="BR229" s="287"/>
      <c r="BS229" s="267"/>
      <c r="BT229" s="288"/>
      <c r="BU229" s="287"/>
      <c r="BV229" s="267"/>
      <c r="BW229" s="288"/>
      <c r="BX229" s="287"/>
      <c r="BY229" s="265"/>
      <c r="BZ229" s="286"/>
      <c r="CB229" s="288"/>
      <c r="CC229" s="287"/>
      <c r="CD229" s="267"/>
      <c r="CE229" s="288"/>
      <c r="CF229" s="287"/>
      <c r="CG229" s="267"/>
      <c r="CH229" s="288"/>
      <c r="CI229" s="287"/>
      <c r="CJ229" s="267"/>
      <c r="CK229" s="288"/>
      <c r="CL229" s="287"/>
      <c r="CM229" s="265"/>
      <c r="CN229" s="286"/>
    </row>
    <row r="230" spans="2:92" ht="100.5" thickBot="1" x14ac:dyDescent="0.25">
      <c r="B230" s="970"/>
      <c r="C230" s="976"/>
      <c r="D230" s="367" t="s">
        <v>206</v>
      </c>
      <c r="E230" s="385" t="s">
        <v>125</v>
      </c>
      <c r="F230" s="369" t="s">
        <v>338</v>
      </c>
      <c r="G230" s="385" t="str">
        <f>+'Plan de Accion apoyo transversa'!X41</f>
        <v>Reuniones de autocontrol y seguimiento a  los procesos que evidencien monitoreo a los riesgos, indicadores, planes de mejoramiento, manuales y documentos asociados</v>
      </c>
      <c r="H230" s="280" t="str">
        <f>+'Plan de Accion apoyo transversa'!AK41</f>
        <v># reuniones realizadas</v>
      </c>
      <c r="J230" s="283">
        <f>+'Plan de Accion apoyo transversa'!AT41</f>
        <v>0</v>
      </c>
      <c r="K230" s="615" t="str">
        <f>+'Plan de Accion apoyo transversa'!CE41</f>
        <v>No Prog ni Ejec</v>
      </c>
      <c r="L230" s="615" t="s">
        <v>206</v>
      </c>
      <c r="M230" s="615">
        <f>+'Plan de Accion apoyo transversa'!AX41</f>
        <v>0</v>
      </c>
      <c r="N230" s="615">
        <f t="shared" si="113"/>
        <v>0</v>
      </c>
      <c r="O230" s="617" t="s">
        <v>206</v>
      </c>
      <c r="P230" s="277"/>
      <c r="Q230" s="283">
        <f>+'Plan de Accion apoyo transversa'!BD41</f>
        <v>0</v>
      </c>
      <c r="R230" s="315">
        <f>+'Plan de Accion apoyo transversa'!CG41</f>
        <v>0</v>
      </c>
      <c r="S230" s="276">
        <f>IF(R230&gt;100%,100%,R230)</f>
        <v>0</v>
      </c>
      <c r="T230" s="373">
        <f>+'Plan de Accion apoyo transversa'!BH41</f>
        <v>0</v>
      </c>
      <c r="U230" s="373">
        <f t="shared" si="105"/>
        <v>0</v>
      </c>
      <c r="V230" s="275">
        <f>+U230</f>
        <v>0</v>
      </c>
      <c r="W230" s="278"/>
      <c r="X230" s="283">
        <f>+'Plan de Accion apoyo transversa'!BN41</f>
        <v>0</v>
      </c>
      <c r="Y230" s="315">
        <f>+'Plan de Accion apoyo transversa'!CI41</f>
        <v>0</v>
      </c>
      <c r="Z230" s="276">
        <f>IF(Y230&gt;100%,100%,Y230)</f>
        <v>0</v>
      </c>
      <c r="AA230" s="282">
        <f>+'Plan de Accion apoyo transversa'!BR41</f>
        <v>0</v>
      </c>
      <c r="AB230" s="282">
        <f t="shared" si="106"/>
        <v>0</v>
      </c>
      <c r="AC230" s="281">
        <f>+AB230</f>
        <v>0</v>
      </c>
      <c r="AD230" s="277"/>
      <c r="AE230" s="283">
        <f>+'Plan de Accion apoyo transversa'!BX41</f>
        <v>0</v>
      </c>
      <c r="AF230" s="315">
        <f>+'Plan de Accion apoyo transversa'!CK41</f>
        <v>0</v>
      </c>
      <c r="AG230" s="276">
        <f>IF(AF230&gt;100%,100%,AF230)</f>
        <v>0</v>
      </c>
      <c r="AH230" s="315">
        <f>+'Plan de Accion apoyo transversa'!CB41</f>
        <v>0</v>
      </c>
      <c r="AI230" s="275">
        <f t="shared" si="107"/>
        <v>0</v>
      </c>
      <c r="AJ230" s="286"/>
      <c r="AL230" s="288"/>
      <c r="AM230" s="287"/>
      <c r="AN230" s="267"/>
      <c r="AO230" s="288"/>
      <c r="AP230" s="287"/>
      <c r="AQ230" s="267"/>
      <c r="AR230" s="288"/>
      <c r="AS230" s="287"/>
      <c r="AT230" s="267"/>
      <c r="AU230" s="288"/>
      <c r="AV230" s="287"/>
      <c r="AW230" s="265"/>
      <c r="AX230" s="286"/>
      <c r="AZ230" s="288"/>
      <c r="BA230" s="287"/>
      <c r="BB230" s="267"/>
      <c r="BC230" s="288"/>
      <c r="BD230" s="287"/>
      <c r="BE230" s="267"/>
      <c r="BF230" s="288"/>
      <c r="BG230" s="287"/>
      <c r="BH230" s="267"/>
      <c r="BI230" s="288"/>
      <c r="BJ230" s="287"/>
      <c r="BK230" s="265"/>
      <c r="BL230" s="286"/>
      <c r="BN230" s="288"/>
      <c r="BO230" s="287"/>
      <c r="BP230" s="267"/>
      <c r="BQ230" s="288"/>
      <c r="BR230" s="287"/>
      <c r="BS230" s="267"/>
      <c r="BT230" s="288"/>
      <c r="BU230" s="287"/>
      <c r="BV230" s="267"/>
      <c r="BW230" s="288"/>
      <c r="BX230" s="287"/>
      <c r="BY230" s="265"/>
      <c r="BZ230" s="286"/>
      <c r="CB230" s="288"/>
      <c r="CC230" s="287"/>
      <c r="CD230" s="267"/>
      <c r="CE230" s="288"/>
      <c r="CF230" s="287"/>
      <c r="CG230" s="267"/>
      <c r="CH230" s="288"/>
      <c r="CI230" s="287"/>
      <c r="CJ230" s="267"/>
      <c r="CK230" s="288"/>
      <c r="CL230" s="287"/>
      <c r="CM230" s="265"/>
      <c r="CN230" s="286"/>
    </row>
    <row r="231" spans="2:92" ht="29.25" thickBot="1" x14ac:dyDescent="0.25">
      <c r="B231" s="970"/>
      <c r="C231" s="976"/>
      <c r="D231" s="948" t="s">
        <v>206</v>
      </c>
      <c r="E231" s="945" t="s">
        <v>3</v>
      </c>
      <c r="F231" s="951" t="s">
        <v>332</v>
      </c>
      <c r="G231" s="385" t="str">
        <f>+'Plan de Accion apoyo transversa'!X42</f>
        <v>Reporte Trimestral del Avance del Plan de Acción</v>
      </c>
      <c r="H231" s="280" t="str">
        <f>+'Plan de Accion apoyo transversa'!AK42</f>
        <v># Informes trimestrales reportados</v>
      </c>
      <c r="J231" s="283">
        <f>+'Plan de Accion apoyo transversa'!AT42</f>
        <v>1</v>
      </c>
      <c r="K231" s="615">
        <f>+'Plan de Accion apoyo transversa'!CE42</f>
        <v>1</v>
      </c>
      <c r="L231" s="615">
        <f>IF(K231&gt;100%,100%,K231)</f>
        <v>1</v>
      </c>
      <c r="M231" s="615">
        <f>+'Plan de Accion apoyo transversa'!AX42</f>
        <v>0.25</v>
      </c>
      <c r="N231" s="615">
        <f t="shared" si="113"/>
        <v>0.25</v>
      </c>
      <c r="O231" s="617">
        <f t="shared" ref="O231:O237" si="114">+N231</f>
        <v>0.25</v>
      </c>
      <c r="P231" s="277"/>
      <c r="Q231" s="283">
        <f>+'Plan de Accion apoyo transversa'!BD42</f>
        <v>0</v>
      </c>
      <c r="R231" s="315">
        <f>+'Plan de Accion apoyo transversa'!CG42</f>
        <v>0</v>
      </c>
      <c r="S231" s="276">
        <f t="shared" ref="S231:S240" si="115">IF(R231&gt;100%,100%,R231)</f>
        <v>0</v>
      </c>
      <c r="T231" s="373">
        <f>+'Plan de Accion apoyo transversa'!BH42</f>
        <v>0.25</v>
      </c>
      <c r="U231" s="373">
        <f t="shared" ref="U231:U242" si="116">IF(T231&gt;100%,100%,T231)</f>
        <v>0.25</v>
      </c>
      <c r="V231" s="275">
        <f t="shared" ref="V231:V248" si="117">+U231</f>
        <v>0.25</v>
      </c>
      <c r="W231" s="278"/>
      <c r="X231" s="283">
        <f>+'Plan de Accion apoyo transversa'!BN42</f>
        <v>0</v>
      </c>
      <c r="Y231" s="315">
        <f>+'Plan de Accion apoyo transversa'!CI42</f>
        <v>0</v>
      </c>
      <c r="Z231" s="276">
        <f t="shared" ref="Z231:Z241" si="118">IF(Y231&gt;100%,100%,Y231)</f>
        <v>0</v>
      </c>
      <c r="AA231" s="282">
        <f>+'Plan de Accion apoyo transversa'!BR42</f>
        <v>0.25</v>
      </c>
      <c r="AB231" s="282">
        <f t="shared" ref="AB231:AB242" si="119">IF(AA231&gt;100%,100%,AA231)</f>
        <v>0.25</v>
      </c>
      <c r="AC231" s="281">
        <f t="shared" ref="AC231:AC242" si="120">+AB231</f>
        <v>0.25</v>
      </c>
      <c r="AD231" s="277"/>
      <c r="AE231" s="283">
        <f>+'Plan de Accion apoyo transversa'!BX42</f>
        <v>0</v>
      </c>
      <c r="AF231" s="315">
        <f>+'Plan de Accion apoyo transversa'!CK42</f>
        <v>0</v>
      </c>
      <c r="AG231" s="276">
        <f t="shared" ref="AG231:AG237" si="121">IF(AF231&gt;100%,100%,AF231)</f>
        <v>0</v>
      </c>
      <c r="AH231" s="315">
        <f>+'Plan de Accion apoyo transversa'!CB42</f>
        <v>0.25</v>
      </c>
      <c r="AI231" s="275">
        <f t="shared" ref="AI231:AI242" si="122">IF(AH231&gt;100%,100%,AH231)</f>
        <v>0.25</v>
      </c>
      <c r="AJ231" s="286"/>
      <c r="AL231" s="288"/>
      <c r="AM231" s="287"/>
      <c r="AN231" s="267"/>
      <c r="AO231" s="288"/>
      <c r="AP231" s="287"/>
      <c r="AQ231" s="267"/>
      <c r="AR231" s="288"/>
      <c r="AS231" s="287"/>
      <c r="AT231" s="267"/>
      <c r="AU231" s="288"/>
      <c r="AV231" s="287"/>
      <c r="AW231" s="265"/>
      <c r="AX231" s="286"/>
      <c r="AZ231" s="288"/>
      <c r="BA231" s="287"/>
      <c r="BB231" s="267"/>
      <c r="BC231" s="288"/>
      <c r="BD231" s="287"/>
      <c r="BE231" s="267"/>
      <c r="BF231" s="288"/>
      <c r="BG231" s="287"/>
      <c r="BH231" s="267"/>
      <c r="BI231" s="288"/>
      <c r="BJ231" s="287"/>
      <c r="BK231" s="265"/>
      <c r="BL231" s="286"/>
      <c r="BN231" s="288"/>
      <c r="BO231" s="287"/>
      <c r="BP231" s="267"/>
      <c r="BQ231" s="288"/>
      <c r="BR231" s="287"/>
      <c r="BS231" s="267"/>
      <c r="BT231" s="288"/>
      <c r="BU231" s="287"/>
      <c r="BV231" s="267"/>
      <c r="BW231" s="288"/>
      <c r="BX231" s="287"/>
      <c r="BY231" s="265"/>
      <c r="BZ231" s="286"/>
      <c r="CB231" s="288"/>
      <c r="CC231" s="287"/>
      <c r="CD231" s="267"/>
      <c r="CE231" s="288"/>
      <c r="CF231" s="287"/>
      <c r="CG231" s="267"/>
      <c r="CH231" s="288"/>
      <c r="CI231" s="287"/>
      <c r="CJ231" s="267"/>
      <c r="CK231" s="288"/>
      <c r="CL231" s="287"/>
      <c r="CM231" s="265"/>
      <c r="CN231" s="286"/>
    </row>
    <row r="232" spans="2:92" ht="86.25" thickBot="1" x14ac:dyDescent="0.25">
      <c r="B232" s="970"/>
      <c r="C232" s="976"/>
      <c r="D232" s="949"/>
      <c r="E232" s="946"/>
      <c r="F232" s="951"/>
      <c r="G232" s="385" t="str">
        <f>+'Plan de Accion apoyo transversa'!X43</f>
        <v>Evaluar cumplimiento a los seguimientos y  evaluaciones al control interno, contemplados en el Plan Anual de Auditorías</v>
      </c>
      <c r="H232" s="280" t="str">
        <f>+'Plan de Accion apoyo transversa'!AK43</f>
        <v># de seguimientos y evaluaciones de control interno realizadas en el trimestre 
Indicador Variable acumulado y de eficacia</v>
      </c>
      <c r="J232" s="283">
        <f>+'Plan de Accion apoyo transversa'!AT43</f>
        <v>0</v>
      </c>
      <c r="K232" s="615">
        <f>+'Plan de Accion apoyo transversa'!CE43</f>
        <v>0</v>
      </c>
      <c r="L232" s="615">
        <f>IF(K232&gt;100%,100%,K232)</f>
        <v>0</v>
      </c>
      <c r="M232" s="615">
        <f>+'Plan de Accion apoyo transversa'!AX43</f>
        <v>0</v>
      </c>
      <c r="N232" s="615">
        <f t="shared" si="113"/>
        <v>0</v>
      </c>
      <c r="O232" s="617">
        <f t="shared" si="114"/>
        <v>0</v>
      </c>
      <c r="P232" s="277"/>
      <c r="Q232" s="283">
        <f>+'Plan de Accion apoyo transversa'!BD43</f>
        <v>0</v>
      </c>
      <c r="R232" s="315">
        <f>+'Plan de Accion apoyo transversa'!CG43</f>
        <v>0</v>
      </c>
      <c r="S232" s="276">
        <f t="shared" si="115"/>
        <v>0</v>
      </c>
      <c r="T232" s="373">
        <f>+'Plan de Accion apoyo transversa'!BH43</f>
        <v>0</v>
      </c>
      <c r="U232" s="373">
        <f t="shared" si="116"/>
        <v>0</v>
      </c>
      <c r="V232" s="275">
        <f t="shared" si="117"/>
        <v>0</v>
      </c>
      <c r="W232" s="278"/>
      <c r="X232" s="283">
        <f>+'Plan de Accion apoyo transversa'!BN43</f>
        <v>0</v>
      </c>
      <c r="Y232" s="315">
        <f>+'Plan de Accion apoyo transversa'!CI43</f>
        <v>0</v>
      </c>
      <c r="Z232" s="276">
        <f t="shared" si="118"/>
        <v>0</v>
      </c>
      <c r="AA232" s="282">
        <f>+'Plan de Accion apoyo transversa'!BR43</f>
        <v>0</v>
      </c>
      <c r="AB232" s="282">
        <f t="shared" si="119"/>
        <v>0</v>
      </c>
      <c r="AC232" s="281">
        <f t="shared" si="120"/>
        <v>0</v>
      </c>
      <c r="AD232" s="277"/>
      <c r="AE232" s="283">
        <f>+'Plan de Accion apoyo transversa'!BX43</f>
        <v>0</v>
      </c>
      <c r="AF232" s="315">
        <f>+'Plan de Accion apoyo transversa'!CK43</f>
        <v>0</v>
      </c>
      <c r="AG232" s="276">
        <f t="shared" si="121"/>
        <v>0</v>
      </c>
      <c r="AH232" s="315">
        <f>+'Plan de Accion apoyo transversa'!CB43</f>
        <v>0</v>
      </c>
      <c r="AI232" s="275">
        <f t="shared" si="122"/>
        <v>0</v>
      </c>
      <c r="AJ232" s="286"/>
      <c r="AL232" s="288"/>
      <c r="AM232" s="287"/>
      <c r="AN232" s="267"/>
      <c r="AO232" s="288"/>
      <c r="AP232" s="287"/>
      <c r="AQ232" s="267"/>
      <c r="AR232" s="288"/>
      <c r="AS232" s="287"/>
      <c r="AT232" s="267"/>
      <c r="AU232" s="288"/>
      <c r="AV232" s="287"/>
      <c r="AW232" s="265"/>
      <c r="AX232" s="286"/>
      <c r="AZ232" s="288"/>
      <c r="BA232" s="287"/>
      <c r="BB232" s="267"/>
      <c r="BC232" s="288"/>
      <c r="BD232" s="287"/>
      <c r="BE232" s="267"/>
      <c r="BF232" s="288"/>
      <c r="BG232" s="287"/>
      <c r="BH232" s="267"/>
      <c r="BI232" s="288"/>
      <c r="BJ232" s="287"/>
      <c r="BK232" s="265"/>
      <c r="BL232" s="286"/>
      <c r="BN232" s="288"/>
      <c r="BO232" s="287"/>
      <c r="BP232" s="267"/>
      <c r="BQ232" s="288"/>
      <c r="BR232" s="287"/>
      <c r="BS232" s="267"/>
      <c r="BT232" s="288"/>
      <c r="BU232" s="287"/>
      <c r="BV232" s="267"/>
      <c r="BW232" s="288"/>
      <c r="BX232" s="287"/>
      <c r="BY232" s="265"/>
      <c r="BZ232" s="286"/>
      <c r="CB232" s="288"/>
      <c r="CC232" s="287"/>
      <c r="CD232" s="267"/>
      <c r="CE232" s="288"/>
      <c r="CF232" s="287"/>
      <c r="CG232" s="267"/>
      <c r="CH232" s="288"/>
      <c r="CI232" s="287"/>
      <c r="CJ232" s="267"/>
      <c r="CK232" s="288"/>
      <c r="CL232" s="287"/>
      <c r="CM232" s="265"/>
      <c r="CN232" s="286"/>
    </row>
    <row r="233" spans="2:92" ht="72" thickBot="1" x14ac:dyDescent="0.25">
      <c r="B233" s="970"/>
      <c r="C233" s="976"/>
      <c r="D233" s="949"/>
      <c r="E233" s="946"/>
      <c r="F233" s="951"/>
      <c r="G233" s="385" t="str">
        <f>+'Plan de Accion apoyo transversa'!X44</f>
        <v>Entrega de Informes de Evaluación y Seguimiento de los Requerimientos Legales Internos en el marco de la normatividad vigente</v>
      </c>
      <c r="H233" s="280" t="str">
        <f>+'Plan de Accion apoyo transversa'!AK44</f>
        <v># de Informes Legales Internos presentados en cada trimestre Indicador Variable acumulado y de eficacia</v>
      </c>
      <c r="J233" s="283">
        <f>+'Plan de Accion apoyo transversa'!AT44</f>
        <v>5</v>
      </c>
      <c r="K233" s="615">
        <f>+'Plan de Accion apoyo transversa'!CE44</f>
        <v>1</v>
      </c>
      <c r="L233" s="615">
        <f>IF(K233&gt;100%,100%,K233)</f>
        <v>1</v>
      </c>
      <c r="M233" s="615">
        <f>+'Plan de Accion apoyo transversa'!AX44</f>
        <v>0.25</v>
      </c>
      <c r="N233" s="615">
        <f t="shared" si="113"/>
        <v>0.25</v>
      </c>
      <c r="O233" s="617">
        <f t="shared" si="114"/>
        <v>0.25</v>
      </c>
      <c r="P233" s="277"/>
      <c r="Q233" s="283">
        <f>+'Plan de Accion apoyo transversa'!BD44</f>
        <v>0</v>
      </c>
      <c r="R233" s="315">
        <f>+'Plan de Accion apoyo transversa'!CG44</f>
        <v>0</v>
      </c>
      <c r="S233" s="276">
        <f t="shared" si="115"/>
        <v>0</v>
      </c>
      <c r="T233" s="373">
        <f>+'Plan de Accion apoyo transversa'!BH44</f>
        <v>0.25</v>
      </c>
      <c r="U233" s="373">
        <f t="shared" si="116"/>
        <v>0.25</v>
      </c>
      <c r="V233" s="275">
        <f t="shared" si="117"/>
        <v>0.25</v>
      </c>
      <c r="W233" s="278"/>
      <c r="X233" s="283">
        <f>+'Plan de Accion apoyo transversa'!BN44</f>
        <v>0</v>
      </c>
      <c r="Y233" s="315">
        <f>+'Plan de Accion apoyo transversa'!CI44</f>
        <v>0</v>
      </c>
      <c r="Z233" s="276">
        <f t="shared" si="118"/>
        <v>0</v>
      </c>
      <c r="AA233" s="282">
        <f>+'Plan de Accion apoyo transversa'!BR44</f>
        <v>0.25</v>
      </c>
      <c r="AB233" s="282">
        <f t="shared" si="119"/>
        <v>0.25</v>
      </c>
      <c r="AC233" s="281">
        <f t="shared" si="120"/>
        <v>0.25</v>
      </c>
      <c r="AD233" s="277"/>
      <c r="AE233" s="283">
        <f>+'Plan de Accion apoyo transversa'!BX44</f>
        <v>0</v>
      </c>
      <c r="AF233" s="315">
        <f>+'Plan de Accion apoyo transversa'!CK44</f>
        <v>0</v>
      </c>
      <c r="AG233" s="276">
        <f t="shared" si="121"/>
        <v>0</v>
      </c>
      <c r="AH233" s="315">
        <f>+'Plan de Accion apoyo transversa'!CB44</f>
        <v>0.25</v>
      </c>
      <c r="AI233" s="275">
        <f t="shared" si="122"/>
        <v>0.25</v>
      </c>
      <c r="AJ233" s="286"/>
      <c r="AL233" s="288"/>
      <c r="AM233" s="287"/>
      <c r="AN233" s="267"/>
      <c r="AO233" s="288"/>
      <c r="AP233" s="287"/>
      <c r="AQ233" s="267"/>
      <c r="AR233" s="288"/>
      <c r="AS233" s="287"/>
      <c r="AT233" s="267"/>
      <c r="AU233" s="288"/>
      <c r="AV233" s="287"/>
      <c r="AW233" s="265"/>
      <c r="AX233" s="286"/>
      <c r="AZ233" s="288"/>
      <c r="BA233" s="287"/>
      <c r="BB233" s="267"/>
      <c r="BC233" s="288"/>
      <c r="BD233" s="287"/>
      <c r="BE233" s="267"/>
      <c r="BF233" s="288"/>
      <c r="BG233" s="287"/>
      <c r="BH233" s="267"/>
      <c r="BI233" s="288"/>
      <c r="BJ233" s="287"/>
      <c r="BK233" s="265"/>
      <c r="BL233" s="286"/>
      <c r="BN233" s="288"/>
      <c r="BO233" s="287"/>
      <c r="BP233" s="267"/>
      <c r="BQ233" s="288"/>
      <c r="BR233" s="287"/>
      <c r="BS233" s="267"/>
      <c r="BT233" s="288"/>
      <c r="BU233" s="287"/>
      <c r="BV233" s="267"/>
      <c r="BW233" s="288"/>
      <c r="BX233" s="287"/>
      <c r="BY233" s="265"/>
      <c r="BZ233" s="286"/>
      <c r="CB233" s="288"/>
      <c r="CC233" s="287"/>
      <c r="CD233" s="267"/>
      <c r="CE233" s="288"/>
      <c r="CF233" s="287"/>
      <c r="CG233" s="267"/>
      <c r="CH233" s="288"/>
      <c r="CI233" s="287"/>
      <c r="CJ233" s="267"/>
      <c r="CK233" s="288"/>
      <c r="CL233" s="287"/>
      <c r="CM233" s="265"/>
      <c r="CN233" s="286"/>
    </row>
    <row r="234" spans="2:92" ht="57.75" thickBot="1" x14ac:dyDescent="0.25">
      <c r="B234" s="970"/>
      <c r="C234" s="976"/>
      <c r="D234" s="949"/>
      <c r="E234" s="946"/>
      <c r="F234" s="951"/>
      <c r="G234" s="385" t="str">
        <f>+'Plan de Accion apoyo transversa'!X46</f>
        <v>Seguimientos al Plan de Mejoramiento suscrito con la CGR</v>
      </c>
      <c r="H234" s="280" t="str">
        <f>+'Plan de Accion apoyo transversa'!AK46</f>
        <v># de seguimientos realizados según normatividad vigente
Indicador acumulado y de eficacia</v>
      </c>
      <c r="J234" s="283">
        <f>+'Plan de Accion apoyo transversa'!AT46</f>
        <v>1</v>
      </c>
      <c r="K234" s="615">
        <f>+'Plan de Accion apoyo transversa'!CE46</f>
        <v>1</v>
      </c>
      <c r="L234" s="615">
        <f>IF(K234&gt;100%,100%,K234)</f>
        <v>1</v>
      </c>
      <c r="M234" s="615">
        <f>+'Plan de Accion apoyo transversa'!AX46</f>
        <v>0.5</v>
      </c>
      <c r="N234" s="615">
        <f t="shared" si="113"/>
        <v>0.5</v>
      </c>
      <c r="O234" s="617">
        <f t="shared" si="114"/>
        <v>0.5</v>
      </c>
      <c r="P234" s="277"/>
      <c r="Q234" s="283">
        <f>+'Plan de Accion apoyo transversa'!BD46</f>
        <v>0</v>
      </c>
      <c r="R234" s="315" t="str">
        <f>+'Plan de Accion apoyo transversa'!CG46</f>
        <v>No Prog ni Ejec</v>
      </c>
      <c r="S234" s="276" t="s">
        <v>206</v>
      </c>
      <c r="T234" s="373">
        <f>+'Plan de Accion apoyo transversa'!BH46</f>
        <v>0.5</v>
      </c>
      <c r="U234" s="373">
        <f t="shared" si="116"/>
        <v>0.5</v>
      </c>
      <c r="V234" s="275">
        <f t="shared" si="117"/>
        <v>0.5</v>
      </c>
      <c r="W234" s="278"/>
      <c r="X234" s="283">
        <f>+'Plan de Accion apoyo transversa'!BN46</f>
        <v>0</v>
      </c>
      <c r="Y234" s="315">
        <f>+'Plan de Accion apoyo transversa'!CI46</f>
        <v>0</v>
      </c>
      <c r="Z234" s="276">
        <f t="shared" si="118"/>
        <v>0</v>
      </c>
      <c r="AA234" s="282">
        <f>+'Plan de Accion apoyo transversa'!BR46</f>
        <v>0.5</v>
      </c>
      <c r="AB234" s="282">
        <f t="shared" si="119"/>
        <v>0.5</v>
      </c>
      <c r="AC234" s="281">
        <f t="shared" si="120"/>
        <v>0.5</v>
      </c>
      <c r="AD234" s="277"/>
      <c r="AE234" s="283">
        <f>+'Plan de Accion apoyo transversa'!BX46</f>
        <v>0</v>
      </c>
      <c r="AF234" s="315" t="str">
        <f>+'Plan de Accion apoyo transversa'!CK46</f>
        <v>No Prog ni Ejec</v>
      </c>
      <c r="AG234" s="276" t="s">
        <v>206</v>
      </c>
      <c r="AH234" s="315">
        <f>+'Plan de Accion apoyo transversa'!CB46</f>
        <v>0.5</v>
      </c>
      <c r="AI234" s="275">
        <f t="shared" si="122"/>
        <v>0.5</v>
      </c>
      <c r="AJ234" s="286"/>
      <c r="AL234" s="288"/>
      <c r="AM234" s="287"/>
      <c r="AN234" s="267"/>
      <c r="AO234" s="288"/>
      <c r="AP234" s="287"/>
      <c r="AQ234" s="267"/>
      <c r="AR234" s="288"/>
      <c r="AS234" s="287"/>
      <c r="AT234" s="267"/>
      <c r="AU234" s="288"/>
      <c r="AV234" s="287"/>
      <c r="AW234" s="265"/>
      <c r="AX234" s="286"/>
      <c r="AZ234" s="288"/>
      <c r="BA234" s="287"/>
      <c r="BB234" s="267"/>
      <c r="BC234" s="288"/>
      <c r="BD234" s="287"/>
      <c r="BE234" s="267"/>
      <c r="BF234" s="288"/>
      <c r="BG234" s="287"/>
      <c r="BH234" s="267"/>
      <c r="BI234" s="288"/>
      <c r="BJ234" s="287"/>
      <c r="BK234" s="265"/>
      <c r="BL234" s="286"/>
      <c r="BN234" s="288"/>
      <c r="BO234" s="287"/>
      <c r="BP234" s="267"/>
      <c r="BQ234" s="288"/>
      <c r="BR234" s="287"/>
      <c r="BS234" s="267"/>
      <c r="BT234" s="288"/>
      <c r="BU234" s="287"/>
      <c r="BV234" s="267"/>
      <c r="BW234" s="288"/>
      <c r="BX234" s="287"/>
      <c r="BY234" s="265"/>
      <c r="BZ234" s="286"/>
      <c r="CB234" s="288"/>
      <c r="CC234" s="287"/>
      <c r="CD234" s="267"/>
      <c r="CE234" s="288"/>
      <c r="CF234" s="287"/>
      <c r="CG234" s="267"/>
      <c r="CH234" s="288"/>
      <c r="CI234" s="287"/>
      <c r="CJ234" s="267"/>
      <c r="CK234" s="288"/>
      <c r="CL234" s="287"/>
      <c r="CM234" s="265"/>
      <c r="CN234" s="286"/>
    </row>
    <row r="235" spans="2:92" ht="100.5" thickBot="1" x14ac:dyDescent="0.25">
      <c r="B235" s="970"/>
      <c r="C235" s="976"/>
      <c r="D235" s="949"/>
      <c r="E235" s="946"/>
      <c r="F235" s="948" t="s">
        <v>338</v>
      </c>
      <c r="G235" s="385" t="str">
        <f>+'Plan de Accion apoyo transversa'!X48</f>
        <v>Reuniones de autocontrol y seguimiento a  los procesos que evidencien monitoreo a los riesgos, indicadores, planes de mejoramiento, manuales y documentos asociados</v>
      </c>
      <c r="H235" s="280" t="str">
        <f>+'Plan de Accion apoyo transversa'!AK48</f>
        <v># reuniones realizadas</v>
      </c>
      <c r="J235" s="283">
        <f>+'Plan de Accion apoyo transversa'!AT48</f>
        <v>0</v>
      </c>
      <c r="K235" s="615" t="str">
        <f>+'Plan de Accion apoyo transversa'!CE48</f>
        <v>No Prog ni Ejec</v>
      </c>
      <c r="L235" s="615" t="s">
        <v>206</v>
      </c>
      <c r="M235" s="615">
        <f>+'Plan de Accion apoyo transversa'!AX48</f>
        <v>0</v>
      </c>
      <c r="N235" s="615">
        <f t="shared" si="113"/>
        <v>0</v>
      </c>
      <c r="O235" s="617" t="s">
        <v>206</v>
      </c>
      <c r="P235" s="277"/>
      <c r="Q235" s="283">
        <f>+'Plan de Accion apoyo transversa'!BD48</f>
        <v>0</v>
      </c>
      <c r="R235" s="315">
        <f>+'Plan de Accion apoyo transversa'!CG48</f>
        <v>0</v>
      </c>
      <c r="S235" s="276">
        <f t="shared" si="115"/>
        <v>0</v>
      </c>
      <c r="T235" s="373">
        <f>+'Plan de Accion apoyo transversa'!BH48</f>
        <v>0</v>
      </c>
      <c r="U235" s="373">
        <f t="shared" si="116"/>
        <v>0</v>
      </c>
      <c r="V235" s="275">
        <f t="shared" si="117"/>
        <v>0</v>
      </c>
      <c r="W235" s="278"/>
      <c r="X235" s="283">
        <f>+'Plan de Accion apoyo transversa'!BN48</f>
        <v>0</v>
      </c>
      <c r="Y235" s="315">
        <f>+'Plan de Accion apoyo transversa'!CI48</f>
        <v>0</v>
      </c>
      <c r="Z235" s="276">
        <f t="shared" si="118"/>
        <v>0</v>
      </c>
      <c r="AA235" s="282">
        <f>+'Plan de Accion apoyo transversa'!BR48</f>
        <v>0</v>
      </c>
      <c r="AB235" s="282">
        <f t="shared" si="119"/>
        <v>0</v>
      </c>
      <c r="AC235" s="281">
        <f t="shared" si="120"/>
        <v>0</v>
      </c>
      <c r="AD235" s="277"/>
      <c r="AE235" s="283">
        <f>+'Plan de Accion apoyo transversa'!BX48</f>
        <v>0</v>
      </c>
      <c r="AF235" s="315">
        <f>+'Plan de Accion apoyo transversa'!CK48</f>
        <v>0</v>
      </c>
      <c r="AG235" s="276">
        <f t="shared" si="121"/>
        <v>0</v>
      </c>
      <c r="AH235" s="315">
        <f>+'Plan de Accion apoyo transversa'!CB48</f>
        <v>0</v>
      </c>
      <c r="AI235" s="275">
        <f t="shared" si="122"/>
        <v>0</v>
      </c>
      <c r="AJ235" s="286"/>
      <c r="AL235" s="288"/>
      <c r="AM235" s="287"/>
      <c r="AN235" s="267"/>
      <c r="AO235" s="288"/>
      <c r="AP235" s="287"/>
      <c r="AQ235" s="267"/>
      <c r="AR235" s="288"/>
      <c r="AS235" s="287"/>
      <c r="AT235" s="267"/>
      <c r="AU235" s="288"/>
      <c r="AV235" s="287"/>
      <c r="AW235" s="265"/>
      <c r="AX235" s="286"/>
      <c r="AZ235" s="288"/>
      <c r="BA235" s="287"/>
      <c r="BB235" s="267"/>
      <c r="BC235" s="288"/>
      <c r="BD235" s="287"/>
      <c r="BE235" s="267"/>
      <c r="BF235" s="288"/>
      <c r="BG235" s="287"/>
      <c r="BH235" s="267"/>
      <c r="BI235" s="288"/>
      <c r="BJ235" s="287"/>
      <c r="BK235" s="265"/>
      <c r="BL235" s="286"/>
      <c r="BN235" s="288"/>
      <c r="BO235" s="287"/>
      <c r="BP235" s="267"/>
      <c r="BQ235" s="288"/>
      <c r="BR235" s="287"/>
      <c r="BS235" s="267"/>
      <c r="BT235" s="288"/>
      <c r="BU235" s="287"/>
      <c r="BV235" s="267"/>
      <c r="BW235" s="288"/>
      <c r="BX235" s="287"/>
      <c r="BY235" s="265"/>
      <c r="BZ235" s="286"/>
      <c r="CB235" s="288"/>
      <c r="CC235" s="287"/>
      <c r="CD235" s="267"/>
      <c r="CE235" s="288"/>
      <c r="CF235" s="287"/>
      <c r="CG235" s="267"/>
      <c r="CH235" s="288"/>
      <c r="CI235" s="287"/>
      <c r="CJ235" s="267"/>
      <c r="CK235" s="288"/>
      <c r="CL235" s="287"/>
      <c r="CM235" s="265"/>
      <c r="CN235" s="286"/>
    </row>
    <row r="236" spans="2:92" ht="57.75" thickBot="1" x14ac:dyDescent="0.25">
      <c r="B236" s="970"/>
      <c r="C236" s="976"/>
      <c r="D236" s="950"/>
      <c r="E236" s="947"/>
      <c r="F236" s="950"/>
      <c r="G236" s="385" t="str">
        <f>+'Plan de Accion apoyo transversa'!X161</f>
        <v>Informes de seguimiento a los Mapas de Riesgos con corte 30 de abril, 31 de agosto y 31 de diciembre</v>
      </c>
      <c r="H236" s="280" t="str">
        <f>+'Plan de Accion apoyo transversa'!AK161</f>
        <v># Informes de seguimiento a los Mapas de Riesgos</v>
      </c>
      <c r="J236" s="283">
        <f>+'Plan de Accion apoyo transversa'!AT161</f>
        <v>1</v>
      </c>
      <c r="K236" s="615">
        <f>+'Plan de Accion apoyo transversa'!CE161</f>
        <v>1</v>
      </c>
      <c r="L236" s="615">
        <f>IF(K236&gt;100%,100%,K236)</f>
        <v>1</v>
      </c>
      <c r="M236" s="615">
        <f>+'Plan de Accion apoyo transversa'!AX161</f>
        <v>0.33333333333333331</v>
      </c>
      <c r="N236" s="615">
        <f t="shared" si="113"/>
        <v>0.33333333333333331</v>
      </c>
      <c r="O236" s="617">
        <f t="shared" si="114"/>
        <v>0.33333333333333331</v>
      </c>
      <c r="P236" s="277"/>
      <c r="Q236" s="283">
        <f>+'Plan de Accion apoyo transversa'!BD161</f>
        <v>0</v>
      </c>
      <c r="R236" s="315">
        <f>+'Plan de Accion apoyo transversa'!CG161</f>
        <v>0</v>
      </c>
      <c r="S236" s="276">
        <f>IF(R236&gt;100%,100%,R236)</f>
        <v>0</v>
      </c>
      <c r="T236" s="373">
        <f>+'Plan de Accion apoyo transversa'!BH161</f>
        <v>0.33333333333333331</v>
      </c>
      <c r="U236" s="373">
        <f>IF(T236&gt;100%,100%,T236)</f>
        <v>0.33333333333333331</v>
      </c>
      <c r="V236" s="275">
        <f>+U236</f>
        <v>0.33333333333333331</v>
      </c>
      <c r="W236" s="278"/>
      <c r="X236" s="283">
        <f>+'Plan de Accion apoyo transversa'!BN161</f>
        <v>0</v>
      </c>
      <c r="Y236" s="315">
        <f>+'Plan de Accion apoyo transversa'!CI161</f>
        <v>0</v>
      </c>
      <c r="Z236" s="276">
        <f>IF(Y236&gt;100%,100%,Y236)</f>
        <v>0</v>
      </c>
      <c r="AA236" s="282">
        <f>+'Plan de Accion apoyo transversa'!BR161</f>
        <v>0.33333333333333331</v>
      </c>
      <c r="AB236" s="282">
        <f>IF(AA236&gt;100%,100%,AA236)</f>
        <v>0.33333333333333331</v>
      </c>
      <c r="AC236" s="281">
        <f>+AB236</f>
        <v>0.33333333333333331</v>
      </c>
      <c r="AD236" s="277"/>
      <c r="AE236" s="283">
        <f>+'Plan de Accion apoyo transversa'!BX161</f>
        <v>0</v>
      </c>
      <c r="AF236" s="315" t="str">
        <f>+'Plan de Accion apoyo transversa'!CK161</f>
        <v>No Prog ni Ejec</v>
      </c>
      <c r="AG236" s="276" t="s">
        <v>206</v>
      </c>
      <c r="AH236" s="315">
        <f>+'Plan de Accion apoyo transversa'!CB161</f>
        <v>0.33333333333333331</v>
      </c>
      <c r="AI236" s="275">
        <f>IF(AH236&gt;100%,100%,AH236)</f>
        <v>0.33333333333333331</v>
      </c>
      <c r="AJ236" s="286"/>
      <c r="AL236" s="381"/>
      <c r="AM236" s="287"/>
      <c r="AN236" s="267"/>
      <c r="AO236" s="381"/>
      <c r="AP236" s="287"/>
      <c r="AQ236" s="267"/>
      <c r="AR236" s="381"/>
      <c r="AS236" s="287"/>
      <c r="AT236" s="267"/>
      <c r="AU236" s="381"/>
      <c r="AV236" s="287"/>
      <c r="AW236" s="265"/>
      <c r="AX236" s="286"/>
      <c r="AZ236" s="381"/>
      <c r="BA236" s="287"/>
      <c r="BB236" s="267"/>
      <c r="BC236" s="381"/>
      <c r="BD236" s="287"/>
      <c r="BE236" s="267"/>
      <c r="BF236" s="381"/>
      <c r="BG236" s="287"/>
      <c r="BH236" s="267"/>
      <c r="BI236" s="381"/>
      <c r="BJ236" s="287"/>
      <c r="BK236" s="265"/>
      <c r="BL236" s="286"/>
      <c r="BN236" s="381"/>
      <c r="BO236" s="287"/>
      <c r="BP236" s="267"/>
      <c r="BQ236" s="381"/>
      <c r="BR236" s="287"/>
      <c r="BS236" s="267"/>
      <c r="BT236" s="381"/>
      <c r="BU236" s="287"/>
      <c r="BV236" s="267"/>
      <c r="BW236" s="381"/>
      <c r="BX236" s="287"/>
      <c r="BY236" s="265"/>
      <c r="BZ236" s="286"/>
      <c r="CB236" s="381"/>
      <c r="CC236" s="287"/>
      <c r="CD236" s="267"/>
      <c r="CE236" s="381"/>
      <c r="CF236" s="287"/>
      <c r="CG236" s="267"/>
      <c r="CH236" s="381"/>
      <c r="CI236" s="287"/>
      <c r="CJ236" s="267"/>
      <c r="CK236" s="381"/>
      <c r="CL236" s="287"/>
      <c r="CM236" s="265"/>
      <c r="CN236" s="286"/>
    </row>
    <row r="237" spans="2:92" ht="29.25" thickBot="1" x14ac:dyDescent="0.25">
      <c r="B237" s="970"/>
      <c r="C237" s="976"/>
      <c r="D237" s="948" t="s">
        <v>206</v>
      </c>
      <c r="E237" s="945" t="s">
        <v>14</v>
      </c>
      <c r="F237" s="948" t="s">
        <v>339</v>
      </c>
      <c r="G237" s="385" t="str">
        <f>+'Plan de Accion apoyo transversa'!X49</f>
        <v xml:space="preserve">Archivo documental transferido al custodio final </v>
      </c>
      <c r="H237" s="280" t="str">
        <f>+'Plan de Accion apoyo transversa'!AK49</f>
        <v># Cajas Transferidas por trimestre</v>
      </c>
      <c r="J237" s="283">
        <f>+'Plan de Accion apoyo transversa'!AT49</f>
        <v>84</v>
      </c>
      <c r="K237" s="615">
        <f>+'Plan de Accion apoyo transversa'!CE49</f>
        <v>0.84</v>
      </c>
      <c r="L237" s="615">
        <f>IF(K237&gt;100%,100%,K237)</f>
        <v>0.84</v>
      </c>
      <c r="M237" s="615">
        <f>+'Plan de Accion apoyo transversa'!AX49</f>
        <v>0.10357583230579531</v>
      </c>
      <c r="N237" s="615">
        <f t="shared" si="113"/>
        <v>0.10357583230579531</v>
      </c>
      <c r="O237" s="617">
        <f t="shared" si="114"/>
        <v>0.10357583230579531</v>
      </c>
      <c r="P237" s="277"/>
      <c r="Q237" s="283">
        <f>+'Plan de Accion apoyo transversa'!BD49</f>
        <v>0</v>
      </c>
      <c r="R237" s="315">
        <f>+'Plan de Accion apoyo transversa'!CG49</f>
        <v>0</v>
      </c>
      <c r="S237" s="276">
        <f t="shared" si="115"/>
        <v>0</v>
      </c>
      <c r="T237" s="373">
        <f>+'Plan de Accion apoyo transversa'!BH49</f>
        <v>0.10357583230579531</v>
      </c>
      <c r="U237" s="373">
        <f t="shared" si="116"/>
        <v>0.10357583230579531</v>
      </c>
      <c r="V237" s="275">
        <f t="shared" si="117"/>
        <v>0.10357583230579531</v>
      </c>
      <c r="W237" s="278"/>
      <c r="X237" s="283">
        <f>+'Plan de Accion apoyo transversa'!BN49</f>
        <v>0</v>
      </c>
      <c r="Y237" s="315">
        <f>+'Plan de Accion apoyo transversa'!CI49</f>
        <v>0</v>
      </c>
      <c r="Z237" s="276">
        <f t="shared" si="118"/>
        <v>0</v>
      </c>
      <c r="AA237" s="282">
        <f>+'Plan de Accion apoyo transversa'!BR49</f>
        <v>0.10357583230579531</v>
      </c>
      <c r="AB237" s="282">
        <f t="shared" si="119"/>
        <v>0.10357583230579531</v>
      </c>
      <c r="AC237" s="281">
        <f t="shared" si="120"/>
        <v>0.10357583230579531</v>
      </c>
      <c r="AD237" s="277"/>
      <c r="AE237" s="283">
        <f>+'Plan de Accion apoyo transversa'!BX49</f>
        <v>0</v>
      </c>
      <c r="AF237" s="315">
        <f>+'Plan de Accion apoyo transversa'!CK49</f>
        <v>0</v>
      </c>
      <c r="AG237" s="276">
        <f t="shared" si="121"/>
        <v>0</v>
      </c>
      <c r="AH237" s="315">
        <f>+'Plan de Accion apoyo transversa'!CB49</f>
        <v>0.10357583230579531</v>
      </c>
      <c r="AI237" s="275">
        <f t="shared" si="122"/>
        <v>0.10357583230579531</v>
      </c>
      <c r="AJ237" s="286"/>
      <c r="AL237" s="288"/>
      <c r="AM237" s="287"/>
      <c r="AN237" s="267"/>
      <c r="AO237" s="288"/>
      <c r="AP237" s="287"/>
      <c r="AQ237" s="267"/>
      <c r="AR237" s="288"/>
      <c r="AS237" s="287"/>
      <c r="AT237" s="267"/>
      <c r="AU237" s="288"/>
      <c r="AV237" s="287"/>
      <c r="AW237" s="265"/>
      <c r="AX237" s="286"/>
      <c r="AZ237" s="288"/>
      <c r="BA237" s="287"/>
      <c r="BB237" s="267"/>
      <c r="BC237" s="288"/>
      <c r="BD237" s="287"/>
      <c r="BE237" s="267"/>
      <c r="BF237" s="288"/>
      <c r="BG237" s="287"/>
      <c r="BH237" s="267"/>
      <c r="BI237" s="288"/>
      <c r="BJ237" s="287"/>
      <c r="BK237" s="265"/>
      <c r="BL237" s="286"/>
      <c r="BN237" s="288"/>
      <c r="BO237" s="287"/>
      <c r="BP237" s="267"/>
      <c r="BQ237" s="288"/>
      <c r="BR237" s="287"/>
      <c r="BS237" s="267"/>
      <c r="BT237" s="288"/>
      <c r="BU237" s="287"/>
      <c r="BV237" s="267"/>
      <c r="BW237" s="288"/>
      <c r="BX237" s="287"/>
      <c r="BY237" s="265"/>
      <c r="BZ237" s="286"/>
      <c r="CB237" s="288"/>
      <c r="CC237" s="287"/>
      <c r="CD237" s="267"/>
      <c r="CE237" s="288"/>
      <c r="CF237" s="287"/>
      <c r="CG237" s="267"/>
      <c r="CH237" s="288"/>
      <c r="CI237" s="287"/>
      <c r="CJ237" s="267"/>
      <c r="CK237" s="288"/>
      <c r="CL237" s="287"/>
      <c r="CM237" s="265"/>
      <c r="CN237" s="286"/>
    </row>
    <row r="238" spans="2:92" ht="57.75" thickBot="1" x14ac:dyDescent="0.25">
      <c r="B238" s="970"/>
      <c r="C238" s="976"/>
      <c r="D238" s="949"/>
      <c r="E238" s="946"/>
      <c r="F238" s="949"/>
      <c r="G238" s="385" t="str">
        <f>+'Plan de Accion apoyo transversa'!X50</f>
        <v>Tablas de Retención Documental - TRD actualizadas y aprobadas</v>
      </c>
      <c r="H238" s="280" t="str">
        <f>+'Plan de Accion apoyo transversa'!AK50</f>
        <v># TRD actualizadas y aprobadas / # de TRD generadas y aprobadas en la vigencia 2018</v>
      </c>
      <c r="J238" s="279">
        <f>+'Plan de Accion apoyo transversa'!AT50</f>
        <v>0</v>
      </c>
      <c r="K238" s="615" t="str">
        <f>+'Plan de Accion apoyo transversa'!CE50</f>
        <v>No Prog ni Ejec</v>
      </c>
      <c r="L238" s="615" t="s">
        <v>206</v>
      </c>
      <c r="M238" s="615">
        <f>+'Plan de Accion apoyo transversa'!AX50</f>
        <v>0</v>
      </c>
      <c r="N238" s="615">
        <f t="shared" si="113"/>
        <v>0</v>
      </c>
      <c r="O238" s="617" t="s">
        <v>206</v>
      </c>
      <c r="P238" s="277"/>
      <c r="Q238" s="279">
        <f>+'Plan de Accion apoyo transversa'!BD50</f>
        <v>0</v>
      </c>
      <c r="R238" s="315" t="str">
        <f>+'Plan de Accion apoyo transversa'!CG50</f>
        <v>No Prog ni Ejec</v>
      </c>
      <c r="S238" s="276" t="s">
        <v>206</v>
      </c>
      <c r="T238" s="373">
        <f>+'Plan de Accion apoyo transversa'!BH50</f>
        <v>0</v>
      </c>
      <c r="U238" s="373">
        <f t="shared" si="116"/>
        <v>0</v>
      </c>
      <c r="V238" s="275" t="s">
        <v>206</v>
      </c>
      <c r="W238" s="278"/>
      <c r="X238" s="279">
        <f>+'Plan de Accion apoyo transversa'!BN50</f>
        <v>0</v>
      </c>
      <c r="Y238" s="315">
        <f>+'Plan de Accion apoyo transversa'!CI50</f>
        <v>0</v>
      </c>
      <c r="Z238" s="276">
        <f t="shared" si="118"/>
        <v>0</v>
      </c>
      <c r="AA238" s="282">
        <f>+'Plan de Accion apoyo transversa'!BR50</f>
        <v>0</v>
      </c>
      <c r="AB238" s="282">
        <f t="shared" si="119"/>
        <v>0</v>
      </c>
      <c r="AC238" s="281">
        <f t="shared" si="120"/>
        <v>0</v>
      </c>
      <c r="AD238" s="277"/>
      <c r="AE238" s="279">
        <f>+'Plan de Accion apoyo transversa'!BX50</f>
        <v>0</v>
      </c>
      <c r="AF238" s="315" t="str">
        <f>+'Plan de Accion apoyo transversa'!CK50</f>
        <v>No Prog ni Ejec</v>
      </c>
      <c r="AG238" s="276" t="s">
        <v>206</v>
      </c>
      <c r="AH238" s="315">
        <f>+'Plan de Accion apoyo transversa'!CB50</f>
        <v>0</v>
      </c>
      <c r="AI238" s="275">
        <f t="shared" si="122"/>
        <v>0</v>
      </c>
      <c r="AJ238" s="286"/>
      <c r="AL238" s="288"/>
      <c r="AM238" s="287"/>
      <c r="AN238" s="267"/>
      <c r="AO238" s="288"/>
      <c r="AP238" s="287"/>
      <c r="AQ238" s="267"/>
      <c r="AR238" s="288"/>
      <c r="AS238" s="287"/>
      <c r="AT238" s="267"/>
      <c r="AU238" s="288"/>
      <c r="AV238" s="287"/>
      <c r="AW238" s="265"/>
      <c r="AX238" s="286"/>
      <c r="AZ238" s="288"/>
      <c r="BA238" s="287"/>
      <c r="BB238" s="267"/>
      <c r="BC238" s="288"/>
      <c r="BD238" s="287"/>
      <c r="BE238" s="267"/>
      <c r="BF238" s="288"/>
      <c r="BG238" s="287"/>
      <c r="BH238" s="267"/>
      <c r="BI238" s="288"/>
      <c r="BJ238" s="287"/>
      <c r="BK238" s="265"/>
      <c r="BL238" s="286"/>
      <c r="BN238" s="288"/>
      <c r="BO238" s="287"/>
      <c r="BP238" s="267"/>
      <c r="BQ238" s="288"/>
      <c r="BR238" s="287"/>
      <c r="BS238" s="267"/>
      <c r="BT238" s="288"/>
      <c r="BU238" s="287"/>
      <c r="BV238" s="267"/>
      <c r="BW238" s="288"/>
      <c r="BX238" s="287"/>
      <c r="BY238" s="265"/>
      <c r="BZ238" s="286"/>
      <c r="CB238" s="288"/>
      <c r="CC238" s="287"/>
      <c r="CD238" s="267"/>
      <c r="CE238" s="288"/>
      <c r="CF238" s="287"/>
      <c r="CG238" s="267"/>
      <c r="CH238" s="288"/>
      <c r="CI238" s="287"/>
      <c r="CJ238" s="267"/>
      <c r="CK238" s="288"/>
      <c r="CL238" s="287"/>
      <c r="CM238" s="265"/>
      <c r="CN238" s="286"/>
    </row>
    <row r="239" spans="2:92" ht="57.75" thickBot="1" x14ac:dyDescent="0.25">
      <c r="B239" s="970"/>
      <c r="C239" s="976"/>
      <c r="D239" s="949"/>
      <c r="E239" s="946"/>
      <c r="F239" s="949"/>
      <c r="G239" s="385" t="str">
        <f>+'Plan de Accion apoyo transversa'!X51</f>
        <v>Estudios técnicos, de mercado y económicos para la valoración documental</v>
      </c>
      <c r="H239" s="280" t="str">
        <f>+'Plan de Accion apoyo transversa'!AK51</f>
        <v># Estudios técnicos, de mercado y económicos para la valoración documental realizados</v>
      </c>
      <c r="J239" s="283">
        <f>+'Plan de Accion apoyo transversa'!AT51</f>
        <v>0</v>
      </c>
      <c r="K239" s="615" t="str">
        <f>+'Plan de Accion apoyo transversa'!CE51</f>
        <v>No Prog ni Ejec</v>
      </c>
      <c r="L239" s="615" t="s">
        <v>206</v>
      </c>
      <c r="M239" s="615">
        <f>+'Plan de Accion apoyo transversa'!AX51</f>
        <v>0</v>
      </c>
      <c r="N239" s="615">
        <f t="shared" si="113"/>
        <v>0</v>
      </c>
      <c r="O239" s="617" t="s">
        <v>206</v>
      </c>
      <c r="P239" s="277"/>
      <c r="Q239" s="283">
        <f>+'Plan de Accion apoyo transversa'!BD51</f>
        <v>0</v>
      </c>
      <c r="R239" s="315" t="str">
        <f>+'Plan de Accion apoyo transversa'!CG51</f>
        <v>No Prog ni Ejec</v>
      </c>
      <c r="S239" s="276" t="s">
        <v>206</v>
      </c>
      <c r="T239" s="373">
        <f>+'Plan de Accion apoyo transversa'!BH51</f>
        <v>0</v>
      </c>
      <c r="U239" s="373">
        <f t="shared" si="116"/>
        <v>0</v>
      </c>
      <c r="V239" s="275" t="s">
        <v>206</v>
      </c>
      <c r="W239" s="278"/>
      <c r="X239" s="283">
        <f>+'Plan de Accion apoyo transversa'!BN51</f>
        <v>0</v>
      </c>
      <c r="Y239" s="315">
        <f>+'Plan de Accion apoyo transversa'!CI51</f>
        <v>0</v>
      </c>
      <c r="Z239" s="276">
        <f t="shared" si="118"/>
        <v>0</v>
      </c>
      <c r="AA239" s="282">
        <f>+'Plan de Accion apoyo transversa'!BR51</f>
        <v>0</v>
      </c>
      <c r="AB239" s="282">
        <f t="shared" si="119"/>
        <v>0</v>
      </c>
      <c r="AC239" s="281">
        <f t="shared" si="120"/>
        <v>0</v>
      </c>
      <c r="AD239" s="277"/>
      <c r="AE239" s="283">
        <f>+'Plan de Accion apoyo transversa'!BX51</f>
        <v>0</v>
      </c>
      <c r="AF239" s="315" t="str">
        <f>+'Plan de Accion apoyo transversa'!CK51</f>
        <v>No Prog ni Ejec</v>
      </c>
      <c r="AG239" s="276" t="s">
        <v>206</v>
      </c>
      <c r="AH239" s="315">
        <f>+'Plan de Accion apoyo transversa'!CB51</f>
        <v>0</v>
      </c>
      <c r="AI239" s="275">
        <f t="shared" si="122"/>
        <v>0</v>
      </c>
      <c r="AJ239" s="286"/>
      <c r="AL239" s="288"/>
      <c r="AM239" s="287"/>
      <c r="AN239" s="267"/>
      <c r="AO239" s="288"/>
      <c r="AP239" s="287"/>
      <c r="AQ239" s="267"/>
      <c r="AR239" s="288"/>
      <c r="AS239" s="287"/>
      <c r="AT239" s="267"/>
      <c r="AU239" s="288"/>
      <c r="AV239" s="287"/>
      <c r="AW239" s="265"/>
      <c r="AX239" s="286"/>
      <c r="AZ239" s="288"/>
      <c r="BA239" s="287"/>
      <c r="BB239" s="267"/>
      <c r="BC239" s="288"/>
      <c r="BD239" s="287"/>
      <c r="BE239" s="267"/>
      <c r="BF239" s="288"/>
      <c r="BG239" s="287"/>
      <c r="BH239" s="267"/>
      <c r="BI239" s="288"/>
      <c r="BJ239" s="287"/>
      <c r="BK239" s="265"/>
      <c r="BL239" s="286"/>
      <c r="BN239" s="288"/>
      <c r="BO239" s="287"/>
      <c r="BP239" s="267"/>
      <c r="BQ239" s="288"/>
      <c r="BR239" s="287"/>
      <c r="BS239" s="267"/>
      <c r="BT239" s="288"/>
      <c r="BU239" s="287"/>
      <c r="BV239" s="267"/>
      <c r="BW239" s="288"/>
      <c r="BX239" s="287"/>
      <c r="BY239" s="265"/>
      <c r="BZ239" s="286"/>
      <c r="CB239" s="288"/>
      <c r="CC239" s="287"/>
      <c r="CD239" s="267"/>
      <c r="CE239" s="288"/>
      <c r="CF239" s="287"/>
      <c r="CG239" s="267"/>
      <c r="CH239" s="288"/>
      <c r="CI239" s="287"/>
      <c r="CJ239" s="267"/>
      <c r="CK239" s="288"/>
      <c r="CL239" s="287"/>
      <c r="CM239" s="265"/>
      <c r="CN239" s="286"/>
    </row>
    <row r="240" spans="2:92" ht="72" thickBot="1" x14ac:dyDescent="0.25">
      <c r="B240" s="970"/>
      <c r="C240" s="976"/>
      <c r="D240" s="949"/>
      <c r="E240" s="946"/>
      <c r="F240" s="950"/>
      <c r="G240" s="385" t="str">
        <f>+'Plan de Accion apoyo transversa'!X52</f>
        <v>Informe de Politica de "Cero papel" para aprobación del Comite Institucional de Gestión y Desempeño</v>
      </c>
      <c r="H240" s="280" t="str">
        <f>+'Plan de Accion apoyo transversa'!AK52</f>
        <v># Informes finales de la Politica de "Cero papel" para aprobación del Comite Institucional de Gestión y Desempeño</v>
      </c>
      <c r="J240" s="283">
        <f>+'Plan de Accion apoyo transversa'!AT52</f>
        <v>0</v>
      </c>
      <c r="K240" s="615" t="str">
        <f>+'Plan de Accion apoyo transversa'!CE52</f>
        <v>No Prog ni Ejec</v>
      </c>
      <c r="L240" s="615" t="s">
        <v>206</v>
      </c>
      <c r="M240" s="615">
        <f>+'Plan de Accion apoyo transversa'!AX52</f>
        <v>0</v>
      </c>
      <c r="N240" s="615">
        <f t="shared" si="113"/>
        <v>0</v>
      </c>
      <c r="O240" s="617" t="s">
        <v>206</v>
      </c>
      <c r="P240" s="277"/>
      <c r="Q240" s="283">
        <f>+'Plan de Accion apoyo transversa'!BD52</f>
        <v>0</v>
      </c>
      <c r="R240" s="315">
        <f>+'Plan de Accion apoyo transversa'!CG52</f>
        <v>0</v>
      </c>
      <c r="S240" s="276">
        <f t="shared" si="115"/>
        <v>0</v>
      </c>
      <c r="T240" s="373">
        <f>+'Plan de Accion apoyo transversa'!BH52</f>
        <v>0</v>
      </c>
      <c r="U240" s="373">
        <f t="shared" si="116"/>
        <v>0</v>
      </c>
      <c r="V240" s="275">
        <f t="shared" si="117"/>
        <v>0</v>
      </c>
      <c r="W240" s="278"/>
      <c r="X240" s="283">
        <f>+'Plan de Accion apoyo transversa'!BN52</f>
        <v>0</v>
      </c>
      <c r="Y240" s="315" t="str">
        <f>+'Plan de Accion apoyo transversa'!CI52</f>
        <v>No Prog ni Ejec</v>
      </c>
      <c r="Z240" s="276" t="s">
        <v>206</v>
      </c>
      <c r="AA240" s="282">
        <f>+'Plan de Accion apoyo transversa'!BR52</f>
        <v>0</v>
      </c>
      <c r="AB240" s="282">
        <f t="shared" si="119"/>
        <v>0</v>
      </c>
      <c r="AC240" s="281" t="s">
        <v>206</v>
      </c>
      <c r="AD240" s="277"/>
      <c r="AE240" s="283">
        <f>+'Plan de Accion apoyo transversa'!BX52</f>
        <v>0</v>
      </c>
      <c r="AF240" s="315" t="str">
        <f>+'Plan de Accion apoyo transversa'!CK52</f>
        <v>No Prog ni Ejec</v>
      </c>
      <c r="AG240" s="276" t="s">
        <v>206</v>
      </c>
      <c r="AH240" s="315">
        <f>+'Plan de Accion apoyo transversa'!CB52</f>
        <v>0</v>
      </c>
      <c r="AI240" s="275">
        <f t="shared" si="122"/>
        <v>0</v>
      </c>
      <c r="AJ240" s="286"/>
      <c r="AL240" s="288"/>
      <c r="AM240" s="287"/>
      <c r="AN240" s="267"/>
      <c r="AO240" s="288"/>
      <c r="AP240" s="287"/>
      <c r="AQ240" s="267"/>
      <c r="AR240" s="288"/>
      <c r="AS240" s="287"/>
      <c r="AT240" s="267"/>
      <c r="AU240" s="288"/>
      <c r="AV240" s="287"/>
      <c r="AW240" s="265"/>
      <c r="AX240" s="286"/>
      <c r="AZ240" s="288"/>
      <c r="BA240" s="287"/>
      <c r="BB240" s="267"/>
      <c r="BC240" s="288"/>
      <c r="BD240" s="287"/>
      <c r="BE240" s="267"/>
      <c r="BF240" s="288"/>
      <c r="BG240" s="287"/>
      <c r="BH240" s="267"/>
      <c r="BI240" s="288"/>
      <c r="BJ240" s="287"/>
      <c r="BK240" s="265"/>
      <c r="BL240" s="286"/>
      <c r="BN240" s="288"/>
      <c r="BO240" s="287"/>
      <c r="BP240" s="267"/>
      <c r="BQ240" s="288"/>
      <c r="BR240" s="287"/>
      <c r="BS240" s="267"/>
      <c r="BT240" s="288"/>
      <c r="BU240" s="287"/>
      <c r="BV240" s="267"/>
      <c r="BW240" s="288"/>
      <c r="BX240" s="287"/>
      <c r="BY240" s="265"/>
      <c r="BZ240" s="286"/>
      <c r="CB240" s="288"/>
      <c r="CC240" s="287"/>
      <c r="CD240" s="267"/>
      <c r="CE240" s="288"/>
      <c r="CF240" s="287"/>
      <c r="CG240" s="267"/>
      <c r="CH240" s="288"/>
      <c r="CI240" s="287"/>
      <c r="CJ240" s="267"/>
      <c r="CK240" s="288"/>
      <c r="CL240" s="287"/>
      <c r="CM240" s="265"/>
      <c r="CN240" s="286"/>
    </row>
    <row r="241" spans="2:92" ht="86.25" thickBot="1" x14ac:dyDescent="0.25">
      <c r="B241" s="970"/>
      <c r="C241" s="976"/>
      <c r="D241" s="949"/>
      <c r="E241" s="946"/>
      <c r="F241" s="949" t="s">
        <v>332</v>
      </c>
      <c r="G241" s="385" t="str">
        <f>+'Plan de Accion apoyo transversa'!X53</f>
        <v>Informe de Politica y los indicadores de gestión ambiental y someterlos a aprobación del Comité Institucional de Gestión y Desempeño</v>
      </c>
      <c r="H241" s="280" t="str">
        <f>+'Plan de Accion apoyo transversa'!AK53</f>
        <v># Informes de Politica y los indicadores de gestión ambiental para aprobación del Comité Institucional de Gestión y Desempeño</v>
      </c>
      <c r="J241" s="283">
        <f>+'Plan de Accion apoyo transversa'!AT53</f>
        <v>0</v>
      </c>
      <c r="K241" s="615" t="str">
        <f>+'Plan de Accion apoyo transversa'!CE53</f>
        <v>No Prog ni Ejec</v>
      </c>
      <c r="L241" s="615" t="s">
        <v>206</v>
      </c>
      <c r="M241" s="615">
        <f>+'Plan de Accion apoyo transversa'!AX53</f>
        <v>0</v>
      </c>
      <c r="N241" s="615">
        <f t="shared" si="113"/>
        <v>0</v>
      </c>
      <c r="O241" s="617" t="s">
        <v>206</v>
      </c>
      <c r="P241" s="277"/>
      <c r="Q241" s="283">
        <f>+'Plan de Accion apoyo transversa'!BD53</f>
        <v>0</v>
      </c>
      <c r="R241" s="315" t="str">
        <f>+'Plan de Accion apoyo transversa'!CG53</f>
        <v>No Prog ni Ejec</v>
      </c>
      <c r="S241" s="276" t="s">
        <v>206</v>
      </c>
      <c r="T241" s="373">
        <f>+'Plan de Accion apoyo transversa'!BH53</f>
        <v>0</v>
      </c>
      <c r="U241" s="373">
        <f t="shared" si="116"/>
        <v>0</v>
      </c>
      <c r="V241" s="275" t="s">
        <v>206</v>
      </c>
      <c r="W241" s="278"/>
      <c r="X241" s="283">
        <f>+'Plan de Accion apoyo transversa'!BN53</f>
        <v>0</v>
      </c>
      <c r="Y241" s="315">
        <f>+'Plan de Accion apoyo transversa'!CI53</f>
        <v>0</v>
      </c>
      <c r="Z241" s="276">
        <f t="shared" si="118"/>
        <v>0</v>
      </c>
      <c r="AA241" s="282">
        <f>+'Plan de Accion apoyo transversa'!BR53</f>
        <v>0</v>
      </c>
      <c r="AB241" s="282">
        <f t="shared" si="119"/>
        <v>0</v>
      </c>
      <c r="AC241" s="281">
        <f t="shared" si="120"/>
        <v>0</v>
      </c>
      <c r="AD241" s="277"/>
      <c r="AE241" s="283">
        <f>+'Plan de Accion apoyo transversa'!BX53</f>
        <v>0</v>
      </c>
      <c r="AF241" s="315" t="str">
        <f>+'Plan de Accion apoyo transversa'!CK53</f>
        <v>No Prog ni Ejec</v>
      </c>
      <c r="AG241" s="276" t="s">
        <v>206</v>
      </c>
      <c r="AH241" s="315">
        <f>+'Plan de Accion apoyo transversa'!CB53</f>
        <v>0</v>
      </c>
      <c r="AI241" s="275">
        <f t="shared" si="122"/>
        <v>0</v>
      </c>
      <c r="AJ241" s="286"/>
      <c r="AL241" s="288"/>
      <c r="AM241" s="287"/>
      <c r="AN241" s="267"/>
      <c r="AO241" s="288"/>
      <c r="AP241" s="287"/>
      <c r="AQ241" s="267"/>
      <c r="AR241" s="288"/>
      <c r="AS241" s="287"/>
      <c r="AT241" s="267"/>
      <c r="AU241" s="288"/>
      <c r="AV241" s="287"/>
      <c r="AW241" s="265"/>
      <c r="AX241" s="286"/>
      <c r="AZ241" s="288"/>
      <c r="BA241" s="287"/>
      <c r="BB241" s="267"/>
      <c r="BC241" s="288"/>
      <c r="BD241" s="287"/>
      <c r="BE241" s="267"/>
      <c r="BF241" s="288"/>
      <c r="BG241" s="287"/>
      <c r="BH241" s="267"/>
      <c r="BI241" s="288"/>
      <c r="BJ241" s="287"/>
      <c r="BK241" s="265"/>
      <c r="BL241" s="286"/>
      <c r="BN241" s="288"/>
      <c r="BO241" s="287"/>
      <c r="BP241" s="267"/>
      <c r="BQ241" s="288"/>
      <c r="BR241" s="287"/>
      <c r="BS241" s="267"/>
      <c r="BT241" s="288"/>
      <c r="BU241" s="287"/>
      <c r="BV241" s="267"/>
      <c r="BW241" s="288"/>
      <c r="BX241" s="287"/>
      <c r="BY241" s="265"/>
      <c r="BZ241" s="286"/>
      <c r="CB241" s="288"/>
      <c r="CC241" s="287"/>
      <c r="CD241" s="267"/>
      <c r="CE241" s="288"/>
      <c r="CF241" s="287"/>
      <c r="CG241" s="267"/>
      <c r="CH241" s="288"/>
      <c r="CI241" s="287"/>
      <c r="CJ241" s="267"/>
      <c r="CK241" s="288"/>
      <c r="CL241" s="287"/>
      <c r="CM241" s="265"/>
      <c r="CN241" s="286"/>
    </row>
    <row r="242" spans="2:92" ht="100.5" thickBot="1" x14ac:dyDescent="0.25">
      <c r="B242" s="970"/>
      <c r="C242" s="976"/>
      <c r="D242" s="949"/>
      <c r="E242" s="946"/>
      <c r="F242" s="950"/>
      <c r="G242" s="385" t="str">
        <f>+'Plan de Accion apoyo transversa'!X54</f>
        <v>Informe de evaluación de los formatos de los procesos a cargo de la Dirección Administrativa y Financiera para determinar su conveniencia</v>
      </c>
      <c r="H242" s="280" t="str">
        <f>+'Plan de Accion apoyo transversa'!AK54</f>
        <v># Informe de evaluación de los formatos de los procesos a cargo  de la Dirección Administrativa y Financiera de la Dirección Administrativa y Financiera para determinar su conveniencia</v>
      </c>
      <c r="J242" s="283">
        <f>+'Plan de Accion apoyo transversa'!AT54</f>
        <v>1</v>
      </c>
      <c r="K242" s="615">
        <f>+'Plan de Accion apoyo transversa'!CE54</f>
        <v>1</v>
      </c>
      <c r="L242" s="615">
        <f>IF(K242&gt;100%,100%,K242)</f>
        <v>1</v>
      </c>
      <c r="M242" s="615">
        <f>+'Plan de Accion apoyo transversa'!AX54</f>
        <v>1</v>
      </c>
      <c r="N242" s="615">
        <f t="shared" si="113"/>
        <v>1</v>
      </c>
      <c r="O242" s="617">
        <f>+N242</f>
        <v>1</v>
      </c>
      <c r="P242" s="277"/>
      <c r="Q242" s="283">
        <f>+'Plan de Accion apoyo transversa'!BD54</f>
        <v>0</v>
      </c>
      <c r="R242" s="315" t="str">
        <f>+'Plan de Accion apoyo transversa'!CG54</f>
        <v>No Prog ni Ejec</v>
      </c>
      <c r="S242" s="276" t="s">
        <v>206</v>
      </c>
      <c r="T242" s="373">
        <f>+'Plan de Accion apoyo transversa'!BH54</f>
        <v>1</v>
      </c>
      <c r="U242" s="373">
        <f t="shared" si="116"/>
        <v>1</v>
      </c>
      <c r="V242" s="275">
        <f t="shared" si="117"/>
        <v>1</v>
      </c>
      <c r="W242" s="278"/>
      <c r="X242" s="283">
        <f>+'Plan de Accion apoyo transversa'!BN54</f>
        <v>0</v>
      </c>
      <c r="Y242" s="315" t="str">
        <f>+'Plan de Accion apoyo transversa'!CI54</f>
        <v>No Prog ni Ejec</v>
      </c>
      <c r="Z242" s="276" t="s">
        <v>206</v>
      </c>
      <c r="AA242" s="282">
        <f>+'Plan de Accion apoyo transversa'!BR54</f>
        <v>1</v>
      </c>
      <c r="AB242" s="282">
        <f t="shared" si="119"/>
        <v>1</v>
      </c>
      <c r="AC242" s="281">
        <f t="shared" si="120"/>
        <v>1</v>
      </c>
      <c r="AD242" s="277"/>
      <c r="AE242" s="283">
        <f>+'Plan de Accion apoyo transversa'!BX54</f>
        <v>0</v>
      </c>
      <c r="AF242" s="315" t="str">
        <f>+'Plan de Accion apoyo transversa'!CK54</f>
        <v>No Prog ni Ejec</v>
      </c>
      <c r="AG242" s="276" t="s">
        <v>206</v>
      </c>
      <c r="AH242" s="315">
        <f>+'Plan de Accion apoyo transversa'!CB54</f>
        <v>1</v>
      </c>
      <c r="AI242" s="275">
        <f t="shared" si="122"/>
        <v>1</v>
      </c>
      <c r="AJ242" s="286"/>
      <c r="AL242" s="288"/>
      <c r="AM242" s="287"/>
      <c r="AN242" s="267"/>
      <c r="AO242" s="288"/>
      <c r="AP242" s="287"/>
      <c r="AQ242" s="267"/>
      <c r="AR242" s="288"/>
      <c r="AS242" s="287"/>
      <c r="AT242" s="267"/>
      <c r="AU242" s="288"/>
      <c r="AV242" s="287"/>
      <c r="AW242" s="265"/>
      <c r="AX242" s="286"/>
      <c r="AZ242" s="288"/>
      <c r="BA242" s="287"/>
      <c r="BB242" s="267"/>
      <c r="BC242" s="288"/>
      <c r="BD242" s="287"/>
      <c r="BE242" s="267"/>
      <c r="BF242" s="288"/>
      <c r="BG242" s="287"/>
      <c r="BH242" s="267"/>
      <c r="BI242" s="288"/>
      <c r="BJ242" s="287"/>
      <c r="BK242" s="265"/>
      <c r="BL242" s="286"/>
      <c r="BN242" s="288"/>
      <c r="BO242" s="287"/>
      <c r="BP242" s="267"/>
      <c r="BQ242" s="288"/>
      <c r="BR242" s="287"/>
      <c r="BS242" s="267"/>
      <c r="BT242" s="288"/>
      <c r="BU242" s="287"/>
      <c r="BV242" s="267"/>
      <c r="BW242" s="288"/>
      <c r="BX242" s="287"/>
      <c r="BY242" s="265"/>
      <c r="BZ242" s="286"/>
      <c r="CB242" s="288"/>
      <c r="CC242" s="287"/>
      <c r="CD242" s="267"/>
      <c r="CE242" s="288"/>
      <c r="CF242" s="287"/>
      <c r="CG242" s="267"/>
      <c r="CH242" s="288"/>
      <c r="CI242" s="287"/>
      <c r="CJ242" s="267"/>
      <c r="CK242" s="288"/>
      <c r="CL242" s="287"/>
      <c r="CM242" s="265"/>
      <c r="CN242" s="286"/>
    </row>
    <row r="243" spans="2:92" ht="43.5" customHeight="1" thickBot="1" x14ac:dyDescent="0.25">
      <c r="B243" s="970"/>
      <c r="C243" s="976"/>
      <c r="D243" s="949"/>
      <c r="E243" s="946"/>
      <c r="F243" s="949" t="s">
        <v>1296</v>
      </c>
      <c r="G243" s="385" t="str">
        <f>+'Plan de Accion apoyo transversa'!X56</f>
        <v>Matriz de requisitos legales actualizada</v>
      </c>
      <c r="H243" s="280" t="str">
        <f>+'Plan de Accion apoyo transversa'!AK56</f>
        <v># de actividades realizadas</v>
      </c>
      <c r="J243" s="283">
        <f>+'Plan de Accion apoyo transversa'!AT56</f>
        <v>0</v>
      </c>
      <c r="K243" s="615" t="str">
        <f>+'Plan de Accion apoyo transversa'!CE56</f>
        <v>No Prog ni Ejec</v>
      </c>
      <c r="L243" s="615" t="s">
        <v>206</v>
      </c>
      <c r="M243" s="615">
        <f>+'Plan de Accion apoyo transversa'!AX56</f>
        <v>0</v>
      </c>
      <c r="N243" s="615">
        <f t="shared" si="113"/>
        <v>0</v>
      </c>
      <c r="O243" s="617" t="s">
        <v>206</v>
      </c>
      <c r="P243" s="277"/>
      <c r="Q243" s="283">
        <f>+'Plan de Accion apoyo transversa'!BD56</f>
        <v>0</v>
      </c>
      <c r="R243" s="315">
        <f>+'Plan de Accion apoyo transversa'!CG56</f>
        <v>0</v>
      </c>
      <c r="S243" s="276" t="s">
        <v>206</v>
      </c>
      <c r="T243" s="373">
        <f>+'Plan de Accion apoyo transversa'!BH56</f>
        <v>0</v>
      </c>
      <c r="U243" s="373">
        <f t="shared" ref="U243:U249" si="123">IF(T243&gt;100%,100%,T243)</f>
        <v>0</v>
      </c>
      <c r="V243" s="275" t="s">
        <v>206</v>
      </c>
      <c r="W243" s="278"/>
      <c r="X243" s="283">
        <f>+'Plan de Accion apoyo transversa'!BN56</f>
        <v>0</v>
      </c>
      <c r="Y243" s="315" t="str">
        <f>+'Plan de Accion apoyo transversa'!CI56</f>
        <v>No Prog ni Ejec</v>
      </c>
      <c r="Z243" s="276">
        <f>IF(Y243&gt;100%,100%,Y243)</f>
        <v>1</v>
      </c>
      <c r="AA243" s="282">
        <f>+'Plan de Accion apoyo transversa'!BR56</f>
        <v>0</v>
      </c>
      <c r="AB243" s="282">
        <f t="shared" ref="AB243:AB249" si="124">IF(AA243&gt;100%,100%,AA243)</f>
        <v>0</v>
      </c>
      <c r="AC243" s="281">
        <f t="shared" ref="AC243:AC253" si="125">+AB243</f>
        <v>0</v>
      </c>
      <c r="AD243" s="277"/>
      <c r="AE243" s="283">
        <f>+'Plan de Accion apoyo transversa'!BX56</f>
        <v>0</v>
      </c>
      <c r="AF243" s="315">
        <f>+'Plan de Accion apoyo transversa'!CK56</f>
        <v>0</v>
      </c>
      <c r="AG243" s="276" t="s">
        <v>206</v>
      </c>
      <c r="AH243" s="315">
        <f>+'Plan de Accion apoyo transversa'!CB56</f>
        <v>0</v>
      </c>
      <c r="AI243" s="275">
        <f t="shared" ref="AI243:AI249" si="126">IF(AH243&gt;100%,100%,AH243)</f>
        <v>0</v>
      </c>
      <c r="AJ243" s="286"/>
      <c r="AL243" s="381"/>
      <c r="AM243" s="287"/>
      <c r="AN243" s="267"/>
      <c r="AO243" s="381"/>
      <c r="AP243" s="287"/>
      <c r="AQ243" s="267"/>
      <c r="AR243" s="381"/>
      <c r="AS243" s="287"/>
      <c r="AT243" s="267"/>
      <c r="AU243" s="381"/>
      <c r="AV243" s="287"/>
      <c r="AW243" s="265"/>
      <c r="AX243" s="286"/>
      <c r="AZ243" s="381"/>
      <c r="BA243" s="287"/>
      <c r="BB243" s="267"/>
      <c r="BC243" s="381"/>
      <c r="BD243" s="287"/>
      <c r="BE243" s="267"/>
      <c r="BF243" s="381"/>
      <c r="BG243" s="287"/>
      <c r="BH243" s="267"/>
      <c r="BI243" s="381"/>
      <c r="BJ243" s="287"/>
      <c r="BK243" s="265"/>
      <c r="BL243" s="286"/>
      <c r="BN243" s="381"/>
      <c r="BO243" s="287"/>
      <c r="BP243" s="267"/>
      <c r="BQ243" s="381"/>
      <c r="BR243" s="287"/>
      <c r="BS243" s="267"/>
      <c r="BT243" s="381"/>
      <c r="BU243" s="287"/>
      <c r="BV243" s="267"/>
      <c r="BW243" s="381"/>
      <c r="BX243" s="287"/>
      <c r="BY243" s="265"/>
      <c r="BZ243" s="286"/>
      <c r="CB243" s="381"/>
      <c r="CC243" s="287"/>
      <c r="CD243" s="267"/>
      <c r="CE243" s="381"/>
      <c r="CF243" s="287"/>
      <c r="CG243" s="267"/>
      <c r="CH243" s="381"/>
      <c r="CI243" s="287"/>
      <c r="CJ243" s="267"/>
      <c r="CK243" s="381"/>
      <c r="CL243" s="287"/>
      <c r="CM243" s="265"/>
      <c r="CN243" s="286"/>
    </row>
    <row r="244" spans="2:92" ht="29.25" thickBot="1" x14ac:dyDescent="0.25">
      <c r="B244" s="970"/>
      <c r="C244" s="976"/>
      <c r="D244" s="949"/>
      <c r="E244" s="946"/>
      <c r="F244" s="949"/>
      <c r="G244" s="385" t="str">
        <f>+'Plan de Accion apoyo transversa'!X57</f>
        <v xml:space="preserve"> Documentos del SG-SST actualizados</v>
      </c>
      <c r="H244" s="280" t="str">
        <f>+'Plan de Accion apoyo transversa'!AK57</f>
        <v># de actividades realizadas</v>
      </c>
      <c r="J244" s="283">
        <f>+'Plan de Accion apoyo transversa'!AT57</f>
        <v>0</v>
      </c>
      <c r="K244" s="615" t="str">
        <f>+'Plan de Accion apoyo transversa'!CE57</f>
        <v>No Prog ni Ejec</v>
      </c>
      <c r="L244" s="615" t="s">
        <v>206</v>
      </c>
      <c r="M244" s="615">
        <f>+'Plan de Accion apoyo transversa'!AX57</f>
        <v>0</v>
      </c>
      <c r="N244" s="615">
        <f t="shared" si="113"/>
        <v>0</v>
      </c>
      <c r="O244" s="617" t="s">
        <v>206</v>
      </c>
      <c r="P244" s="277"/>
      <c r="Q244" s="283">
        <f>+'Plan de Accion apoyo transversa'!BD57</f>
        <v>0</v>
      </c>
      <c r="R244" s="315">
        <f>+'Plan de Accion apoyo transversa'!CG57</f>
        <v>0</v>
      </c>
      <c r="S244" s="276" t="s">
        <v>206</v>
      </c>
      <c r="T244" s="373">
        <f>+'Plan de Accion apoyo transversa'!BH57</f>
        <v>0</v>
      </c>
      <c r="U244" s="373">
        <f t="shared" si="123"/>
        <v>0</v>
      </c>
      <c r="V244" s="275">
        <f t="shared" si="117"/>
        <v>0</v>
      </c>
      <c r="W244" s="278"/>
      <c r="X244" s="283">
        <f>+'Plan de Accion apoyo transversa'!BN57</f>
        <v>0</v>
      </c>
      <c r="Y244" s="315" t="str">
        <f>+'Plan de Accion apoyo transversa'!CI57</f>
        <v>No Prog ni Ejec</v>
      </c>
      <c r="Z244" s="276" t="s">
        <v>206</v>
      </c>
      <c r="AA244" s="282">
        <f>+'Plan de Accion apoyo transversa'!BR57</f>
        <v>0</v>
      </c>
      <c r="AB244" s="282">
        <f t="shared" si="124"/>
        <v>0</v>
      </c>
      <c r="AC244" s="281">
        <f t="shared" si="125"/>
        <v>0</v>
      </c>
      <c r="AD244" s="277"/>
      <c r="AE244" s="283">
        <f>+'Plan de Accion apoyo transversa'!BX57</f>
        <v>0</v>
      </c>
      <c r="AF244" s="315">
        <f>+'Plan de Accion apoyo transversa'!CK57</f>
        <v>0</v>
      </c>
      <c r="AG244" s="276">
        <f>IF(AF244&gt;100%,100%,AF244)</f>
        <v>0</v>
      </c>
      <c r="AH244" s="315">
        <f>+'Plan de Accion apoyo transversa'!CB57</f>
        <v>0</v>
      </c>
      <c r="AI244" s="275">
        <f t="shared" si="126"/>
        <v>0</v>
      </c>
      <c r="AJ244" s="286"/>
      <c r="AL244" s="381"/>
      <c r="AM244" s="287"/>
      <c r="AN244" s="267"/>
      <c r="AO244" s="381"/>
      <c r="AP244" s="287"/>
      <c r="AQ244" s="267"/>
      <c r="AR244" s="381"/>
      <c r="AS244" s="287"/>
      <c r="AT244" s="267"/>
      <c r="AU244" s="381"/>
      <c r="AV244" s="287"/>
      <c r="AW244" s="265"/>
      <c r="AX244" s="286"/>
      <c r="AZ244" s="381"/>
      <c r="BA244" s="287"/>
      <c r="BB244" s="267"/>
      <c r="BC244" s="381"/>
      <c r="BD244" s="287"/>
      <c r="BE244" s="267"/>
      <c r="BF244" s="381"/>
      <c r="BG244" s="287"/>
      <c r="BH244" s="267"/>
      <c r="BI244" s="381"/>
      <c r="BJ244" s="287"/>
      <c r="BK244" s="265"/>
      <c r="BL244" s="286"/>
      <c r="BN244" s="381"/>
      <c r="BO244" s="287"/>
      <c r="BP244" s="267"/>
      <c r="BQ244" s="381"/>
      <c r="BR244" s="287"/>
      <c r="BS244" s="267"/>
      <c r="BT244" s="381"/>
      <c r="BU244" s="287"/>
      <c r="BV244" s="267"/>
      <c r="BW244" s="381"/>
      <c r="BX244" s="287"/>
      <c r="BY244" s="265"/>
      <c r="BZ244" s="286"/>
      <c r="CB244" s="381"/>
      <c r="CC244" s="287"/>
      <c r="CD244" s="267"/>
      <c r="CE244" s="381"/>
      <c r="CF244" s="287"/>
      <c r="CG244" s="267"/>
      <c r="CH244" s="381"/>
      <c r="CI244" s="287"/>
      <c r="CJ244" s="267"/>
      <c r="CK244" s="381"/>
      <c r="CL244" s="287"/>
      <c r="CM244" s="265"/>
      <c r="CN244" s="286"/>
    </row>
    <row r="245" spans="2:92" ht="29.25" thickBot="1" x14ac:dyDescent="0.25">
      <c r="B245" s="970"/>
      <c r="C245" s="976"/>
      <c r="D245" s="949"/>
      <c r="E245" s="946"/>
      <c r="F245" s="949"/>
      <c r="G245" s="385" t="str">
        <f>+'Plan de Accion apoyo transversa'!X58</f>
        <v>Programa de medicina preventiva elaborado</v>
      </c>
      <c r="H245" s="280" t="str">
        <f>+'Plan de Accion apoyo transversa'!AK58</f>
        <v># de actividades realizadas</v>
      </c>
      <c r="J245" s="283">
        <f>+'Plan de Accion apoyo transversa'!AT58</f>
        <v>0</v>
      </c>
      <c r="K245" s="615" t="str">
        <f>+'Plan de Accion apoyo transversa'!CE58</f>
        <v>No Prog ni Ejec</v>
      </c>
      <c r="L245" s="615" t="s">
        <v>206</v>
      </c>
      <c r="M245" s="615">
        <f>+'Plan de Accion apoyo transversa'!AX58</f>
        <v>0</v>
      </c>
      <c r="N245" s="615">
        <f t="shared" si="113"/>
        <v>0</v>
      </c>
      <c r="O245" s="617" t="s">
        <v>206</v>
      </c>
      <c r="P245" s="277"/>
      <c r="Q245" s="283">
        <f>+'Plan de Accion apoyo transversa'!BD58</f>
        <v>0</v>
      </c>
      <c r="R245" s="315">
        <f>+'Plan de Accion apoyo transversa'!CG58</f>
        <v>0</v>
      </c>
      <c r="S245" s="276" t="s">
        <v>206</v>
      </c>
      <c r="T245" s="373">
        <f>+'Plan de Accion apoyo transversa'!BH58</f>
        <v>0</v>
      </c>
      <c r="U245" s="373">
        <f t="shared" si="123"/>
        <v>0</v>
      </c>
      <c r="V245" s="275">
        <f t="shared" si="117"/>
        <v>0</v>
      </c>
      <c r="W245" s="278"/>
      <c r="X245" s="283">
        <f>+'Plan de Accion apoyo transversa'!BN58</f>
        <v>0</v>
      </c>
      <c r="Y245" s="315" t="str">
        <f>+'Plan de Accion apoyo transversa'!CI58</f>
        <v>No Prog ni Ejec</v>
      </c>
      <c r="Z245" s="276" t="s">
        <v>206</v>
      </c>
      <c r="AA245" s="282">
        <f>+'Plan de Accion apoyo transversa'!BR58</f>
        <v>0</v>
      </c>
      <c r="AB245" s="282">
        <f t="shared" si="124"/>
        <v>0</v>
      </c>
      <c r="AC245" s="281">
        <f t="shared" si="125"/>
        <v>0</v>
      </c>
      <c r="AD245" s="277"/>
      <c r="AE245" s="283">
        <f>+'Plan de Accion apoyo transversa'!BX58</f>
        <v>0</v>
      </c>
      <c r="AF245" s="315">
        <f>+'Plan de Accion apoyo transversa'!CK58</f>
        <v>0</v>
      </c>
      <c r="AG245" s="276" t="s">
        <v>206</v>
      </c>
      <c r="AH245" s="315">
        <f>+'Plan de Accion apoyo transversa'!CB58</f>
        <v>0</v>
      </c>
      <c r="AI245" s="275">
        <f t="shared" si="126"/>
        <v>0</v>
      </c>
      <c r="AJ245" s="286"/>
      <c r="AL245" s="381"/>
      <c r="AM245" s="287"/>
      <c r="AN245" s="267"/>
      <c r="AO245" s="381"/>
      <c r="AP245" s="287"/>
      <c r="AQ245" s="267"/>
      <c r="AR245" s="381"/>
      <c r="AS245" s="287"/>
      <c r="AT245" s="267"/>
      <c r="AU245" s="381"/>
      <c r="AV245" s="287"/>
      <c r="AW245" s="265"/>
      <c r="AX245" s="286"/>
      <c r="AZ245" s="381"/>
      <c r="BA245" s="287"/>
      <c r="BB245" s="267"/>
      <c r="BC245" s="381"/>
      <c r="BD245" s="287"/>
      <c r="BE245" s="267"/>
      <c r="BF245" s="381"/>
      <c r="BG245" s="287"/>
      <c r="BH245" s="267"/>
      <c r="BI245" s="381"/>
      <c r="BJ245" s="287"/>
      <c r="BK245" s="265"/>
      <c r="BL245" s="286"/>
      <c r="BN245" s="381"/>
      <c r="BO245" s="287"/>
      <c r="BP245" s="267"/>
      <c r="BQ245" s="381"/>
      <c r="BR245" s="287"/>
      <c r="BS245" s="267"/>
      <c r="BT245" s="381"/>
      <c r="BU245" s="287"/>
      <c r="BV245" s="267"/>
      <c r="BW245" s="381"/>
      <c r="BX245" s="287"/>
      <c r="BY245" s="265"/>
      <c r="BZ245" s="286"/>
      <c r="CB245" s="381"/>
      <c r="CC245" s="287"/>
      <c r="CD245" s="267"/>
      <c r="CE245" s="381"/>
      <c r="CF245" s="287"/>
      <c r="CG245" s="267"/>
      <c r="CH245" s="381"/>
      <c r="CI245" s="287"/>
      <c r="CJ245" s="267"/>
      <c r="CK245" s="381"/>
      <c r="CL245" s="287"/>
      <c r="CM245" s="265"/>
      <c r="CN245" s="286"/>
    </row>
    <row r="246" spans="2:92" ht="29.25" thickBot="1" x14ac:dyDescent="0.25">
      <c r="B246" s="970"/>
      <c r="C246" s="976"/>
      <c r="D246" s="949"/>
      <c r="E246" s="946"/>
      <c r="F246" s="949"/>
      <c r="G246" s="385" t="str">
        <f>+'Plan de Accion apoyo transversa'!X59</f>
        <v>Programa de orden y aseso elaborado</v>
      </c>
      <c r="H246" s="280" t="str">
        <f>+'Plan de Accion apoyo transversa'!AK59</f>
        <v># de actividades realizadas</v>
      </c>
      <c r="J246" s="283">
        <f>+'Plan de Accion apoyo transversa'!AT59</f>
        <v>0</v>
      </c>
      <c r="K246" s="615">
        <f>+'Plan de Accion apoyo transversa'!CE59</f>
        <v>0</v>
      </c>
      <c r="L246" s="615">
        <f>IF(K246&gt;100%,100%,K246)</f>
        <v>0</v>
      </c>
      <c r="M246" s="615">
        <f>+'Plan de Accion apoyo transversa'!AX59</f>
        <v>0</v>
      </c>
      <c r="N246" s="615">
        <f t="shared" si="113"/>
        <v>0</v>
      </c>
      <c r="O246" s="617">
        <f>+N246</f>
        <v>0</v>
      </c>
      <c r="P246" s="277"/>
      <c r="Q246" s="283">
        <f>+'Plan de Accion apoyo transversa'!BD59</f>
        <v>0</v>
      </c>
      <c r="R246" s="315" t="str">
        <f>+'Plan de Accion apoyo transversa'!CG59</f>
        <v>No Prog ni Ejec</v>
      </c>
      <c r="S246" s="276" t="s">
        <v>206</v>
      </c>
      <c r="T246" s="373">
        <f>+'Plan de Accion apoyo transversa'!BH59</f>
        <v>0</v>
      </c>
      <c r="U246" s="373">
        <f t="shared" si="123"/>
        <v>0</v>
      </c>
      <c r="V246" s="275">
        <f t="shared" si="117"/>
        <v>0</v>
      </c>
      <c r="W246" s="278"/>
      <c r="X246" s="283">
        <f>+'Plan de Accion apoyo transversa'!BN59</f>
        <v>0</v>
      </c>
      <c r="Y246" s="315" t="str">
        <f>+'Plan de Accion apoyo transversa'!CI59</f>
        <v>No Prog ni Ejec</v>
      </c>
      <c r="Z246" s="276" t="s">
        <v>206</v>
      </c>
      <c r="AA246" s="282">
        <f>+'Plan de Accion apoyo transversa'!BR59</f>
        <v>0</v>
      </c>
      <c r="AB246" s="282">
        <f t="shared" si="124"/>
        <v>0</v>
      </c>
      <c r="AC246" s="281">
        <f t="shared" si="125"/>
        <v>0</v>
      </c>
      <c r="AD246" s="277"/>
      <c r="AE246" s="283">
        <f>+'Plan de Accion apoyo transversa'!BX59</f>
        <v>0</v>
      </c>
      <c r="AF246" s="315" t="str">
        <f>+'Plan de Accion apoyo transversa'!CK59</f>
        <v>No Prog ni Ejec</v>
      </c>
      <c r="AG246" s="276" t="s">
        <v>206</v>
      </c>
      <c r="AH246" s="315">
        <f>+'Plan de Accion apoyo transversa'!CB59</f>
        <v>0</v>
      </c>
      <c r="AI246" s="275">
        <f t="shared" si="126"/>
        <v>0</v>
      </c>
      <c r="AJ246" s="286"/>
      <c r="AL246" s="381"/>
      <c r="AM246" s="287"/>
      <c r="AN246" s="267"/>
      <c r="AO246" s="381"/>
      <c r="AP246" s="287"/>
      <c r="AQ246" s="267"/>
      <c r="AR246" s="381"/>
      <c r="AS246" s="287"/>
      <c r="AT246" s="267"/>
      <c r="AU246" s="381"/>
      <c r="AV246" s="287"/>
      <c r="AW246" s="265"/>
      <c r="AX246" s="286"/>
      <c r="AZ246" s="381"/>
      <c r="BA246" s="287"/>
      <c r="BB246" s="267"/>
      <c r="BC246" s="381"/>
      <c r="BD246" s="287"/>
      <c r="BE246" s="267"/>
      <c r="BF246" s="381"/>
      <c r="BG246" s="287"/>
      <c r="BH246" s="267"/>
      <c r="BI246" s="381"/>
      <c r="BJ246" s="287"/>
      <c r="BK246" s="265"/>
      <c r="BL246" s="286"/>
      <c r="BN246" s="381"/>
      <c r="BO246" s="287"/>
      <c r="BP246" s="267"/>
      <c r="BQ246" s="381"/>
      <c r="BR246" s="287"/>
      <c r="BS246" s="267"/>
      <c r="BT246" s="381"/>
      <c r="BU246" s="287"/>
      <c r="BV246" s="267"/>
      <c r="BW246" s="381"/>
      <c r="BX246" s="287"/>
      <c r="BY246" s="265"/>
      <c r="BZ246" s="286"/>
      <c r="CB246" s="381"/>
      <c r="CC246" s="287"/>
      <c r="CD246" s="267"/>
      <c r="CE246" s="381"/>
      <c r="CF246" s="287"/>
      <c r="CG246" s="267"/>
      <c r="CH246" s="381"/>
      <c r="CI246" s="287"/>
      <c r="CJ246" s="267"/>
      <c r="CK246" s="381"/>
      <c r="CL246" s="287"/>
      <c r="CM246" s="265"/>
      <c r="CN246" s="286"/>
    </row>
    <row r="247" spans="2:92" ht="57.75" thickBot="1" x14ac:dyDescent="0.25">
      <c r="B247" s="970"/>
      <c r="C247" s="976"/>
      <c r="D247" s="949"/>
      <c r="E247" s="946"/>
      <c r="F247" s="949"/>
      <c r="G247" s="385" t="str">
        <f>+'Plan de Accion apoyo transversa'!X60</f>
        <v>Programa de vigilancia epidemiológicos  de riesgo Psicosocial y Biomecánico elaborado</v>
      </c>
      <c r="H247" s="280" t="str">
        <f>+'Plan de Accion apoyo transversa'!AK60</f>
        <v># de actividades realizadas</v>
      </c>
      <c r="J247" s="283">
        <f>+'Plan de Accion apoyo transversa'!AT60</f>
        <v>0</v>
      </c>
      <c r="K247" s="615" t="str">
        <f>+'Plan de Accion apoyo transversa'!CE60</f>
        <v>No Prog ni Ejec</v>
      </c>
      <c r="L247" s="615" t="s">
        <v>206</v>
      </c>
      <c r="M247" s="615">
        <f>+'Plan de Accion apoyo transversa'!AX60</f>
        <v>0</v>
      </c>
      <c r="N247" s="615">
        <f t="shared" si="113"/>
        <v>0</v>
      </c>
      <c r="O247" s="617" t="s">
        <v>206</v>
      </c>
      <c r="P247" s="277"/>
      <c r="Q247" s="283">
        <f>+'Plan de Accion apoyo transversa'!BD60</f>
        <v>0</v>
      </c>
      <c r="R247" s="315" t="str">
        <f>+'Plan de Accion apoyo transversa'!CG60</f>
        <v>No Prog ni Ejec</v>
      </c>
      <c r="S247" s="276" t="s">
        <v>206</v>
      </c>
      <c r="T247" s="373">
        <f>+'Plan de Accion apoyo transversa'!BH60</f>
        <v>0</v>
      </c>
      <c r="U247" s="373">
        <f t="shared" si="123"/>
        <v>0</v>
      </c>
      <c r="V247" s="275" t="s">
        <v>206</v>
      </c>
      <c r="W247" s="278"/>
      <c r="X247" s="283">
        <f>+'Plan de Accion apoyo transversa'!BN60</f>
        <v>0</v>
      </c>
      <c r="Y247" s="315">
        <f>+'Plan de Accion apoyo transversa'!CI60</f>
        <v>0</v>
      </c>
      <c r="Z247" s="276">
        <f t="shared" ref="Z247:Z252" si="127">IF(Y247&gt;100%,100%,Y247)</f>
        <v>0</v>
      </c>
      <c r="AA247" s="282">
        <f>+'Plan de Accion apoyo transversa'!BR60</f>
        <v>0</v>
      </c>
      <c r="AB247" s="282">
        <f t="shared" si="124"/>
        <v>0</v>
      </c>
      <c r="AC247" s="281">
        <f t="shared" si="125"/>
        <v>0</v>
      </c>
      <c r="AD247" s="277"/>
      <c r="AE247" s="283">
        <f>+'Plan de Accion apoyo transversa'!BX60</f>
        <v>0</v>
      </c>
      <c r="AF247" s="315">
        <f>+'Plan de Accion apoyo transversa'!CK60</f>
        <v>0</v>
      </c>
      <c r="AG247" s="276" t="s">
        <v>206</v>
      </c>
      <c r="AH247" s="315">
        <f>+'Plan de Accion apoyo transversa'!CB60</f>
        <v>0</v>
      </c>
      <c r="AI247" s="275">
        <f t="shared" si="126"/>
        <v>0</v>
      </c>
      <c r="AJ247" s="286"/>
      <c r="AL247" s="381"/>
      <c r="AM247" s="287"/>
      <c r="AN247" s="267"/>
      <c r="AO247" s="381"/>
      <c r="AP247" s="287"/>
      <c r="AQ247" s="267"/>
      <c r="AR247" s="381"/>
      <c r="AS247" s="287"/>
      <c r="AT247" s="267"/>
      <c r="AU247" s="381"/>
      <c r="AV247" s="287"/>
      <c r="AW247" s="265"/>
      <c r="AX247" s="286"/>
      <c r="AZ247" s="381"/>
      <c r="BA247" s="287"/>
      <c r="BB247" s="267"/>
      <c r="BC247" s="381"/>
      <c r="BD247" s="287"/>
      <c r="BE247" s="267"/>
      <c r="BF247" s="381"/>
      <c r="BG247" s="287"/>
      <c r="BH247" s="267"/>
      <c r="BI247" s="381"/>
      <c r="BJ247" s="287"/>
      <c r="BK247" s="265"/>
      <c r="BL247" s="286"/>
      <c r="BN247" s="381"/>
      <c r="BO247" s="287"/>
      <c r="BP247" s="267"/>
      <c r="BQ247" s="381"/>
      <c r="BR247" s="287"/>
      <c r="BS247" s="267"/>
      <c r="BT247" s="381"/>
      <c r="BU247" s="287"/>
      <c r="BV247" s="267"/>
      <c r="BW247" s="381"/>
      <c r="BX247" s="287"/>
      <c r="BY247" s="265"/>
      <c r="BZ247" s="286"/>
      <c r="CB247" s="381"/>
      <c r="CC247" s="287"/>
      <c r="CD247" s="267"/>
      <c r="CE247" s="381"/>
      <c r="CF247" s="287"/>
      <c r="CG247" s="267"/>
      <c r="CH247" s="381"/>
      <c r="CI247" s="287"/>
      <c r="CJ247" s="267"/>
      <c r="CK247" s="381"/>
      <c r="CL247" s="287"/>
      <c r="CM247" s="265"/>
      <c r="CN247" s="286"/>
    </row>
    <row r="248" spans="2:92" ht="57.75" thickBot="1" x14ac:dyDescent="0.25">
      <c r="B248" s="970"/>
      <c r="C248" s="976"/>
      <c r="D248" s="949"/>
      <c r="E248" s="946"/>
      <c r="F248" s="949"/>
      <c r="G248" s="385" t="str">
        <f>+'Plan de Accion apoyo transversa'!X61</f>
        <v>Programa de manejo de sustancias químicas (Sistema Globalmente armonizado) elaborado</v>
      </c>
      <c r="H248" s="280" t="str">
        <f>+'Plan de Accion apoyo transversa'!AK61</f>
        <v># de actividades realizadas</v>
      </c>
      <c r="J248" s="283">
        <f>+'Plan de Accion apoyo transversa'!AT61</f>
        <v>0</v>
      </c>
      <c r="K248" s="615" t="str">
        <f>+'Plan de Accion apoyo transversa'!CE61</f>
        <v>No Prog ni Ejec</v>
      </c>
      <c r="L248" s="615" t="s">
        <v>206</v>
      </c>
      <c r="M248" s="615" t="s">
        <v>206</v>
      </c>
      <c r="N248" s="615" t="s">
        <v>206</v>
      </c>
      <c r="O248" s="617" t="s">
        <v>206</v>
      </c>
      <c r="P248" s="277"/>
      <c r="Q248" s="283">
        <f>+'Plan de Accion apoyo transversa'!BD61</f>
        <v>0</v>
      </c>
      <c r="R248" s="315">
        <f>+'Plan de Accion apoyo transversa'!CG61</f>
        <v>0</v>
      </c>
      <c r="S248" s="276">
        <f>IF(R248&gt;100%,100%,R248)</f>
        <v>0</v>
      </c>
      <c r="T248" s="373" t="e">
        <f>+'Plan de Accion apoyo transversa'!BH61</f>
        <v>#DIV/0!</v>
      </c>
      <c r="U248" s="373" t="e">
        <f t="shared" si="123"/>
        <v>#DIV/0!</v>
      </c>
      <c r="V248" s="275" t="e">
        <f t="shared" si="117"/>
        <v>#DIV/0!</v>
      </c>
      <c r="W248" s="278"/>
      <c r="X248" s="283">
        <f>+'Plan de Accion apoyo transversa'!BN61</f>
        <v>0</v>
      </c>
      <c r="Y248" s="315" t="str">
        <f>+'Plan de Accion apoyo transversa'!CI61</f>
        <v>No Prog ni Ejec</v>
      </c>
      <c r="Z248" s="276" t="s">
        <v>206</v>
      </c>
      <c r="AA248" s="282" t="e">
        <f>+'Plan de Accion apoyo transversa'!BR61</f>
        <v>#DIV/0!</v>
      </c>
      <c r="AB248" s="282" t="e">
        <f t="shared" si="124"/>
        <v>#DIV/0!</v>
      </c>
      <c r="AC248" s="281" t="e">
        <f t="shared" si="125"/>
        <v>#DIV/0!</v>
      </c>
      <c r="AD248" s="277"/>
      <c r="AE248" s="283">
        <f>+'Plan de Accion apoyo transversa'!BX61</f>
        <v>0</v>
      </c>
      <c r="AF248" s="315" t="str">
        <f>+'Plan de Accion apoyo transversa'!CK61</f>
        <v>No Prog ni Ejec</v>
      </c>
      <c r="AG248" s="276" t="s">
        <v>206</v>
      </c>
      <c r="AH248" s="315" t="e">
        <f>+'Plan de Accion apoyo transversa'!CB61</f>
        <v>#DIV/0!</v>
      </c>
      <c r="AI248" s="275" t="e">
        <f t="shared" si="126"/>
        <v>#DIV/0!</v>
      </c>
      <c r="AJ248" s="286"/>
      <c r="AL248" s="381"/>
      <c r="AM248" s="287"/>
      <c r="AN248" s="267"/>
      <c r="AO248" s="381"/>
      <c r="AP248" s="287"/>
      <c r="AQ248" s="267"/>
      <c r="AR248" s="381"/>
      <c r="AS248" s="287"/>
      <c r="AT248" s="267"/>
      <c r="AU248" s="381"/>
      <c r="AV248" s="287"/>
      <c r="AW248" s="265"/>
      <c r="AX248" s="286"/>
      <c r="AZ248" s="381"/>
      <c r="BA248" s="287"/>
      <c r="BB248" s="267"/>
      <c r="BC248" s="381"/>
      <c r="BD248" s="287"/>
      <c r="BE248" s="267"/>
      <c r="BF248" s="381"/>
      <c r="BG248" s="287"/>
      <c r="BH248" s="267"/>
      <c r="BI248" s="381"/>
      <c r="BJ248" s="287"/>
      <c r="BK248" s="265"/>
      <c r="BL248" s="286"/>
      <c r="BN248" s="381"/>
      <c r="BO248" s="287"/>
      <c r="BP248" s="267"/>
      <c r="BQ248" s="381"/>
      <c r="BR248" s="287"/>
      <c r="BS248" s="267"/>
      <c r="BT248" s="381"/>
      <c r="BU248" s="287"/>
      <c r="BV248" s="267"/>
      <c r="BW248" s="381"/>
      <c r="BX248" s="287"/>
      <c r="BY248" s="265"/>
      <c r="BZ248" s="286"/>
      <c r="CB248" s="381"/>
      <c r="CC248" s="287"/>
      <c r="CD248" s="267"/>
      <c r="CE248" s="381"/>
      <c r="CF248" s="287"/>
      <c r="CG248" s="267"/>
      <c r="CH248" s="381"/>
      <c r="CI248" s="287"/>
      <c r="CJ248" s="267"/>
      <c r="CK248" s="381"/>
      <c r="CL248" s="287"/>
      <c r="CM248" s="265"/>
      <c r="CN248" s="286"/>
    </row>
    <row r="249" spans="2:92" ht="43.5" thickBot="1" x14ac:dyDescent="0.25">
      <c r="B249" s="970"/>
      <c r="C249" s="976"/>
      <c r="D249" s="949"/>
      <c r="E249" s="946"/>
      <c r="F249" s="949"/>
      <c r="G249" s="385" t="str">
        <f>+'Plan de Accion apoyo transversa'!X65</f>
        <v>Jornada de divulgación  del programa de inspecciones  realizada</v>
      </c>
      <c r="H249" s="280" t="str">
        <f>+'Plan de Accion apoyo transversa'!AK65</f>
        <v># de actividades realizadas</v>
      </c>
      <c r="J249" s="283">
        <f>+'Plan de Accion apoyo transversa'!AT65</f>
        <v>0</v>
      </c>
      <c r="K249" s="615" t="str">
        <f>+'Plan de Accion apoyo transversa'!CE65</f>
        <v>No Prog ni Ejec</v>
      </c>
      <c r="L249" s="615" t="s">
        <v>206</v>
      </c>
      <c r="M249" s="615">
        <f>+'Plan de Accion apoyo transversa'!AX65</f>
        <v>0</v>
      </c>
      <c r="N249" s="615">
        <f t="shared" si="113"/>
        <v>0</v>
      </c>
      <c r="O249" s="617" t="s">
        <v>206</v>
      </c>
      <c r="P249" s="277"/>
      <c r="Q249" s="283">
        <f>+'Plan de Accion apoyo transversa'!BD65</f>
        <v>0</v>
      </c>
      <c r="R249" s="315">
        <f>+'Plan de Accion apoyo transversa'!CG65</f>
        <v>0</v>
      </c>
      <c r="S249" s="276">
        <f>IF(R249&gt;100%,100%,R249)</f>
        <v>0</v>
      </c>
      <c r="T249" s="373">
        <f>+'Plan de Accion apoyo transversa'!BH65</f>
        <v>0</v>
      </c>
      <c r="U249" s="373">
        <f t="shared" si="123"/>
        <v>0</v>
      </c>
      <c r="V249" s="275">
        <f>+U249</f>
        <v>0</v>
      </c>
      <c r="W249" s="278"/>
      <c r="X249" s="283">
        <f>+'Plan de Accion apoyo transversa'!BN65</f>
        <v>0</v>
      </c>
      <c r="Y249" s="315" t="str">
        <f>+'Plan de Accion apoyo transversa'!CI65</f>
        <v>No Prog ni Ejec</v>
      </c>
      <c r="Z249" s="276" t="s">
        <v>206</v>
      </c>
      <c r="AA249" s="282">
        <f>+'Plan de Accion apoyo transversa'!BR65</f>
        <v>0</v>
      </c>
      <c r="AB249" s="282">
        <f t="shared" si="124"/>
        <v>0</v>
      </c>
      <c r="AC249" s="281">
        <f t="shared" si="125"/>
        <v>0</v>
      </c>
      <c r="AD249" s="277"/>
      <c r="AE249" s="283">
        <f>+'Plan de Accion apoyo transversa'!BX65</f>
        <v>0</v>
      </c>
      <c r="AF249" s="315" t="str">
        <f>+'Plan de Accion apoyo transversa'!CK65</f>
        <v>No Prog ni Ejec</v>
      </c>
      <c r="AG249" s="276" t="s">
        <v>206</v>
      </c>
      <c r="AH249" s="315">
        <f>+'Plan de Accion apoyo transversa'!CB65</f>
        <v>0</v>
      </c>
      <c r="AI249" s="275">
        <f t="shared" si="126"/>
        <v>0</v>
      </c>
      <c r="AJ249" s="286"/>
      <c r="AL249" s="381"/>
      <c r="AM249" s="287"/>
      <c r="AN249" s="267"/>
      <c r="AO249" s="381"/>
      <c r="AP249" s="287"/>
      <c r="AQ249" s="267"/>
      <c r="AR249" s="381"/>
      <c r="AS249" s="287"/>
      <c r="AT249" s="267"/>
      <c r="AU249" s="381"/>
      <c r="AV249" s="287"/>
      <c r="AW249" s="265"/>
      <c r="AX249" s="286"/>
      <c r="AZ249" s="381"/>
      <c r="BA249" s="287"/>
      <c r="BB249" s="267"/>
      <c r="BC249" s="381"/>
      <c r="BD249" s="287"/>
      <c r="BE249" s="267"/>
      <c r="BF249" s="381"/>
      <c r="BG249" s="287"/>
      <c r="BH249" s="267"/>
      <c r="BI249" s="381"/>
      <c r="BJ249" s="287"/>
      <c r="BK249" s="265"/>
      <c r="BL249" s="286"/>
      <c r="BN249" s="381"/>
      <c r="BO249" s="287"/>
      <c r="BP249" s="267"/>
      <c r="BQ249" s="381"/>
      <c r="BR249" s="287"/>
      <c r="BS249" s="267"/>
      <c r="BT249" s="381"/>
      <c r="BU249" s="287"/>
      <c r="BV249" s="267"/>
      <c r="BW249" s="381"/>
      <c r="BX249" s="287"/>
      <c r="BY249" s="265"/>
      <c r="BZ249" s="286"/>
      <c r="CB249" s="381"/>
      <c r="CC249" s="287"/>
      <c r="CD249" s="267"/>
      <c r="CE249" s="381"/>
      <c r="CF249" s="287"/>
      <c r="CG249" s="267"/>
      <c r="CH249" s="381"/>
      <c r="CI249" s="287"/>
      <c r="CJ249" s="267"/>
      <c r="CK249" s="381"/>
      <c r="CL249" s="287"/>
      <c r="CM249" s="265"/>
      <c r="CN249" s="286"/>
    </row>
    <row r="250" spans="2:92" ht="43.5" thickBot="1" x14ac:dyDescent="0.25">
      <c r="B250" s="970"/>
      <c r="C250" s="976"/>
      <c r="D250" s="949"/>
      <c r="E250" s="946"/>
      <c r="F250" s="949"/>
      <c r="G250" s="385" t="str">
        <f>+'Plan de Accion apoyo transversa'!X66</f>
        <v>Jornada de divulgación del programa de mantenimiento realizada</v>
      </c>
      <c r="H250" s="280" t="str">
        <f>+'Plan de Accion apoyo transversa'!AK66</f>
        <v># de actividades realizadas</v>
      </c>
      <c r="J250" s="283">
        <f>+'Plan de Accion apoyo transversa'!AT66</f>
        <v>0</v>
      </c>
      <c r="K250" s="615" t="str">
        <f>+'Plan de Accion apoyo transversa'!CE66</f>
        <v>No Prog ni Ejec</v>
      </c>
      <c r="L250" s="615" t="s">
        <v>206</v>
      </c>
      <c r="M250" s="615">
        <f>+'Plan de Accion apoyo transversa'!AX66</f>
        <v>0</v>
      </c>
      <c r="N250" s="615">
        <f t="shared" si="113"/>
        <v>0</v>
      </c>
      <c r="O250" s="617" t="s">
        <v>206</v>
      </c>
      <c r="P250" s="277"/>
      <c r="Q250" s="283">
        <f>+'Plan de Accion apoyo transversa'!BD66</f>
        <v>0</v>
      </c>
      <c r="R250" s="315">
        <f>+'Plan de Accion apoyo transversa'!CG66</f>
        <v>0</v>
      </c>
      <c r="S250" s="276" t="s">
        <v>206</v>
      </c>
      <c r="T250" s="373">
        <f>+'Plan de Accion apoyo transversa'!BH66</f>
        <v>0</v>
      </c>
      <c r="U250" s="373">
        <f t="shared" ref="U250:U256" si="128">IF(T250&gt;100%,100%,T250)</f>
        <v>0</v>
      </c>
      <c r="V250" s="275" t="s">
        <v>206</v>
      </c>
      <c r="W250" s="278"/>
      <c r="X250" s="283">
        <f>+'Plan de Accion apoyo transversa'!BN66</f>
        <v>0</v>
      </c>
      <c r="Y250" s="315" t="str">
        <f>+'Plan de Accion apoyo transversa'!CI66</f>
        <v>No Prog ni Ejec</v>
      </c>
      <c r="Z250" s="276">
        <f t="shared" si="127"/>
        <v>1</v>
      </c>
      <c r="AA250" s="282">
        <f>+'Plan de Accion apoyo transversa'!BR66</f>
        <v>0</v>
      </c>
      <c r="AB250" s="282">
        <f t="shared" ref="AB250:AB275" si="129">IF(AA250&gt;100%,100%,AA250)</f>
        <v>0</v>
      </c>
      <c r="AC250" s="281">
        <f t="shared" si="125"/>
        <v>0</v>
      </c>
      <c r="AD250" s="277"/>
      <c r="AE250" s="283">
        <f>+'Plan de Accion apoyo transversa'!BX66</f>
        <v>0</v>
      </c>
      <c r="AF250" s="315">
        <f>+'Plan de Accion apoyo transversa'!CK66</f>
        <v>0</v>
      </c>
      <c r="AG250" s="276" t="s">
        <v>206</v>
      </c>
      <c r="AH250" s="315">
        <f>+'Plan de Accion apoyo transversa'!CB66</f>
        <v>0</v>
      </c>
      <c r="AI250" s="275">
        <f t="shared" ref="AI250:AI256" si="130">IF(AH250&gt;100%,100%,AH250)</f>
        <v>0</v>
      </c>
      <c r="AJ250" s="286"/>
      <c r="AL250" s="381"/>
      <c r="AM250" s="287"/>
      <c r="AN250" s="267"/>
      <c r="AO250" s="381"/>
      <c r="AP250" s="287"/>
      <c r="AQ250" s="267"/>
      <c r="AR250" s="381"/>
      <c r="AS250" s="287"/>
      <c r="AT250" s="267"/>
      <c r="AU250" s="381"/>
      <c r="AV250" s="287"/>
      <c r="AW250" s="265"/>
      <c r="AX250" s="286"/>
      <c r="AZ250" s="381"/>
      <c r="BA250" s="287"/>
      <c r="BB250" s="267"/>
      <c r="BC250" s="381"/>
      <c r="BD250" s="287"/>
      <c r="BE250" s="267"/>
      <c r="BF250" s="381"/>
      <c r="BG250" s="287"/>
      <c r="BH250" s="267"/>
      <c r="BI250" s="381"/>
      <c r="BJ250" s="287"/>
      <c r="BK250" s="265"/>
      <c r="BL250" s="286"/>
      <c r="BN250" s="381"/>
      <c r="BO250" s="287"/>
      <c r="BP250" s="267"/>
      <c r="BQ250" s="381"/>
      <c r="BR250" s="287"/>
      <c r="BS250" s="267"/>
      <c r="BT250" s="381"/>
      <c r="BU250" s="287"/>
      <c r="BV250" s="267"/>
      <c r="BW250" s="381"/>
      <c r="BX250" s="287"/>
      <c r="BY250" s="265"/>
      <c r="BZ250" s="286"/>
      <c r="CB250" s="381"/>
      <c r="CC250" s="287"/>
      <c r="CD250" s="267"/>
      <c r="CE250" s="381"/>
      <c r="CF250" s="287"/>
      <c r="CG250" s="267"/>
      <c r="CH250" s="381"/>
      <c r="CI250" s="287"/>
      <c r="CJ250" s="267"/>
      <c r="CK250" s="381"/>
      <c r="CL250" s="287"/>
      <c r="CM250" s="265"/>
      <c r="CN250" s="286"/>
    </row>
    <row r="251" spans="2:92" ht="72" thickBot="1" x14ac:dyDescent="0.25">
      <c r="B251" s="970"/>
      <c r="C251" s="976"/>
      <c r="D251" s="949"/>
      <c r="E251" s="946"/>
      <c r="F251" s="949"/>
      <c r="G251" s="385" t="str">
        <f>+'Plan de Accion apoyo transversa'!X67</f>
        <v>Informes de resultado de la investigación</v>
      </c>
      <c r="H251" s="280" t="str">
        <f>+'Plan de Accion apoyo transversa'!AK67</f>
        <v># Informes de resultado de la investigación / # eventos de incidentes, accidentes de trabajo y/o enfermedades reportados</v>
      </c>
      <c r="J251" s="372">
        <f>+'Plan de Accion apoyo transversa'!AT67</f>
        <v>0.25</v>
      </c>
      <c r="K251" s="615">
        <f>+'Plan de Accion apoyo transversa'!CE67</f>
        <v>1</v>
      </c>
      <c r="L251" s="615">
        <f>IF(K251&gt;100%,100%,K251)</f>
        <v>1</v>
      </c>
      <c r="M251" s="615">
        <f>+'Plan de Accion apoyo transversa'!AX67</f>
        <v>0.25</v>
      </c>
      <c r="N251" s="615">
        <f t="shared" si="113"/>
        <v>0.25</v>
      </c>
      <c r="O251" s="617">
        <f>+N251</f>
        <v>0.25</v>
      </c>
      <c r="P251" s="277"/>
      <c r="Q251" s="279">
        <f>+'Plan de Accion apoyo transversa'!BD67</f>
        <v>0</v>
      </c>
      <c r="R251" s="315">
        <f>+'Plan de Accion apoyo transversa'!CG67</f>
        <v>0</v>
      </c>
      <c r="S251" s="276">
        <f>IF(R251&gt;100%,100%,R251)</f>
        <v>0</v>
      </c>
      <c r="T251" s="373">
        <f>+'Plan de Accion apoyo transversa'!BH67</f>
        <v>0.25</v>
      </c>
      <c r="U251" s="373">
        <f t="shared" si="128"/>
        <v>0.25</v>
      </c>
      <c r="V251" s="275">
        <f>+U251</f>
        <v>0.25</v>
      </c>
      <c r="W251" s="278"/>
      <c r="X251" s="279">
        <f>+'Plan de Accion apoyo transversa'!BN67</f>
        <v>0</v>
      </c>
      <c r="Y251" s="315">
        <f>+'Plan de Accion apoyo transversa'!CI67</f>
        <v>0</v>
      </c>
      <c r="Z251" s="276">
        <f t="shared" si="127"/>
        <v>0</v>
      </c>
      <c r="AA251" s="282">
        <f>+'Plan de Accion apoyo transversa'!BR67</f>
        <v>0.25</v>
      </c>
      <c r="AB251" s="282">
        <f t="shared" si="129"/>
        <v>0.25</v>
      </c>
      <c r="AC251" s="281">
        <f t="shared" si="125"/>
        <v>0.25</v>
      </c>
      <c r="AD251" s="277"/>
      <c r="AE251" s="279">
        <f>+'Plan de Accion apoyo transversa'!BX67</f>
        <v>0</v>
      </c>
      <c r="AF251" s="315">
        <f>+'Plan de Accion apoyo transversa'!CK67</f>
        <v>0</v>
      </c>
      <c r="AG251" s="276">
        <f>IF(AF251&gt;100%,100%,AF251)</f>
        <v>0</v>
      </c>
      <c r="AH251" s="315">
        <f>+'Plan de Accion apoyo transversa'!CB67</f>
        <v>0.25</v>
      </c>
      <c r="AI251" s="275">
        <f t="shared" si="130"/>
        <v>0.25</v>
      </c>
      <c r="AJ251" s="286"/>
      <c r="AL251" s="381"/>
      <c r="AM251" s="287"/>
      <c r="AN251" s="267"/>
      <c r="AO251" s="381"/>
      <c r="AP251" s="287"/>
      <c r="AQ251" s="267"/>
      <c r="AR251" s="381"/>
      <c r="AS251" s="287"/>
      <c r="AT251" s="267"/>
      <c r="AU251" s="381"/>
      <c r="AV251" s="287"/>
      <c r="AW251" s="265"/>
      <c r="AX251" s="286"/>
      <c r="AZ251" s="381"/>
      <c r="BA251" s="287"/>
      <c r="BB251" s="267"/>
      <c r="BC251" s="381"/>
      <c r="BD251" s="287"/>
      <c r="BE251" s="267"/>
      <c r="BF251" s="381"/>
      <c r="BG251" s="287"/>
      <c r="BH251" s="267"/>
      <c r="BI251" s="381"/>
      <c r="BJ251" s="287"/>
      <c r="BK251" s="265"/>
      <c r="BL251" s="286"/>
      <c r="BN251" s="381"/>
      <c r="BO251" s="287"/>
      <c r="BP251" s="267"/>
      <c r="BQ251" s="381"/>
      <c r="BR251" s="287"/>
      <c r="BS251" s="267"/>
      <c r="BT251" s="381"/>
      <c r="BU251" s="287"/>
      <c r="BV251" s="267"/>
      <c r="BW251" s="381"/>
      <c r="BX251" s="287"/>
      <c r="BY251" s="265"/>
      <c r="BZ251" s="286"/>
      <c r="CB251" s="381"/>
      <c r="CC251" s="287"/>
      <c r="CD251" s="267"/>
      <c r="CE251" s="381"/>
      <c r="CF251" s="287"/>
      <c r="CG251" s="267"/>
      <c r="CH251" s="381"/>
      <c r="CI251" s="287"/>
      <c r="CJ251" s="267"/>
      <c r="CK251" s="381"/>
      <c r="CL251" s="287"/>
      <c r="CM251" s="265"/>
      <c r="CN251" s="286"/>
    </row>
    <row r="252" spans="2:92" ht="86.25" thickBot="1" x14ac:dyDescent="0.25">
      <c r="B252" s="970"/>
      <c r="C252" s="976"/>
      <c r="D252" s="949"/>
      <c r="E252" s="946"/>
      <c r="F252" s="949"/>
      <c r="G252" s="385" t="str">
        <f>+'Plan de Accion apoyo transversa'!X68</f>
        <v>Reuniones - Inspecciones - Acompañamiento y seguimiento en el desarrollo del Comité paritario de seguridad y Salud en el trabajo</v>
      </c>
      <c r="H252" s="280" t="str">
        <f>+'Plan de Accion apoyo transversa'!AK68</f>
        <v># de actividades realizadas</v>
      </c>
      <c r="J252" s="283">
        <f>+'Plan de Accion apoyo transversa'!AT68</f>
        <v>1</v>
      </c>
      <c r="K252" s="615">
        <f>+'Plan de Accion apoyo transversa'!CE68</f>
        <v>1</v>
      </c>
      <c r="L252" s="615">
        <f>IF(K252&gt;100%,100%,K252)</f>
        <v>1</v>
      </c>
      <c r="M252" s="615">
        <f>+'Plan de Accion apoyo transversa'!AX68</f>
        <v>0.25</v>
      </c>
      <c r="N252" s="615">
        <f t="shared" si="113"/>
        <v>0.25</v>
      </c>
      <c r="O252" s="617">
        <f>+N252</f>
        <v>0.25</v>
      </c>
      <c r="P252" s="277"/>
      <c r="Q252" s="283">
        <f>+'Plan de Accion apoyo transversa'!BD68</f>
        <v>0</v>
      </c>
      <c r="R252" s="315">
        <f>+'Plan de Accion apoyo transversa'!CG68</f>
        <v>0</v>
      </c>
      <c r="S252" s="276">
        <f>IF(R252&gt;100%,100%,R252)</f>
        <v>0</v>
      </c>
      <c r="T252" s="373">
        <f>+'Plan de Accion apoyo transversa'!BH68</f>
        <v>0.25</v>
      </c>
      <c r="U252" s="373">
        <f t="shared" si="128"/>
        <v>0.25</v>
      </c>
      <c r="V252" s="275">
        <f>+U252</f>
        <v>0.25</v>
      </c>
      <c r="W252" s="278"/>
      <c r="X252" s="283">
        <f>+'Plan de Accion apoyo transversa'!BN68</f>
        <v>0</v>
      </c>
      <c r="Y252" s="315">
        <f>+'Plan de Accion apoyo transversa'!CI68</f>
        <v>0</v>
      </c>
      <c r="Z252" s="276">
        <f t="shared" si="127"/>
        <v>0</v>
      </c>
      <c r="AA252" s="282">
        <f>+'Plan de Accion apoyo transversa'!BR68</f>
        <v>0.25</v>
      </c>
      <c r="AB252" s="282">
        <f t="shared" si="129"/>
        <v>0.25</v>
      </c>
      <c r="AC252" s="281">
        <f t="shared" si="125"/>
        <v>0.25</v>
      </c>
      <c r="AD252" s="277"/>
      <c r="AE252" s="283">
        <f>+'Plan de Accion apoyo transversa'!BX68</f>
        <v>0</v>
      </c>
      <c r="AF252" s="315">
        <f>+'Plan de Accion apoyo transversa'!CK68</f>
        <v>0</v>
      </c>
      <c r="AG252" s="276">
        <f>IF(AF252&gt;100%,100%,AF252)</f>
        <v>0</v>
      </c>
      <c r="AH252" s="315">
        <f>+'Plan de Accion apoyo transversa'!CB68</f>
        <v>0.25</v>
      </c>
      <c r="AI252" s="275">
        <f t="shared" si="130"/>
        <v>0.25</v>
      </c>
      <c r="AJ252" s="286"/>
      <c r="AL252" s="381"/>
      <c r="AM252" s="287"/>
      <c r="AN252" s="267"/>
      <c r="AO252" s="381"/>
      <c r="AP252" s="287"/>
      <c r="AQ252" s="267"/>
      <c r="AR252" s="381"/>
      <c r="AS252" s="287"/>
      <c r="AT252" s="267"/>
      <c r="AU252" s="381"/>
      <c r="AV252" s="287"/>
      <c r="AW252" s="265"/>
      <c r="AX252" s="286"/>
      <c r="AZ252" s="381"/>
      <c r="BA252" s="287"/>
      <c r="BB252" s="267"/>
      <c r="BC252" s="381"/>
      <c r="BD252" s="287"/>
      <c r="BE252" s="267"/>
      <c r="BF252" s="381"/>
      <c r="BG252" s="287"/>
      <c r="BH252" s="267"/>
      <c r="BI252" s="381"/>
      <c r="BJ252" s="287"/>
      <c r="BK252" s="265"/>
      <c r="BL252" s="286"/>
      <c r="BN252" s="381"/>
      <c r="BO252" s="287"/>
      <c r="BP252" s="267"/>
      <c r="BQ252" s="381"/>
      <c r="BR252" s="287"/>
      <c r="BS252" s="267"/>
      <c r="BT252" s="381"/>
      <c r="BU252" s="287"/>
      <c r="BV252" s="267"/>
      <c r="BW252" s="381"/>
      <c r="BX252" s="287"/>
      <c r="BY252" s="265"/>
      <c r="BZ252" s="286"/>
      <c r="CB252" s="381"/>
      <c r="CC252" s="287"/>
      <c r="CD252" s="267"/>
      <c r="CE252" s="381"/>
      <c r="CF252" s="287"/>
      <c r="CG252" s="267"/>
      <c r="CH252" s="381"/>
      <c r="CI252" s="287"/>
      <c r="CJ252" s="267"/>
      <c r="CK252" s="381"/>
      <c r="CL252" s="287"/>
      <c r="CM252" s="265"/>
      <c r="CN252" s="286"/>
    </row>
    <row r="253" spans="2:92" ht="57.75" thickBot="1" x14ac:dyDescent="0.25">
      <c r="B253" s="970"/>
      <c r="C253" s="976"/>
      <c r="D253" s="949"/>
      <c r="E253" s="946"/>
      <c r="F253" s="949"/>
      <c r="G253" s="385" t="str">
        <f>+'Plan de Accion apoyo transversa'!X69</f>
        <v>Informe de la evaluación de cumplimiento del SG-SST de proveedores y contratistas "de personería jurídica"</v>
      </c>
      <c r="H253" s="280" t="str">
        <f>+'Plan de Accion apoyo transversa'!AK69</f>
        <v># de actividades realizadas</v>
      </c>
      <c r="J253" s="283">
        <f>+'Plan de Accion apoyo transversa'!AT69</f>
        <v>0</v>
      </c>
      <c r="K253" s="615" t="str">
        <f>+'Plan de Accion apoyo transversa'!CE69</f>
        <v>No Prog ni Ejec</v>
      </c>
      <c r="L253" s="615" t="s">
        <v>206</v>
      </c>
      <c r="M253" s="615">
        <f>+'Plan de Accion apoyo transversa'!AX69</f>
        <v>0</v>
      </c>
      <c r="N253" s="615">
        <f t="shared" si="113"/>
        <v>0</v>
      </c>
      <c r="O253" s="617" t="s">
        <v>206</v>
      </c>
      <c r="P253" s="277"/>
      <c r="Q253" s="283">
        <f>+'Plan de Accion apoyo transversa'!BD69</f>
        <v>0</v>
      </c>
      <c r="R253" s="315">
        <f>+'Plan de Accion apoyo transversa'!CG69</f>
        <v>0</v>
      </c>
      <c r="S253" s="276">
        <f>IF(R253&gt;100%,100%,R253)</f>
        <v>0</v>
      </c>
      <c r="T253" s="373">
        <f>+'Plan de Accion apoyo transversa'!BH69</f>
        <v>0</v>
      </c>
      <c r="U253" s="373">
        <f t="shared" si="128"/>
        <v>0</v>
      </c>
      <c r="V253" s="275">
        <f>+U253</f>
        <v>0</v>
      </c>
      <c r="W253" s="278"/>
      <c r="X253" s="283">
        <f>+'Plan de Accion apoyo transversa'!BN69</f>
        <v>0</v>
      </c>
      <c r="Y253" s="315" t="str">
        <f>+'Plan de Accion apoyo transversa'!CI69</f>
        <v>No Prog ni Ejec</v>
      </c>
      <c r="Z253" s="276" t="s">
        <v>206</v>
      </c>
      <c r="AA253" s="282">
        <f>+'Plan de Accion apoyo transversa'!BR69</f>
        <v>0</v>
      </c>
      <c r="AB253" s="282">
        <f t="shared" si="129"/>
        <v>0</v>
      </c>
      <c r="AC253" s="281">
        <f t="shared" si="125"/>
        <v>0</v>
      </c>
      <c r="AD253" s="277"/>
      <c r="AE253" s="283">
        <f>+'Plan de Accion apoyo transversa'!BX69</f>
        <v>0</v>
      </c>
      <c r="AF253" s="315">
        <f>+'Plan de Accion apoyo transversa'!CK69</f>
        <v>0</v>
      </c>
      <c r="AG253" s="276" t="s">
        <v>206</v>
      </c>
      <c r="AH253" s="315">
        <f>+'Plan de Accion apoyo transversa'!CB69</f>
        <v>0</v>
      </c>
      <c r="AI253" s="275">
        <f t="shared" si="130"/>
        <v>0</v>
      </c>
      <c r="AJ253" s="286"/>
      <c r="AL253" s="381"/>
      <c r="AM253" s="287"/>
      <c r="AN253" s="267"/>
      <c r="AO253" s="381"/>
      <c r="AP253" s="287"/>
      <c r="AQ253" s="267"/>
      <c r="AR253" s="381"/>
      <c r="AS253" s="287"/>
      <c r="AT253" s="267"/>
      <c r="AU253" s="381"/>
      <c r="AV253" s="287"/>
      <c r="AW253" s="265"/>
      <c r="AX253" s="286"/>
      <c r="AZ253" s="381"/>
      <c r="BA253" s="287"/>
      <c r="BB253" s="267"/>
      <c r="BC253" s="381"/>
      <c r="BD253" s="287"/>
      <c r="BE253" s="267"/>
      <c r="BF253" s="381"/>
      <c r="BG253" s="287"/>
      <c r="BH253" s="267"/>
      <c r="BI253" s="381"/>
      <c r="BJ253" s="287"/>
      <c r="BK253" s="265"/>
      <c r="BL253" s="286"/>
      <c r="BN253" s="381"/>
      <c r="BO253" s="287"/>
      <c r="BP253" s="267"/>
      <c r="BQ253" s="381"/>
      <c r="BR253" s="287"/>
      <c r="BS253" s="267"/>
      <c r="BT253" s="381"/>
      <c r="BU253" s="287"/>
      <c r="BV253" s="267"/>
      <c r="BW253" s="381"/>
      <c r="BX253" s="287"/>
      <c r="BY253" s="265"/>
      <c r="BZ253" s="286"/>
      <c r="CB253" s="381"/>
      <c r="CC253" s="287"/>
      <c r="CD253" s="267"/>
      <c r="CE253" s="381"/>
      <c r="CF253" s="287"/>
      <c r="CG253" s="267"/>
      <c r="CH253" s="381"/>
      <c r="CI253" s="287"/>
      <c r="CJ253" s="267"/>
      <c r="CK253" s="381"/>
      <c r="CL253" s="287"/>
      <c r="CM253" s="265"/>
      <c r="CN253" s="286"/>
    </row>
    <row r="254" spans="2:92" ht="29.25" thickBot="1" x14ac:dyDescent="0.25">
      <c r="B254" s="970"/>
      <c r="C254" s="976"/>
      <c r="D254" s="949"/>
      <c r="E254" s="946"/>
      <c r="F254" s="949"/>
      <c r="G254" s="385" t="str">
        <f>+'Plan de Accion apoyo transversa'!X70</f>
        <v>Informe de la auditoria interna del SG-SST</v>
      </c>
      <c r="H254" s="280" t="str">
        <f>+'Plan de Accion apoyo transversa'!AK70</f>
        <v># de actividades realizadas</v>
      </c>
      <c r="J254" s="283">
        <f>+'Plan de Accion apoyo transversa'!AT70</f>
        <v>0</v>
      </c>
      <c r="K254" s="615" t="str">
        <f>+'Plan de Accion apoyo transversa'!CE70</f>
        <v>No Prog ni Ejec</v>
      </c>
      <c r="L254" s="615" t="s">
        <v>206</v>
      </c>
      <c r="M254" s="615">
        <f>+'Plan de Accion apoyo transversa'!AX70</f>
        <v>0</v>
      </c>
      <c r="N254" s="615">
        <f t="shared" si="113"/>
        <v>0</v>
      </c>
      <c r="O254" s="617" t="s">
        <v>206</v>
      </c>
      <c r="P254" s="277"/>
      <c r="Q254" s="283">
        <f>+'Plan de Accion apoyo transversa'!BD70</f>
        <v>0</v>
      </c>
      <c r="R254" s="315" t="str">
        <f>+'Plan de Accion apoyo transversa'!CG70</f>
        <v>No Prog ni Ejec</v>
      </c>
      <c r="S254" s="276" t="s">
        <v>206</v>
      </c>
      <c r="T254" s="373">
        <f>+'Plan de Accion apoyo transversa'!BH70</f>
        <v>0</v>
      </c>
      <c r="U254" s="373">
        <f t="shared" si="128"/>
        <v>0</v>
      </c>
      <c r="V254" s="275" t="s">
        <v>206</v>
      </c>
      <c r="W254" s="278"/>
      <c r="X254" s="283">
        <f>+'Plan de Accion apoyo transversa'!BN70</f>
        <v>0</v>
      </c>
      <c r="Y254" s="315" t="str">
        <f>+'Plan de Accion apoyo transversa'!CI70</f>
        <v>No Prog ni Ejec</v>
      </c>
      <c r="Z254" s="276" t="s">
        <v>206</v>
      </c>
      <c r="AA254" s="282">
        <f>+'Plan de Accion apoyo transversa'!BR70</f>
        <v>0</v>
      </c>
      <c r="AB254" s="282">
        <f t="shared" si="129"/>
        <v>0</v>
      </c>
      <c r="AC254" s="281" t="s">
        <v>206</v>
      </c>
      <c r="AD254" s="277"/>
      <c r="AE254" s="283">
        <f>+'Plan de Accion apoyo transversa'!BX70</f>
        <v>0</v>
      </c>
      <c r="AF254" s="315">
        <f>+'Plan de Accion apoyo transversa'!CK70</f>
        <v>0</v>
      </c>
      <c r="AG254" s="276">
        <f>IF(AF254&gt;100%,100%,AF254)</f>
        <v>0</v>
      </c>
      <c r="AH254" s="315">
        <f>+'Plan de Accion apoyo transversa'!CB70</f>
        <v>0</v>
      </c>
      <c r="AI254" s="275">
        <f t="shared" si="130"/>
        <v>0</v>
      </c>
      <c r="AJ254" s="286"/>
      <c r="AL254" s="381"/>
      <c r="AM254" s="287"/>
      <c r="AN254" s="267"/>
      <c r="AO254" s="381"/>
      <c r="AP254" s="287"/>
      <c r="AQ254" s="267"/>
      <c r="AR254" s="381"/>
      <c r="AS254" s="287"/>
      <c r="AT254" s="267"/>
      <c r="AU254" s="381"/>
      <c r="AV254" s="287"/>
      <c r="AW254" s="265"/>
      <c r="AX254" s="286"/>
      <c r="AZ254" s="381"/>
      <c r="BA254" s="287"/>
      <c r="BB254" s="267"/>
      <c r="BC254" s="381"/>
      <c r="BD254" s="287"/>
      <c r="BE254" s="267"/>
      <c r="BF254" s="381"/>
      <c r="BG254" s="287"/>
      <c r="BH254" s="267"/>
      <c r="BI254" s="381"/>
      <c r="BJ254" s="287"/>
      <c r="BK254" s="265"/>
      <c r="BL254" s="286"/>
      <c r="BN254" s="381"/>
      <c r="BO254" s="287"/>
      <c r="BP254" s="267"/>
      <c r="BQ254" s="381"/>
      <c r="BR254" s="287"/>
      <c r="BS254" s="267"/>
      <c r="BT254" s="381"/>
      <c r="BU254" s="287"/>
      <c r="BV254" s="267"/>
      <c r="BW254" s="381"/>
      <c r="BX254" s="287"/>
      <c r="BY254" s="265"/>
      <c r="BZ254" s="286"/>
      <c r="CB254" s="381"/>
      <c r="CC254" s="287"/>
      <c r="CD254" s="267"/>
      <c r="CE254" s="381"/>
      <c r="CF254" s="287"/>
      <c r="CG254" s="267"/>
      <c r="CH254" s="381"/>
      <c r="CI254" s="287"/>
      <c r="CJ254" s="267"/>
      <c r="CK254" s="381"/>
      <c r="CL254" s="287"/>
      <c r="CM254" s="265"/>
      <c r="CN254" s="286"/>
    </row>
    <row r="255" spans="2:92" ht="57.75" thickBot="1" x14ac:dyDescent="0.25">
      <c r="B255" s="970"/>
      <c r="C255" s="976"/>
      <c r="D255" s="949"/>
      <c r="E255" s="946"/>
      <c r="F255" s="949"/>
      <c r="G255" s="385" t="str">
        <f>+'Plan de Accion apoyo transversa'!X71</f>
        <v>Plan de acción de los hallazgos generados por auditoria interna o entes de control.</v>
      </c>
      <c r="H255" s="280" t="str">
        <f>+'Plan de Accion apoyo transversa'!AK71</f>
        <v># de actividades realizadas</v>
      </c>
      <c r="J255" s="283">
        <f>+'Plan de Accion apoyo transversa'!AT71</f>
        <v>0</v>
      </c>
      <c r="K255" s="615" t="str">
        <f>+'Plan de Accion apoyo transversa'!CE71</f>
        <v>No Prog ni Ejec</v>
      </c>
      <c r="L255" s="615" t="s">
        <v>206</v>
      </c>
      <c r="M255" s="615">
        <f>+'Plan de Accion apoyo transversa'!AX71</f>
        <v>0</v>
      </c>
      <c r="N255" s="615">
        <f t="shared" si="113"/>
        <v>0</v>
      </c>
      <c r="O255" s="617" t="s">
        <v>206</v>
      </c>
      <c r="P255" s="277"/>
      <c r="Q255" s="283">
        <f>+'Plan de Accion apoyo transversa'!BD71</f>
        <v>0</v>
      </c>
      <c r="R255" s="315" t="str">
        <f>+'Plan de Accion apoyo transversa'!CG71</f>
        <v>No Prog ni Ejec</v>
      </c>
      <c r="S255" s="276" t="s">
        <v>206</v>
      </c>
      <c r="T255" s="373">
        <f>+'Plan de Accion apoyo transversa'!BH71</f>
        <v>0</v>
      </c>
      <c r="U255" s="373">
        <f t="shared" si="128"/>
        <v>0</v>
      </c>
      <c r="V255" s="275" t="s">
        <v>206</v>
      </c>
      <c r="W255" s="278"/>
      <c r="X255" s="283">
        <f>+'Plan de Accion apoyo transversa'!BN71</f>
        <v>0</v>
      </c>
      <c r="Y255" s="315" t="str">
        <f>+'Plan de Accion apoyo transversa'!CI71</f>
        <v>No Prog ni Ejec</v>
      </c>
      <c r="Z255" s="276" t="s">
        <v>206</v>
      </c>
      <c r="AA255" s="282">
        <f>+'Plan de Accion apoyo transversa'!BR71</f>
        <v>0</v>
      </c>
      <c r="AB255" s="282">
        <f t="shared" si="129"/>
        <v>0</v>
      </c>
      <c r="AC255" s="281" t="s">
        <v>206</v>
      </c>
      <c r="AD255" s="277"/>
      <c r="AE255" s="283">
        <f>+'Plan de Accion apoyo transversa'!BX71</f>
        <v>0</v>
      </c>
      <c r="AF255" s="315">
        <f>+'Plan de Accion apoyo transversa'!CK71</f>
        <v>0</v>
      </c>
      <c r="AG255" s="276">
        <f>IF(AF255&gt;100%,100%,AF255)</f>
        <v>0</v>
      </c>
      <c r="AH255" s="315">
        <f>+'Plan de Accion apoyo transversa'!CB71</f>
        <v>0</v>
      </c>
      <c r="AI255" s="275">
        <f t="shared" si="130"/>
        <v>0</v>
      </c>
      <c r="AJ255" s="286"/>
      <c r="AL255" s="381"/>
      <c r="AM255" s="287"/>
      <c r="AN255" s="267"/>
      <c r="AO255" s="381"/>
      <c r="AP255" s="287"/>
      <c r="AQ255" s="267"/>
      <c r="AR255" s="381"/>
      <c r="AS255" s="287"/>
      <c r="AT255" s="267"/>
      <c r="AU255" s="381"/>
      <c r="AV255" s="287"/>
      <c r="AW255" s="265"/>
      <c r="AX255" s="286"/>
      <c r="AZ255" s="381"/>
      <c r="BA255" s="287"/>
      <c r="BB255" s="267"/>
      <c r="BC255" s="381"/>
      <c r="BD255" s="287"/>
      <c r="BE255" s="267"/>
      <c r="BF255" s="381"/>
      <c r="BG255" s="287"/>
      <c r="BH255" s="267"/>
      <c r="BI255" s="381"/>
      <c r="BJ255" s="287"/>
      <c r="BK255" s="265"/>
      <c r="BL255" s="286"/>
      <c r="BN255" s="381"/>
      <c r="BO255" s="287"/>
      <c r="BP255" s="267"/>
      <c r="BQ255" s="381"/>
      <c r="BR255" s="287"/>
      <c r="BS255" s="267"/>
      <c r="BT255" s="381"/>
      <c r="BU255" s="287"/>
      <c r="BV255" s="267"/>
      <c r="BW255" s="381"/>
      <c r="BX255" s="287"/>
      <c r="BY255" s="265"/>
      <c r="BZ255" s="286"/>
      <c r="CB255" s="381"/>
      <c r="CC255" s="287"/>
      <c r="CD255" s="267"/>
      <c r="CE255" s="381"/>
      <c r="CF255" s="287"/>
      <c r="CG255" s="267"/>
      <c r="CH255" s="381"/>
      <c r="CI255" s="287"/>
      <c r="CJ255" s="267"/>
      <c r="CK255" s="381"/>
      <c r="CL255" s="287"/>
      <c r="CM255" s="265"/>
      <c r="CN255" s="286"/>
    </row>
    <row r="256" spans="2:92" ht="15.75" thickBot="1" x14ac:dyDescent="0.25">
      <c r="B256" s="970"/>
      <c r="C256" s="976"/>
      <c r="D256" s="949"/>
      <c r="E256" s="946"/>
      <c r="F256" s="949"/>
      <c r="G256" s="385" t="str">
        <f>+'Plan de Accion apoyo transversa'!X72</f>
        <v>Profesiograma elaborado</v>
      </c>
      <c r="H256" s="280" t="str">
        <f>+'Plan de Accion apoyo transversa'!AK72</f>
        <v># Profesiogramas elaborados</v>
      </c>
      <c r="J256" s="283">
        <f>+'Plan de Accion apoyo transversa'!AT72</f>
        <v>0</v>
      </c>
      <c r="K256" s="615" t="str">
        <f>+'Plan de Accion apoyo transversa'!CE72</f>
        <v>No Prog ni Ejec</v>
      </c>
      <c r="L256" s="615" t="s">
        <v>206</v>
      </c>
      <c r="M256" s="615">
        <f>+'Plan de Accion apoyo transversa'!AX72</f>
        <v>0</v>
      </c>
      <c r="N256" s="615">
        <f t="shared" si="113"/>
        <v>0</v>
      </c>
      <c r="O256" s="617" t="s">
        <v>206</v>
      </c>
      <c r="P256" s="277"/>
      <c r="Q256" s="283">
        <f>+'Plan de Accion apoyo transversa'!BD72</f>
        <v>0</v>
      </c>
      <c r="R256" s="315" t="str">
        <f>+'Plan de Accion apoyo transversa'!CG72</f>
        <v>No Prog ni Ejec</v>
      </c>
      <c r="S256" s="276" t="s">
        <v>206</v>
      </c>
      <c r="T256" s="373">
        <f>+'Plan de Accion apoyo transversa'!BH72</f>
        <v>0</v>
      </c>
      <c r="U256" s="373">
        <f t="shared" si="128"/>
        <v>0</v>
      </c>
      <c r="V256" s="275" t="s">
        <v>206</v>
      </c>
      <c r="W256" s="278"/>
      <c r="X256" s="283">
        <f>+'Plan de Accion apoyo transversa'!BN72</f>
        <v>0</v>
      </c>
      <c r="Y256" s="315" t="str">
        <f>+'Plan de Accion apoyo transversa'!CI72</f>
        <v>No Prog ni Ejec</v>
      </c>
      <c r="Z256" s="276" t="s">
        <v>206</v>
      </c>
      <c r="AA256" s="282">
        <f>+'Plan de Accion apoyo transversa'!BR72</f>
        <v>0</v>
      </c>
      <c r="AB256" s="282">
        <f t="shared" si="129"/>
        <v>0</v>
      </c>
      <c r="AC256" s="281" t="s">
        <v>206</v>
      </c>
      <c r="AD256" s="277"/>
      <c r="AE256" s="283">
        <f>+'Plan de Accion apoyo transversa'!BX72</f>
        <v>0</v>
      </c>
      <c r="AF256" s="315">
        <f>+'Plan de Accion apoyo transversa'!CK72</f>
        <v>0</v>
      </c>
      <c r="AG256" s="276">
        <f>IF(AF256&gt;100%,100%,AF256)</f>
        <v>0</v>
      </c>
      <c r="AH256" s="315">
        <f>+'Plan de Accion apoyo transversa'!CB72</f>
        <v>0</v>
      </c>
      <c r="AI256" s="275">
        <f t="shared" si="130"/>
        <v>0</v>
      </c>
      <c r="AJ256" s="286"/>
      <c r="AL256" s="381"/>
      <c r="AM256" s="287"/>
      <c r="AN256" s="267"/>
      <c r="AO256" s="381"/>
      <c r="AP256" s="287"/>
      <c r="AQ256" s="267"/>
      <c r="AR256" s="381"/>
      <c r="AS256" s="287"/>
      <c r="AT256" s="267"/>
      <c r="AU256" s="381"/>
      <c r="AV256" s="287"/>
      <c r="AW256" s="265"/>
      <c r="AX256" s="286"/>
      <c r="AZ256" s="381"/>
      <c r="BA256" s="287"/>
      <c r="BB256" s="267"/>
      <c r="BC256" s="381"/>
      <c r="BD256" s="287"/>
      <c r="BE256" s="267"/>
      <c r="BF256" s="381"/>
      <c r="BG256" s="287"/>
      <c r="BH256" s="267"/>
      <c r="BI256" s="381"/>
      <c r="BJ256" s="287"/>
      <c r="BK256" s="265"/>
      <c r="BL256" s="286"/>
      <c r="BN256" s="381"/>
      <c r="BO256" s="287"/>
      <c r="BP256" s="267"/>
      <c r="BQ256" s="381"/>
      <c r="BR256" s="287"/>
      <c r="BS256" s="267"/>
      <c r="BT256" s="381"/>
      <c r="BU256" s="287"/>
      <c r="BV256" s="267"/>
      <c r="BW256" s="381"/>
      <c r="BX256" s="287"/>
      <c r="BY256" s="265"/>
      <c r="BZ256" s="286"/>
      <c r="CB256" s="381"/>
      <c r="CC256" s="287"/>
      <c r="CD256" s="267"/>
      <c r="CE256" s="381"/>
      <c r="CF256" s="287"/>
      <c r="CG256" s="267"/>
      <c r="CH256" s="381"/>
      <c r="CI256" s="287"/>
      <c r="CJ256" s="267"/>
      <c r="CK256" s="381"/>
      <c r="CL256" s="287"/>
      <c r="CM256" s="265"/>
      <c r="CN256" s="286"/>
    </row>
    <row r="257" spans="2:92" ht="83.25" customHeight="1" thickBot="1" x14ac:dyDescent="0.25">
      <c r="B257" s="970"/>
      <c r="C257" s="976"/>
      <c r="D257" s="949"/>
      <c r="E257" s="946"/>
      <c r="F257" s="950"/>
      <c r="G257" s="385" t="str">
        <f>+'Plan de Accion apoyo transversa'!X73</f>
        <v>Documento de estudios ambientales elaborado
Documento de estudios ergonómicos en salud ocupacional elaborado</v>
      </c>
      <c r="H257" s="280" t="str">
        <f>+'Plan de Accion apoyo transversa'!AK73</f>
        <v># Estudios ambientales y ergonómicos realizados</v>
      </c>
      <c r="J257" s="283">
        <f>+'Plan de Accion apoyo transversa'!AT73</f>
        <v>0</v>
      </c>
      <c r="K257" s="615" t="str">
        <f>+'Plan de Accion apoyo transversa'!CE73</f>
        <v>No Prog ni Ejec</v>
      </c>
      <c r="L257" s="615" t="s">
        <v>206</v>
      </c>
      <c r="M257" s="615">
        <f>+'Plan de Accion apoyo transversa'!AX73</f>
        <v>0</v>
      </c>
      <c r="N257" s="615">
        <f t="shared" si="113"/>
        <v>0</v>
      </c>
      <c r="O257" s="617" t="s">
        <v>206</v>
      </c>
      <c r="P257" s="277"/>
      <c r="Q257" s="283">
        <f>+'Plan de Accion apoyo transversa'!BD73</f>
        <v>0</v>
      </c>
      <c r="R257" s="315" t="str">
        <f>+'Plan de Accion apoyo transversa'!CG73</f>
        <v>No Prog ni Ejec</v>
      </c>
      <c r="S257" s="276" t="s">
        <v>206</v>
      </c>
      <c r="T257" s="373">
        <f>+'Plan de Accion apoyo transversa'!BH73</f>
        <v>0</v>
      </c>
      <c r="U257" s="373">
        <f t="shared" ref="U257:U287" si="131">IF(T257&gt;100%,100%,T257)</f>
        <v>0</v>
      </c>
      <c r="V257" s="275" t="s">
        <v>206</v>
      </c>
      <c r="W257" s="278"/>
      <c r="X257" s="283">
        <f>+'Plan de Accion apoyo transversa'!BN73</f>
        <v>0</v>
      </c>
      <c r="Y257" s="315">
        <f>+'Plan de Accion apoyo transversa'!CI73</f>
        <v>0</v>
      </c>
      <c r="Z257" s="276">
        <f>IF(Y257&gt;100%,100%,Y257)</f>
        <v>0</v>
      </c>
      <c r="AA257" s="282">
        <f>+'Plan de Accion apoyo transversa'!BR73</f>
        <v>0</v>
      </c>
      <c r="AB257" s="282">
        <f t="shared" si="129"/>
        <v>0</v>
      </c>
      <c r="AC257" s="281">
        <f t="shared" ref="AC257:AC265" si="132">+AB257</f>
        <v>0</v>
      </c>
      <c r="AD257" s="277"/>
      <c r="AE257" s="283">
        <f>+'Plan de Accion apoyo transversa'!BX73</f>
        <v>0</v>
      </c>
      <c r="AF257" s="315" t="str">
        <f>+'Plan de Accion apoyo transversa'!CK73</f>
        <v>No Prog ni Ejec</v>
      </c>
      <c r="AG257" s="276" t="s">
        <v>206</v>
      </c>
      <c r="AH257" s="315">
        <f>+'Plan de Accion apoyo transversa'!CB73</f>
        <v>0</v>
      </c>
      <c r="AI257" s="275">
        <f t="shared" ref="AI257:AI287" si="133">IF(AH257&gt;100%,100%,AH257)</f>
        <v>0</v>
      </c>
      <c r="AJ257" s="286"/>
      <c r="AL257" s="381"/>
      <c r="AM257" s="287"/>
      <c r="AN257" s="267"/>
      <c r="AO257" s="381"/>
      <c r="AP257" s="287"/>
      <c r="AQ257" s="267"/>
      <c r="AR257" s="381"/>
      <c r="AS257" s="287"/>
      <c r="AT257" s="267"/>
      <c r="AU257" s="381"/>
      <c r="AV257" s="287"/>
      <c r="AW257" s="265"/>
      <c r="AX257" s="286"/>
      <c r="AZ257" s="381"/>
      <c r="BA257" s="287"/>
      <c r="BB257" s="267"/>
      <c r="BC257" s="381"/>
      <c r="BD257" s="287"/>
      <c r="BE257" s="267"/>
      <c r="BF257" s="381"/>
      <c r="BG257" s="287"/>
      <c r="BH257" s="267"/>
      <c r="BI257" s="381"/>
      <c r="BJ257" s="287"/>
      <c r="BK257" s="265"/>
      <c r="BL257" s="286"/>
      <c r="BN257" s="381"/>
      <c r="BO257" s="287"/>
      <c r="BP257" s="267"/>
      <c r="BQ257" s="381"/>
      <c r="BR257" s="287"/>
      <c r="BS257" s="267"/>
      <c r="BT257" s="381"/>
      <c r="BU257" s="287"/>
      <c r="BV257" s="267"/>
      <c r="BW257" s="381"/>
      <c r="BX257" s="287"/>
      <c r="BY257" s="265"/>
      <c r="BZ257" s="286"/>
      <c r="CB257" s="381"/>
      <c r="CC257" s="287"/>
      <c r="CD257" s="267"/>
      <c r="CE257" s="381"/>
      <c r="CF257" s="287"/>
      <c r="CG257" s="267"/>
      <c r="CH257" s="381"/>
      <c r="CI257" s="287"/>
      <c r="CJ257" s="267"/>
      <c r="CK257" s="381"/>
      <c r="CL257" s="287"/>
      <c r="CM257" s="265"/>
      <c r="CN257" s="286"/>
    </row>
    <row r="258" spans="2:92" ht="29.25" thickBot="1" x14ac:dyDescent="0.25">
      <c r="B258" s="970"/>
      <c r="C258" s="976"/>
      <c r="D258" s="949"/>
      <c r="E258" s="946"/>
      <c r="F258" s="948" t="s">
        <v>922</v>
      </c>
      <c r="G258" s="385" t="str">
        <f>+'Plan de Accion apoyo transversa'!X116</f>
        <v>Manual de funciones actualizado</v>
      </c>
      <c r="H258" s="280" t="str">
        <f>+'Plan de Accion apoyo transversa'!AK116</f>
        <v># Manual de funciones actualizados</v>
      </c>
      <c r="J258" s="283">
        <f>+'Plan de Accion apoyo transversa'!AT116</f>
        <v>0</v>
      </c>
      <c r="K258" s="615" t="str">
        <f>+'Plan de Accion apoyo transversa'!CE116</f>
        <v>No Prog ni Ejec</v>
      </c>
      <c r="L258" s="615" t="s">
        <v>206</v>
      </c>
      <c r="M258" s="615">
        <f>+'Plan de Accion apoyo transversa'!AX116</f>
        <v>0</v>
      </c>
      <c r="N258" s="615">
        <f t="shared" si="113"/>
        <v>0</v>
      </c>
      <c r="O258" s="617" t="s">
        <v>206</v>
      </c>
      <c r="P258" s="277"/>
      <c r="Q258" s="283">
        <f>+'Plan de Accion apoyo transversa'!BD116</f>
        <v>0</v>
      </c>
      <c r="R258" s="315" t="str">
        <f>+'Plan de Accion apoyo transversa'!CG116</f>
        <v>No Prog ni Ejec</v>
      </c>
      <c r="S258" s="276" t="s">
        <v>206</v>
      </c>
      <c r="T258" s="373">
        <f>+'Plan de Accion apoyo transversa'!BH116</f>
        <v>0</v>
      </c>
      <c r="U258" s="373">
        <f t="shared" si="131"/>
        <v>0</v>
      </c>
      <c r="V258" s="275" t="s">
        <v>206</v>
      </c>
      <c r="W258" s="278"/>
      <c r="X258" s="283">
        <f>+'Plan de Accion apoyo transversa'!BN116</f>
        <v>0</v>
      </c>
      <c r="Y258" s="315">
        <f>+'Plan de Accion apoyo transversa'!CI116</f>
        <v>0</v>
      </c>
      <c r="Z258" s="276">
        <f>IF(Y258&gt;100%,100%,Y258)</f>
        <v>0</v>
      </c>
      <c r="AA258" s="282">
        <f>+'Plan de Accion apoyo transversa'!BR116</f>
        <v>0</v>
      </c>
      <c r="AB258" s="282">
        <f t="shared" si="129"/>
        <v>0</v>
      </c>
      <c r="AC258" s="281">
        <f t="shared" si="132"/>
        <v>0</v>
      </c>
      <c r="AD258" s="277"/>
      <c r="AE258" s="283">
        <f>+'Plan de Accion apoyo transversa'!BX116</f>
        <v>0</v>
      </c>
      <c r="AF258" s="315" t="str">
        <f>+'Plan de Accion apoyo transversa'!CK116</f>
        <v>No Prog ni Ejec</v>
      </c>
      <c r="AG258" s="276" t="s">
        <v>206</v>
      </c>
      <c r="AH258" s="315">
        <f>+'Plan de Accion apoyo transversa'!CB116</f>
        <v>0</v>
      </c>
      <c r="AI258" s="275">
        <f t="shared" si="133"/>
        <v>0</v>
      </c>
      <c r="AJ258" s="286"/>
      <c r="AL258" s="381"/>
      <c r="AM258" s="287"/>
      <c r="AN258" s="267"/>
      <c r="AO258" s="381"/>
      <c r="AP258" s="287"/>
      <c r="AQ258" s="267"/>
      <c r="AR258" s="381"/>
      <c r="AS258" s="287"/>
      <c r="AT258" s="267"/>
      <c r="AU258" s="381"/>
      <c r="AV258" s="287"/>
      <c r="AW258" s="265"/>
      <c r="AX258" s="286"/>
      <c r="AZ258" s="381"/>
      <c r="BA258" s="287"/>
      <c r="BB258" s="267"/>
      <c r="BC258" s="381"/>
      <c r="BD258" s="287"/>
      <c r="BE258" s="267"/>
      <c r="BF258" s="381"/>
      <c r="BG258" s="287"/>
      <c r="BH258" s="267"/>
      <c r="BI258" s="381"/>
      <c r="BJ258" s="287"/>
      <c r="BK258" s="265"/>
      <c r="BL258" s="286"/>
      <c r="BN258" s="381"/>
      <c r="BO258" s="287"/>
      <c r="BP258" s="267"/>
      <c r="BQ258" s="381"/>
      <c r="BR258" s="287"/>
      <c r="BS258" s="267"/>
      <c r="BT258" s="381"/>
      <c r="BU258" s="287"/>
      <c r="BV258" s="267"/>
      <c r="BW258" s="381"/>
      <c r="BX258" s="287"/>
      <c r="BY258" s="265"/>
      <c r="BZ258" s="286"/>
      <c r="CB258" s="381"/>
      <c r="CC258" s="287"/>
      <c r="CD258" s="267"/>
      <c r="CE258" s="381"/>
      <c r="CF258" s="287"/>
      <c r="CG258" s="267"/>
      <c r="CH258" s="381"/>
      <c r="CI258" s="287"/>
      <c r="CJ258" s="267"/>
      <c r="CK258" s="381"/>
      <c r="CL258" s="287"/>
      <c r="CM258" s="265"/>
      <c r="CN258" s="286"/>
    </row>
    <row r="259" spans="2:92" ht="29.25" thickBot="1" x14ac:dyDescent="0.25">
      <c r="B259" s="970"/>
      <c r="C259" s="976"/>
      <c r="D259" s="949"/>
      <c r="E259" s="946"/>
      <c r="F259" s="949"/>
      <c r="G259" s="385" t="str">
        <f>+'Plan de Accion apoyo transversa'!X117</f>
        <v xml:space="preserve">Solicitud a la CNSC sobre la apertura de la OPEC </v>
      </c>
      <c r="H259" s="280" t="str">
        <f>+'Plan de Accion apoyo transversa'!AK117</f>
        <v># Solicitud a la CNSC</v>
      </c>
      <c r="J259" s="283">
        <f>+'Plan de Accion apoyo transversa'!AT117</f>
        <v>0</v>
      </c>
      <c r="K259" s="615" t="str">
        <f>+'Plan de Accion apoyo transversa'!CE117</f>
        <v>No Prog ni Ejec</v>
      </c>
      <c r="L259" s="615" t="s">
        <v>206</v>
      </c>
      <c r="M259" s="615">
        <f>+'Plan de Accion apoyo transversa'!AX117</f>
        <v>0</v>
      </c>
      <c r="N259" s="615">
        <f t="shared" si="113"/>
        <v>0</v>
      </c>
      <c r="O259" s="617" t="s">
        <v>206</v>
      </c>
      <c r="P259" s="277"/>
      <c r="Q259" s="283">
        <f>+'Plan de Accion apoyo transversa'!BD117</f>
        <v>0</v>
      </c>
      <c r="R259" s="315" t="str">
        <f>+'Plan de Accion apoyo transversa'!CG117</f>
        <v>No Prog ni Ejec</v>
      </c>
      <c r="S259" s="276" t="s">
        <v>206</v>
      </c>
      <c r="T259" s="373">
        <f>+'Plan de Accion apoyo transversa'!BH117</f>
        <v>0</v>
      </c>
      <c r="U259" s="373">
        <f t="shared" si="131"/>
        <v>0</v>
      </c>
      <c r="V259" s="275" t="s">
        <v>206</v>
      </c>
      <c r="W259" s="278"/>
      <c r="X259" s="283">
        <f>+'Plan de Accion apoyo transversa'!BN117</f>
        <v>0</v>
      </c>
      <c r="Y259" s="315">
        <f>+'Plan de Accion apoyo transversa'!CI117</f>
        <v>0</v>
      </c>
      <c r="Z259" s="276">
        <f>IF(Y259&gt;100%,100%,Y259)</f>
        <v>0</v>
      </c>
      <c r="AA259" s="282">
        <f>+'Plan de Accion apoyo transversa'!BR117</f>
        <v>0</v>
      </c>
      <c r="AB259" s="282">
        <f t="shared" si="129"/>
        <v>0</v>
      </c>
      <c r="AC259" s="281">
        <f t="shared" si="132"/>
        <v>0</v>
      </c>
      <c r="AD259" s="277"/>
      <c r="AE259" s="283">
        <f>+'Plan de Accion apoyo transversa'!BX117</f>
        <v>0</v>
      </c>
      <c r="AF259" s="315" t="str">
        <f>+'Plan de Accion apoyo transversa'!CK117</f>
        <v>No Prog ni Ejec</v>
      </c>
      <c r="AG259" s="276" t="s">
        <v>206</v>
      </c>
      <c r="AH259" s="315">
        <f>+'Plan de Accion apoyo transversa'!CB117</f>
        <v>0</v>
      </c>
      <c r="AI259" s="275">
        <f t="shared" si="133"/>
        <v>0</v>
      </c>
      <c r="AJ259" s="286"/>
      <c r="AL259" s="381"/>
      <c r="AM259" s="287"/>
      <c r="AN259" s="267"/>
      <c r="AO259" s="381"/>
      <c r="AP259" s="287"/>
      <c r="AQ259" s="267"/>
      <c r="AR259" s="381"/>
      <c r="AS259" s="287"/>
      <c r="AT259" s="267"/>
      <c r="AU259" s="381"/>
      <c r="AV259" s="287"/>
      <c r="AW259" s="265"/>
      <c r="AX259" s="286"/>
      <c r="AZ259" s="381"/>
      <c r="BA259" s="287"/>
      <c r="BB259" s="267"/>
      <c r="BC259" s="381"/>
      <c r="BD259" s="287"/>
      <c r="BE259" s="267"/>
      <c r="BF259" s="381"/>
      <c r="BG259" s="287"/>
      <c r="BH259" s="267"/>
      <c r="BI259" s="381"/>
      <c r="BJ259" s="287"/>
      <c r="BK259" s="265"/>
      <c r="BL259" s="286"/>
      <c r="BN259" s="381"/>
      <c r="BO259" s="287"/>
      <c r="BP259" s="267"/>
      <c r="BQ259" s="381"/>
      <c r="BR259" s="287"/>
      <c r="BS259" s="267"/>
      <c r="BT259" s="381"/>
      <c r="BU259" s="287"/>
      <c r="BV259" s="267"/>
      <c r="BW259" s="381"/>
      <c r="BX259" s="287"/>
      <c r="BY259" s="265"/>
      <c r="BZ259" s="286"/>
      <c r="CB259" s="381"/>
      <c r="CC259" s="287"/>
      <c r="CD259" s="267"/>
      <c r="CE259" s="381"/>
      <c r="CF259" s="287"/>
      <c r="CG259" s="267"/>
      <c r="CH259" s="381"/>
      <c r="CI259" s="287"/>
      <c r="CJ259" s="267"/>
      <c r="CK259" s="381"/>
      <c r="CL259" s="287"/>
      <c r="CM259" s="265"/>
      <c r="CN259" s="286"/>
    </row>
    <row r="260" spans="2:92" ht="29.25" thickBot="1" x14ac:dyDescent="0.25">
      <c r="B260" s="970"/>
      <c r="C260" s="976"/>
      <c r="D260" s="949"/>
      <c r="E260" s="946"/>
      <c r="F260" s="950"/>
      <c r="G260" s="385" t="str">
        <f>+'Plan de Accion apoyo transversa'!X118</f>
        <v>Informe de la OPEC actualizada</v>
      </c>
      <c r="H260" s="280" t="str">
        <f>+'Plan de Accion apoyo transversa'!AK118</f>
        <v># Informe de Actualización</v>
      </c>
      <c r="J260" s="283">
        <f>+'Plan de Accion apoyo transversa'!AT118</f>
        <v>0</v>
      </c>
      <c r="K260" s="615" t="str">
        <f>+'Plan de Accion apoyo transversa'!CE118</f>
        <v>No Prog ni Ejec</v>
      </c>
      <c r="L260" s="615" t="s">
        <v>206</v>
      </c>
      <c r="M260" s="615">
        <f>+'Plan de Accion apoyo transversa'!AX118</f>
        <v>0</v>
      </c>
      <c r="N260" s="615">
        <f t="shared" si="113"/>
        <v>0</v>
      </c>
      <c r="O260" s="617" t="s">
        <v>206</v>
      </c>
      <c r="P260" s="277"/>
      <c r="Q260" s="283">
        <f>+'Plan de Accion apoyo transversa'!BD118</f>
        <v>0</v>
      </c>
      <c r="R260" s="315" t="str">
        <f>+'Plan de Accion apoyo transversa'!CG118</f>
        <v>No Prog ni Ejec</v>
      </c>
      <c r="S260" s="276" t="s">
        <v>206</v>
      </c>
      <c r="T260" s="373">
        <f>+'Plan de Accion apoyo transversa'!BH118</f>
        <v>0</v>
      </c>
      <c r="U260" s="373">
        <f t="shared" si="131"/>
        <v>0</v>
      </c>
      <c r="V260" s="275" t="s">
        <v>206</v>
      </c>
      <c r="W260" s="278"/>
      <c r="X260" s="283">
        <f>+'Plan de Accion apoyo transversa'!BN118</f>
        <v>0</v>
      </c>
      <c r="Y260" s="315">
        <f>+'Plan de Accion apoyo transversa'!CI118</f>
        <v>0</v>
      </c>
      <c r="Z260" s="276">
        <f>IF(Y260&gt;100%,100%,Y260)</f>
        <v>0</v>
      </c>
      <c r="AA260" s="282">
        <f>+'Plan de Accion apoyo transversa'!BR118</f>
        <v>0</v>
      </c>
      <c r="AB260" s="282">
        <f t="shared" si="129"/>
        <v>0</v>
      </c>
      <c r="AC260" s="281">
        <f t="shared" si="132"/>
        <v>0</v>
      </c>
      <c r="AD260" s="277"/>
      <c r="AE260" s="283">
        <f>+'Plan de Accion apoyo transversa'!BX118</f>
        <v>0</v>
      </c>
      <c r="AF260" s="315" t="str">
        <f>+'Plan de Accion apoyo transversa'!CK118</f>
        <v>No Prog ni Ejec</v>
      </c>
      <c r="AG260" s="276" t="s">
        <v>206</v>
      </c>
      <c r="AH260" s="315">
        <f>+'Plan de Accion apoyo transversa'!CB118</f>
        <v>0</v>
      </c>
      <c r="AI260" s="275">
        <f t="shared" si="133"/>
        <v>0</v>
      </c>
      <c r="AJ260" s="286"/>
      <c r="AL260" s="381"/>
      <c r="AM260" s="287"/>
      <c r="AN260" s="267"/>
      <c r="AO260" s="381"/>
      <c r="AP260" s="287"/>
      <c r="AQ260" s="267"/>
      <c r="AR260" s="381"/>
      <c r="AS260" s="287"/>
      <c r="AT260" s="267"/>
      <c r="AU260" s="381"/>
      <c r="AV260" s="287"/>
      <c r="AW260" s="265"/>
      <c r="AX260" s="286"/>
      <c r="AZ260" s="381"/>
      <c r="BA260" s="287"/>
      <c r="BB260" s="267"/>
      <c r="BC260" s="381"/>
      <c r="BD260" s="287"/>
      <c r="BE260" s="267"/>
      <c r="BF260" s="381"/>
      <c r="BG260" s="287"/>
      <c r="BH260" s="267"/>
      <c r="BI260" s="381"/>
      <c r="BJ260" s="287"/>
      <c r="BK260" s="265"/>
      <c r="BL260" s="286"/>
      <c r="BN260" s="381"/>
      <c r="BO260" s="287"/>
      <c r="BP260" s="267"/>
      <c r="BQ260" s="381"/>
      <c r="BR260" s="287"/>
      <c r="BS260" s="267"/>
      <c r="BT260" s="381"/>
      <c r="BU260" s="287"/>
      <c r="BV260" s="267"/>
      <c r="BW260" s="381"/>
      <c r="BX260" s="287"/>
      <c r="BY260" s="265"/>
      <c r="BZ260" s="286"/>
      <c r="CB260" s="381"/>
      <c r="CC260" s="287"/>
      <c r="CD260" s="267"/>
      <c r="CE260" s="381"/>
      <c r="CF260" s="287"/>
      <c r="CG260" s="267"/>
      <c r="CH260" s="381"/>
      <c r="CI260" s="287"/>
      <c r="CJ260" s="267"/>
      <c r="CK260" s="381"/>
      <c r="CL260" s="287"/>
      <c r="CM260" s="265"/>
      <c r="CN260" s="286"/>
    </row>
    <row r="261" spans="2:92" ht="72" thickBot="1" x14ac:dyDescent="0.25">
      <c r="B261" s="970"/>
      <c r="C261" s="976"/>
      <c r="D261" s="949"/>
      <c r="E261" s="946"/>
      <c r="F261" s="948" t="s">
        <v>338</v>
      </c>
      <c r="G261" s="385" t="str">
        <f>+'Plan de Accion apoyo transversa'!X121</f>
        <v>Manual  de la Política de Servicio al Ciudadano actualizado para mejorar los estándares de servicio al interior de la Entidad</v>
      </c>
      <c r="H261" s="280" t="str">
        <f>+'Plan de Accion apoyo transversa'!AK121</f>
        <v># Manuales de Política de Servicio al Ciudadano actualizados</v>
      </c>
      <c r="J261" s="283">
        <f>+'Plan de Accion apoyo transversa'!AT121</f>
        <v>1</v>
      </c>
      <c r="K261" s="615">
        <f>+'Plan de Accion apoyo transversa'!CE121</f>
        <v>1</v>
      </c>
      <c r="L261" s="615">
        <f>IF(K261&gt;100%,100%,K261)</f>
        <v>1</v>
      </c>
      <c r="M261" s="615">
        <f>+'Plan de Accion apoyo transversa'!AX121</f>
        <v>1</v>
      </c>
      <c r="N261" s="615">
        <f t="shared" si="113"/>
        <v>1</v>
      </c>
      <c r="O261" s="617">
        <f>+N261</f>
        <v>1</v>
      </c>
      <c r="P261" s="277"/>
      <c r="Q261" s="283">
        <f>+'Plan de Accion apoyo transversa'!BD121</f>
        <v>0</v>
      </c>
      <c r="R261" s="315" t="str">
        <f>+'Plan de Accion apoyo transversa'!CG121</f>
        <v>No Prog ni Ejec</v>
      </c>
      <c r="S261" s="276" t="s">
        <v>206</v>
      </c>
      <c r="T261" s="373">
        <f>+'Plan de Accion apoyo transversa'!BH121</f>
        <v>1</v>
      </c>
      <c r="U261" s="373">
        <f t="shared" si="131"/>
        <v>1</v>
      </c>
      <c r="V261" s="275">
        <f>+U261</f>
        <v>1</v>
      </c>
      <c r="W261" s="278"/>
      <c r="X261" s="283">
        <f>+'Plan de Accion apoyo transversa'!BN121</f>
        <v>0</v>
      </c>
      <c r="Y261" s="315" t="str">
        <f>+'Plan de Accion apoyo transversa'!CI121</f>
        <v>No Prog ni Ejec</v>
      </c>
      <c r="Z261" s="276" t="s">
        <v>206</v>
      </c>
      <c r="AA261" s="282">
        <f>+'Plan de Accion apoyo transversa'!BR121</f>
        <v>1</v>
      </c>
      <c r="AB261" s="282">
        <f t="shared" si="129"/>
        <v>1</v>
      </c>
      <c r="AC261" s="281">
        <f t="shared" si="132"/>
        <v>1</v>
      </c>
      <c r="AD261" s="277"/>
      <c r="AE261" s="283">
        <f>+'Plan de Accion apoyo transversa'!BX121</f>
        <v>0</v>
      </c>
      <c r="AF261" s="315" t="str">
        <f>+'Plan de Accion apoyo transversa'!CK121</f>
        <v>No Prog ni Ejec</v>
      </c>
      <c r="AG261" s="276" t="s">
        <v>206</v>
      </c>
      <c r="AH261" s="315">
        <f>+'Plan de Accion apoyo transversa'!CB121</f>
        <v>1</v>
      </c>
      <c r="AI261" s="275">
        <f t="shared" si="133"/>
        <v>1</v>
      </c>
      <c r="AJ261" s="286"/>
      <c r="AL261" s="381"/>
      <c r="AM261" s="287"/>
      <c r="AN261" s="267"/>
      <c r="AO261" s="381"/>
      <c r="AP261" s="287"/>
      <c r="AQ261" s="267"/>
      <c r="AR261" s="381"/>
      <c r="AS261" s="287"/>
      <c r="AT261" s="267"/>
      <c r="AU261" s="381"/>
      <c r="AV261" s="287"/>
      <c r="AW261" s="265"/>
      <c r="AX261" s="286"/>
      <c r="AZ261" s="381"/>
      <c r="BA261" s="287"/>
      <c r="BB261" s="267"/>
      <c r="BC261" s="381"/>
      <c r="BD261" s="287"/>
      <c r="BE261" s="267"/>
      <c r="BF261" s="381"/>
      <c r="BG261" s="287"/>
      <c r="BH261" s="267"/>
      <c r="BI261" s="381"/>
      <c r="BJ261" s="287"/>
      <c r="BK261" s="265"/>
      <c r="BL261" s="286"/>
      <c r="BN261" s="381"/>
      <c r="BO261" s="287"/>
      <c r="BP261" s="267"/>
      <c r="BQ261" s="381"/>
      <c r="BR261" s="287"/>
      <c r="BS261" s="267"/>
      <c r="BT261" s="381"/>
      <c r="BU261" s="287"/>
      <c r="BV261" s="267"/>
      <c r="BW261" s="381"/>
      <c r="BX261" s="287"/>
      <c r="BY261" s="265"/>
      <c r="BZ261" s="286"/>
      <c r="CB261" s="381"/>
      <c r="CC261" s="287"/>
      <c r="CD261" s="267"/>
      <c r="CE261" s="381"/>
      <c r="CF261" s="287"/>
      <c r="CG261" s="267"/>
      <c r="CH261" s="381"/>
      <c r="CI261" s="287"/>
      <c r="CJ261" s="267"/>
      <c r="CK261" s="381"/>
      <c r="CL261" s="287"/>
      <c r="CM261" s="265"/>
      <c r="CN261" s="286"/>
    </row>
    <row r="262" spans="2:92" ht="100.5" thickBot="1" x14ac:dyDescent="0.25">
      <c r="B262" s="970"/>
      <c r="C262" s="976"/>
      <c r="D262" s="949"/>
      <c r="E262" s="946"/>
      <c r="F262" s="950"/>
      <c r="G262" s="385" t="str">
        <f>+'Plan de Accion apoyo transversa'!X131</f>
        <v>Reuniones de autocontrol y seguimiento a  los procesos que evidencien monitoreo a los riesgos, indicadores, planes de mejoramiento, manuales y documentos asociados</v>
      </c>
      <c r="H262" s="280" t="str">
        <f>+'Plan de Accion apoyo transversa'!AK131</f>
        <v># reuniones realizadas</v>
      </c>
      <c r="J262" s="283">
        <f>+'Plan de Accion apoyo transversa'!AT131</f>
        <v>0</v>
      </c>
      <c r="K262" s="615" t="str">
        <f>+'Plan de Accion apoyo transversa'!CE131</f>
        <v>No Prog ni Ejec</v>
      </c>
      <c r="L262" s="615" t="s">
        <v>206</v>
      </c>
      <c r="M262" s="615">
        <f>+'Plan de Accion apoyo transversa'!AX131</f>
        <v>0</v>
      </c>
      <c r="N262" s="615">
        <f t="shared" si="113"/>
        <v>0</v>
      </c>
      <c r="O262" s="617" t="s">
        <v>206</v>
      </c>
      <c r="P262" s="277"/>
      <c r="Q262" s="283">
        <f>+'Plan de Accion apoyo transversa'!BD131</f>
        <v>0</v>
      </c>
      <c r="R262" s="315">
        <f>+'Plan de Accion apoyo transversa'!CG131</f>
        <v>0</v>
      </c>
      <c r="S262" s="276">
        <f>IF(R262&gt;100%,100%,R262)</f>
        <v>0</v>
      </c>
      <c r="T262" s="373">
        <f>+'Plan de Accion apoyo transversa'!BH131</f>
        <v>0</v>
      </c>
      <c r="U262" s="373">
        <f t="shared" si="131"/>
        <v>0</v>
      </c>
      <c r="V262" s="275">
        <f>+U262</f>
        <v>0</v>
      </c>
      <c r="W262" s="278"/>
      <c r="X262" s="283">
        <f>+'Plan de Accion apoyo transversa'!BN131</f>
        <v>0</v>
      </c>
      <c r="Y262" s="315">
        <f>+'Plan de Accion apoyo transversa'!CI131</f>
        <v>0</v>
      </c>
      <c r="Z262" s="276">
        <f>IF(Y262&gt;100%,100%,Y262)</f>
        <v>0</v>
      </c>
      <c r="AA262" s="282">
        <f>+'Plan de Accion apoyo transversa'!BR131</f>
        <v>0</v>
      </c>
      <c r="AB262" s="282">
        <f t="shared" si="129"/>
        <v>0</v>
      </c>
      <c r="AC262" s="281">
        <f t="shared" si="132"/>
        <v>0</v>
      </c>
      <c r="AD262" s="277"/>
      <c r="AE262" s="283">
        <f>+'Plan de Accion apoyo transversa'!BX131</f>
        <v>0</v>
      </c>
      <c r="AF262" s="315">
        <f>+'Plan de Accion apoyo transversa'!CK131</f>
        <v>0</v>
      </c>
      <c r="AG262" s="276">
        <f>IF(AF262&gt;100%,100%,AF262)</f>
        <v>0</v>
      </c>
      <c r="AH262" s="315">
        <f>+'Plan de Accion apoyo transversa'!CB131</f>
        <v>0</v>
      </c>
      <c r="AI262" s="275">
        <f t="shared" si="133"/>
        <v>0</v>
      </c>
      <c r="AJ262" s="286"/>
      <c r="AL262" s="381"/>
      <c r="AM262" s="287"/>
      <c r="AN262" s="267"/>
      <c r="AO262" s="381"/>
      <c r="AP262" s="287"/>
      <c r="AQ262" s="267"/>
      <c r="AR262" s="381"/>
      <c r="AS262" s="287"/>
      <c r="AT262" s="267"/>
      <c r="AU262" s="381"/>
      <c r="AV262" s="287"/>
      <c r="AW262" s="265"/>
      <c r="AX262" s="286"/>
      <c r="AZ262" s="381"/>
      <c r="BA262" s="287"/>
      <c r="BB262" s="267"/>
      <c r="BC262" s="381"/>
      <c r="BD262" s="287"/>
      <c r="BE262" s="267"/>
      <c r="BF262" s="381"/>
      <c r="BG262" s="287"/>
      <c r="BH262" s="267"/>
      <c r="BI262" s="381"/>
      <c r="BJ262" s="287"/>
      <c r="BK262" s="265"/>
      <c r="BL262" s="286"/>
      <c r="BN262" s="381"/>
      <c r="BO262" s="287"/>
      <c r="BP262" s="267"/>
      <c r="BQ262" s="381"/>
      <c r="BR262" s="287"/>
      <c r="BS262" s="267"/>
      <c r="BT262" s="381"/>
      <c r="BU262" s="287"/>
      <c r="BV262" s="267"/>
      <c r="BW262" s="381"/>
      <c r="BX262" s="287"/>
      <c r="BY262" s="265"/>
      <c r="BZ262" s="286"/>
      <c r="CB262" s="381"/>
      <c r="CC262" s="287"/>
      <c r="CD262" s="267"/>
      <c r="CE262" s="381"/>
      <c r="CF262" s="287"/>
      <c r="CG262" s="267"/>
      <c r="CH262" s="381"/>
      <c r="CI262" s="287"/>
      <c r="CJ262" s="267"/>
      <c r="CK262" s="381"/>
      <c r="CL262" s="287"/>
      <c r="CM262" s="265"/>
      <c r="CN262" s="286"/>
    </row>
    <row r="263" spans="2:92" ht="29.25" thickBot="1" x14ac:dyDescent="0.25">
      <c r="B263" s="970"/>
      <c r="C263" s="976"/>
      <c r="D263" s="949"/>
      <c r="E263" s="946"/>
      <c r="F263" s="949" t="s">
        <v>1081</v>
      </c>
      <c r="G263" s="385" t="str">
        <f>+'Plan de Accion apoyo transversa'!X166</f>
        <v>Solicitud escrita desde Talento Humano</v>
      </c>
      <c r="H263" s="280" t="str">
        <f>+'Plan de Accion apoyo transversa'!AK166</f>
        <v># Solicitudes escritas desde Talento Humano</v>
      </c>
      <c r="J263" s="283">
        <f>+'Plan de Accion apoyo transversa'!AT166</f>
        <v>0</v>
      </c>
      <c r="K263" s="615">
        <f>+'Plan de Accion apoyo transversa'!CE166</f>
        <v>0</v>
      </c>
      <c r="L263" s="615">
        <f>IF(K263&gt;100%,100%,K263)</f>
        <v>0</v>
      </c>
      <c r="M263" s="615">
        <f>+'Plan de Accion apoyo transversa'!AX166</f>
        <v>0</v>
      </c>
      <c r="N263" s="615">
        <f t="shared" si="113"/>
        <v>0</v>
      </c>
      <c r="O263" s="617">
        <f>+N263</f>
        <v>0</v>
      </c>
      <c r="P263" s="277"/>
      <c r="Q263" s="283">
        <f>+'Plan de Accion apoyo transversa'!BD166</f>
        <v>0</v>
      </c>
      <c r="R263" s="315">
        <f>+'Plan de Accion apoyo transversa'!CG166</f>
        <v>0</v>
      </c>
      <c r="S263" s="276">
        <f>IF(R263&gt;100%,100%,R263)</f>
        <v>0</v>
      </c>
      <c r="T263" s="373">
        <f>+'Plan de Accion apoyo transversa'!BH166</f>
        <v>0</v>
      </c>
      <c r="U263" s="373">
        <f t="shared" si="131"/>
        <v>0</v>
      </c>
      <c r="V263" s="275">
        <f>+U263</f>
        <v>0</v>
      </c>
      <c r="W263" s="278"/>
      <c r="X263" s="283">
        <f>+'Plan de Accion apoyo transversa'!BN166</f>
        <v>0</v>
      </c>
      <c r="Y263" s="315">
        <f>+'Plan de Accion apoyo transversa'!CI166</f>
        <v>0</v>
      </c>
      <c r="Z263" s="276">
        <f>IF(Y263&gt;100%,100%,Y263)</f>
        <v>0</v>
      </c>
      <c r="AA263" s="282">
        <f>+'Plan de Accion apoyo transversa'!BR166</f>
        <v>0</v>
      </c>
      <c r="AB263" s="282">
        <f t="shared" si="129"/>
        <v>0</v>
      </c>
      <c r="AC263" s="281">
        <f t="shared" si="132"/>
        <v>0</v>
      </c>
      <c r="AD263" s="277"/>
      <c r="AE263" s="283">
        <f>+'Plan de Accion apoyo transversa'!BX166</f>
        <v>0</v>
      </c>
      <c r="AF263" s="315">
        <f>+'Plan de Accion apoyo transversa'!CK166</f>
        <v>0</v>
      </c>
      <c r="AG263" s="276">
        <f>IF(AF263&gt;100%,100%,AF263)</f>
        <v>0</v>
      </c>
      <c r="AH263" s="315">
        <f>+'Plan de Accion apoyo transversa'!CB166</f>
        <v>0</v>
      </c>
      <c r="AI263" s="275">
        <f t="shared" si="133"/>
        <v>0</v>
      </c>
      <c r="AJ263" s="286"/>
      <c r="AL263" s="381"/>
      <c r="AM263" s="287"/>
      <c r="AN263" s="267"/>
      <c r="AO263" s="381"/>
      <c r="AP263" s="287"/>
      <c r="AQ263" s="267"/>
      <c r="AR263" s="381"/>
      <c r="AS263" s="287"/>
      <c r="AT263" s="267"/>
      <c r="AU263" s="381"/>
      <c r="AV263" s="287"/>
      <c r="AW263" s="265"/>
      <c r="AX263" s="286"/>
      <c r="AZ263" s="381"/>
      <c r="BA263" s="287"/>
      <c r="BB263" s="267"/>
      <c r="BC263" s="381"/>
      <c r="BD263" s="287"/>
      <c r="BE263" s="267"/>
      <c r="BF263" s="381"/>
      <c r="BG263" s="287"/>
      <c r="BH263" s="267"/>
      <c r="BI263" s="381"/>
      <c r="BJ263" s="287"/>
      <c r="BK263" s="265"/>
      <c r="BL263" s="286"/>
      <c r="BN263" s="381"/>
      <c r="BO263" s="287"/>
      <c r="BP263" s="267"/>
      <c r="BQ263" s="381"/>
      <c r="BR263" s="287"/>
      <c r="BS263" s="267"/>
      <c r="BT263" s="381"/>
      <c r="BU263" s="287"/>
      <c r="BV263" s="267"/>
      <c r="BW263" s="381"/>
      <c r="BX263" s="287"/>
      <c r="BY263" s="265"/>
      <c r="BZ263" s="286"/>
      <c r="CB263" s="381"/>
      <c r="CC263" s="287"/>
      <c r="CD263" s="267"/>
      <c r="CE263" s="381"/>
      <c r="CF263" s="287"/>
      <c r="CG263" s="267"/>
      <c r="CH263" s="381"/>
      <c r="CI263" s="287"/>
      <c r="CJ263" s="267"/>
      <c r="CK263" s="381"/>
      <c r="CL263" s="287"/>
      <c r="CM263" s="265"/>
      <c r="CN263" s="286"/>
    </row>
    <row r="264" spans="2:92" ht="43.5" thickBot="1" x14ac:dyDescent="0.25">
      <c r="B264" s="970"/>
      <c r="C264" s="976"/>
      <c r="D264" s="949"/>
      <c r="E264" s="946"/>
      <c r="F264" s="949"/>
      <c r="G264" s="385" t="str">
        <f>+'Plan de Accion apoyo transversa'!X167</f>
        <v>Actos administrativos</v>
      </c>
      <c r="H264" s="280" t="str">
        <f>+'Plan de Accion apoyo transversa'!AK167</f>
        <v># de nombramientos realizados / # Solicitudes de nombramientos</v>
      </c>
      <c r="J264" s="279">
        <f>+'Plan de Accion apoyo transversa'!AT167</f>
        <v>0.25</v>
      </c>
      <c r="K264" s="615">
        <f>+'Plan de Accion apoyo transversa'!CE167</f>
        <v>1</v>
      </c>
      <c r="L264" s="615">
        <f>IF(K264&gt;100%,100%,K264)</f>
        <v>1</v>
      </c>
      <c r="M264" s="615">
        <f>+'Plan de Accion apoyo transversa'!AX167</f>
        <v>0.25</v>
      </c>
      <c r="N264" s="615">
        <f t="shared" si="113"/>
        <v>0.25</v>
      </c>
      <c r="O264" s="617">
        <f>+N264</f>
        <v>0.25</v>
      </c>
      <c r="P264" s="277"/>
      <c r="Q264" s="279">
        <f>+'Plan de Accion apoyo transversa'!BD167</f>
        <v>0</v>
      </c>
      <c r="R264" s="315">
        <f>+'Plan de Accion apoyo transversa'!CG167</f>
        <v>0</v>
      </c>
      <c r="S264" s="276">
        <f>IF(R264&gt;100%,100%,R264)</f>
        <v>0</v>
      </c>
      <c r="T264" s="373">
        <f>+'Plan de Accion apoyo transversa'!BH167</f>
        <v>0.25</v>
      </c>
      <c r="U264" s="373">
        <f t="shared" si="131"/>
        <v>0.25</v>
      </c>
      <c r="V264" s="275">
        <f>+U264</f>
        <v>0.25</v>
      </c>
      <c r="W264" s="278"/>
      <c r="X264" s="279">
        <f>+'Plan de Accion apoyo transversa'!BN167</f>
        <v>0</v>
      </c>
      <c r="Y264" s="315">
        <f>+'Plan de Accion apoyo transversa'!CI167</f>
        <v>0</v>
      </c>
      <c r="Z264" s="276">
        <f>IF(Y264&gt;100%,100%,Y264)</f>
        <v>0</v>
      </c>
      <c r="AA264" s="282">
        <f>+'Plan de Accion apoyo transversa'!BR167</f>
        <v>0.25</v>
      </c>
      <c r="AB264" s="282">
        <f t="shared" si="129"/>
        <v>0.25</v>
      </c>
      <c r="AC264" s="281">
        <f t="shared" si="132"/>
        <v>0.25</v>
      </c>
      <c r="AD264" s="277"/>
      <c r="AE264" s="279">
        <f>+'Plan de Accion apoyo transversa'!BX167</f>
        <v>0</v>
      </c>
      <c r="AF264" s="315">
        <f>+'Plan de Accion apoyo transversa'!CK167</f>
        <v>0</v>
      </c>
      <c r="AG264" s="276">
        <f>IF(AF264&gt;100%,100%,AF264)</f>
        <v>0</v>
      </c>
      <c r="AH264" s="315">
        <f>+'Plan de Accion apoyo transversa'!CB167</f>
        <v>0.25</v>
      </c>
      <c r="AI264" s="275">
        <f t="shared" si="133"/>
        <v>0.25</v>
      </c>
      <c r="AJ264" s="286"/>
      <c r="AL264" s="381"/>
      <c r="AM264" s="287"/>
      <c r="AN264" s="267"/>
      <c r="AO264" s="381"/>
      <c r="AP264" s="287"/>
      <c r="AQ264" s="267"/>
      <c r="AR264" s="381"/>
      <c r="AS264" s="287"/>
      <c r="AT264" s="267"/>
      <c r="AU264" s="381"/>
      <c r="AV264" s="287"/>
      <c r="AW264" s="265"/>
      <c r="AX264" s="286"/>
      <c r="AZ264" s="381"/>
      <c r="BA264" s="287"/>
      <c r="BB264" s="267"/>
      <c r="BC264" s="381"/>
      <c r="BD264" s="287"/>
      <c r="BE264" s="267"/>
      <c r="BF264" s="381"/>
      <c r="BG264" s="287"/>
      <c r="BH264" s="267"/>
      <c r="BI264" s="381"/>
      <c r="BJ264" s="287"/>
      <c r="BK264" s="265"/>
      <c r="BL264" s="286"/>
      <c r="BN264" s="381"/>
      <c r="BO264" s="287"/>
      <c r="BP264" s="267"/>
      <c r="BQ264" s="381"/>
      <c r="BR264" s="287"/>
      <c r="BS264" s="267"/>
      <c r="BT264" s="381"/>
      <c r="BU264" s="287"/>
      <c r="BV264" s="267"/>
      <c r="BW264" s="381"/>
      <c r="BX264" s="287"/>
      <c r="BY264" s="265"/>
      <c r="BZ264" s="286"/>
      <c r="CB264" s="381"/>
      <c r="CC264" s="287"/>
      <c r="CD264" s="267"/>
      <c r="CE264" s="381"/>
      <c r="CF264" s="287"/>
      <c r="CG264" s="267"/>
      <c r="CH264" s="381"/>
      <c r="CI264" s="287"/>
      <c r="CJ264" s="267"/>
      <c r="CK264" s="381"/>
      <c r="CL264" s="287"/>
      <c r="CM264" s="265"/>
      <c r="CN264" s="286"/>
    </row>
    <row r="265" spans="2:92" ht="43.5" thickBot="1" x14ac:dyDescent="0.25">
      <c r="B265" s="970"/>
      <c r="C265" s="976"/>
      <c r="D265" s="949"/>
      <c r="E265" s="946"/>
      <c r="F265" s="950"/>
      <c r="G265" s="385" t="str">
        <f>+'Plan de Accion apoyo transversa'!X168</f>
        <v>Actas de Posesión</v>
      </c>
      <c r="H265" s="280" t="str">
        <f>+'Plan de Accion apoyo transversa'!AK168</f>
        <v xml:space="preserve"># de posesionados / # de nombramientos comunicados y aceptados </v>
      </c>
      <c r="J265" s="279">
        <f>+'Plan de Accion apoyo transversa'!AT168</f>
        <v>0.25</v>
      </c>
      <c r="K265" s="615">
        <f>+'Plan de Accion apoyo transversa'!CE168</f>
        <v>1</v>
      </c>
      <c r="L265" s="615">
        <f>IF(K265&gt;100%,100%,K265)</f>
        <v>1</v>
      </c>
      <c r="M265" s="615">
        <f>+'Plan de Accion apoyo transversa'!AX168</f>
        <v>0.25</v>
      </c>
      <c r="N265" s="615">
        <f t="shared" si="113"/>
        <v>0.25</v>
      </c>
      <c r="O265" s="617">
        <f>+N265</f>
        <v>0.25</v>
      </c>
      <c r="P265" s="277"/>
      <c r="Q265" s="279">
        <f>+'Plan de Accion apoyo transversa'!BD168</f>
        <v>0</v>
      </c>
      <c r="R265" s="315">
        <f>+'Plan de Accion apoyo transversa'!CG168</f>
        <v>0</v>
      </c>
      <c r="S265" s="276">
        <f>IF(R265&gt;100%,100%,R265)</f>
        <v>0</v>
      </c>
      <c r="T265" s="373">
        <f>+'Plan de Accion apoyo transversa'!BH168</f>
        <v>0.25</v>
      </c>
      <c r="U265" s="373">
        <f t="shared" si="131"/>
        <v>0.25</v>
      </c>
      <c r="V265" s="275">
        <f>+U265</f>
        <v>0.25</v>
      </c>
      <c r="W265" s="278"/>
      <c r="X265" s="279">
        <f>+'Plan de Accion apoyo transversa'!BN168</f>
        <v>0</v>
      </c>
      <c r="Y265" s="315">
        <f>+'Plan de Accion apoyo transversa'!CI168</f>
        <v>0</v>
      </c>
      <c r="Z265" s="276">
        <f>IF(Y265&gt;100%,100%,Y265)</f>
        <v>0</v>
      </c>
      <c r="AA265" s="282">
        <f>+'Plan de Accion apoyo transversa'!BR168</f>
        <v>0.25</v>
      </c>
      <c r="AB265" s="282">
        <f t="shared" si="129"/>
        <v>0.25</v>
      </c>
      <c r="AC265" s="281">
        <f t="shared" si="132"/>
        <v>0.25</v>
      </c>
      <c r="AD265" s="277"/>
      <c r="AE265" s="279">
        <f>+'Plan de Accion apoyo transversa'!BX168</f>
        <v>0</v>
      </c>
      <c r="AF265" s="315">
        <f>+'Plan de Accion apoyo transversa'!CK168</f>
        <v>0</v>
      </c>
      <c r="AG265" s="276">
        <f>IF(AF265&gt;100%,100%,AF265)</f>
        <v>0</v>
      </c>
      <c r="AH265" s="315">
        <f>+'Plan de Accion apoyo transversa'!CB168</f>
        <v>0.25</v>
      </c>
      <c r="AI265" s="275">
        <f t="shared" si="133"/>
        <v>0.25</v>
      </c>
      <c r="AJ265" s="286"/>
      <c r="AL265" s="381"/>
      <c r="AM265" s="287"/>
      <c r="AN265" s="267"/>
      <c r="AO265" s="381"/>
      <c r="AP265" s="287"/>
      <c r="AQ265" s="267"/>
      <c r="AR265" s="381"/>
      <c r="AS265" s="287"/>
      <c r="AT265" s="267"/>
      <c r="AU265" s="381"/>
      <c r="AV265" s="287"/>
      <c r="AW265" s="265"/>
      <c r="AX265" s="286"/>
      <c r="AZ265" s="381"/>
      <c r="BA265" s="287"/>
      <c r="BB265" s="267"/>
      <c r="BC265" s="381"/>
      <c r="BD265" s="287"/>
      <c r="BE265" s="267"/>
      <c r="BF265" s="381"/>
      <c r="BG265" s="287"/>
      <c r="BH265" s="267"/>
      <c r="BI265" s="381"/>
      <c r="BJ265" s="287"/>
      <c r="BK265" s="265"/>
      <c r="BL265" s="286"/>
      <c r="BN265" s="381"/>
      <c r="BO265" s="287"/>
      <c r="BP265" s="267"/>
      <c r="BQ265" s="381"/>
      <c r="BR265" s="287"/>
      <c r="BS265" s="267"/>
      <c r="BT265" s="381"/>
      <c r="BU265" s="287"/>
      <c r="BV265" s="267"/>
      <c r="BW265" s="381"/>
      <c r="BX265" s="287"/>
      <c r="BY265" s="265"/>
      <c r="BZ265" s="286"/>
      <c r="CB265" s="381"/>
      <c r="CC265" s="287"/>
      <c r="CD265" s="267"/>
      <c r="CE265" s="381"/>
      <c r="CF265" s="287"/>
      <c r="CG265" s="267"/>
      <c r="CH265" s="381"/>
      <c r="CI265" s="287"/>
      <c r="CJ265" s="267"/>
      <c r="CK265" s="381"/>
      <c r="CL265" s="287"/>
      <c r="CM265" s="265"/>
      <c r="CN265" s="286"/>
    </row>
    <row r="266" spans="2:92" ht="57.75" thickBot="1" x14ac:dyDescent="0.25">
      <c r="B266" s="970"/>
      <c r="C266" s="976"/>
      <c r="D266" s="949"/>
      <c r="E266" s="946"/>
      <c r="F266" s="673" t="s">
        <v>561</v>
      </c>
      <c r="G266" s="684" t="str">
        <f>+'Plan de Accion apoyo transversa'!X174</f>
        <v>Autodiagnóstico frente al cumplimiento del Régimen de protección de datos personales</v>
      </c>
      <c r="H266" s="280" t="str">
        <f>+'Plan de Accion apoyo transversa'!AK174</f>
        <v># Autodiagnósticos de Ley de Protección de Datos - LPD realizados</v>
      </c>
      <c r="J266" s="283">
        <f>+'Plan de Accion apoyo transversa'!AT174</f>
        <v>1</v>
      </c>
      <c r="K266" s="676">
        <f>+'Plan de Accion apoyo transversa'!CE174</f>
        <v>1</v>
      </c>
      <c r="L266" s="676">
        <f>IF(K266&gt;100%,100%,K266)</f>
        <v>1</v>
      </c>
      <c r="M266" s="676">
        <f>+'Plan de Accion apoyo transversa'!AX174</f>
        <v>1</v>
      </c>
      <c r="N266" s="676">
        <f t="shared" si="113"/>
        <v>1</v>
      </c>
      <c r="O266" s="677">
        <f>+N266</f>
        <v>1</v>
      </c>
      <c r="P266" s="277"/>
      <c r="Q266" s="283">
        <f>+'Plan de Accion apoyo transversa'!BD174</f>
        <v>0</v>
      </c>
      <c r="R266" s="315" t="str">
        <f>+'Plan de Accion apoyo transversa'!CG174</f>
        <v>No Prog ni Ejec</v>
      </c>
      <c r="S266" s="276" t="s">
        <v>206</v>
      </c>
      <c r="T266" s="676">
        <f>+'Plan de Accion apoyo transversa'!BH174</f>
        <v>1</v>
      </c>
      <c r="U266" s="676">
        <f t="shared" si="131"/>
        <v>1</v>
      </c>
      <c r="V266" s="275" t="s">
        <v>206</v>
      </c>
      <c r="W266" s="278"/>
      <c r="X266" s="283">
        <f>+'Plan de Accion apoyo transversa'!BN174</f>
        <v>0</v>
      </c>
      <c r="Y266" s="315" t="str">
        <f>+'Plan de Accion apoyo transversa'!CI174</f>
        <v>No Prog ni Ejec</v>
      </c>
      <c r="Z266" s="276" t="s">
        <v>206</v>
      </c>
      <c r="AA266" s="282">
        <f>+'Plan de Accion apoyo transversa'!BR174</f>
        <v>1</v>
      </c>
      <c r="AB266" s="282">
        <f t="shared" si="129"/>
        <v>1</v>
      </c>
      <c r="AC266" s="281" t="s">
        <v>206</v>
      </c>
      <c r="AD266" s="277"/>
      <c r="AE266" s="283">
        <f>+'Plan de Accion apoyo transversa'!BX174</f>
        <v>0</v>
      </c>
      <c r="AF266" s="315" t="str">
        <f>+'Plan de Accion apoyo transversa'!CK174</f>
        <v>No Prog ni Ejec</v>
      </c>
      <c r="AG266" s="276" t="s">
        <v>206</v>
      </c>
      <c r="AH266" s="315">
        <f>+'Plan de Accion apoyo transversa'!CB174</f>
        <v>1</v>
      </c>
      <c r="AI266" s="275">
        <f t="shared" si="133"/>
        <v>1</v>
      </c>
      <c r="AJ266" s="286"/>
      <c r="AL266" s="681"/>
      <c r="AM266" s="287"/>
      <c r="AN266" s="267"/>
      <c r="AO266" s="681"/>
      <c r="AP266" s="287"/>
      <c r="AQ266" s="267"/>
      <c r="AR266" s="681"/>
      <c r="AS266" s="287"/>
      <c r="AT266" s="267"/>
      <c r="AU266" s="681"/>
      <c r="AV266" s="287"/>
      <c r="AW266" s="265"/>
      <c r="AX266" s="286"/>
      <c r="AZ266" s="681"/>
      <c r="BA266" s="287"/>
      <c r="BB266" s="267"/>
      <c r="BC266" s="681"/>
      <c r="BD266" s="287"/>
      <c r="BE266" s="267"/>
      <c r="BF266" s="681"/>
      <c r="BG266" s="287"/>
      <c r="BH266" s="267"/>
      <c r="BI266" s="681"/>
      <c r="BJ266" s="287"/>
      <c r="BK266" s="265"/>
      <c r="BL266" s="286"/>
      <c r="BN266" s="681"/>
      <c r="BO266" s="287"/>
      <c r="BP266" s="267"/>
      <c r="BQ266" s="681"/>
      <c r="BR266" s="287"/>
      <c r="BS266" s="267"/>
      <c r="BT266" s="681"/>
      <c r="BU266" s="287"/>
      <c r="BV266" s="267"/>
      <c r="BW266" s="681"/>
      <c r="BX266" s="287"/>
      <c r="BY266" s="265"/>
      <c r="BZ266" s="286"/>
      <c r="CB266" s="681"/>
      <c r="CC266" s="287"/>
      <c r="CD266" s="267"/>
      <c r="CE266" s="681"/>
      <c r="CF266" s="287"/>
      <c r="CG266" s="267"/>
      <c r="CH266" s="681"/>
      <c r="CI266" s="287"/>
      <c r="CJ266" s="267"/>
      <c r="CK266" s="681"/>
      <c r="CL266" s="287"/>
      <c r="CM266" s="265"/>
      <c r="CN266" s="286"/>
    </row>
    <row r="267" spans="2:92" ht="74.25" customHeight="1" thickBot="1" x14ac:dyDescent="0.25">
      <c r="B267" s="970"/>
      <c r="C267" s="976"/>
      <c r="D267" s="950"/>
      <c r="E267" s="947"/>
      <c r="F267" s="369" t="s">
        <v>1080</v>
      </c>
      <c r="G267" s="385" t="str">
        <f>+'Plan de Accion apoyo transversa'!X169</f>
        <v>Contratos suscritos</v>
      </c>
      <c r="H267" s="280" t="str">
        <f>+'Plan de Accion apoyo transversa'!AK169</f>
        <v># Contratos del Plan de Adquisiciones suscritos / # contrataciones del Plan de Adquisiciones</v>
      </c>
      <c r="J267" s="279">
        <f>+'Plan de Accion apoyo transversa'!AT169</f>
        <v>0.14873417721518986</v>
      </c>
      <c r="K267" s="615">
        <f>+'Plan de Accion apoyo transversa'!CE169</f>
        <v>0.59493670886075944</v>
      </c>
      <c r="L267" s="615">
        <f>IF(K267&gt;100%,100%,K267)</f>
        <v>0.59493670886075944</v>
      </c>
      <c r="M267" s="615">
        <f>+'Plan de Accion apoyo transversa'!AX169</f>
        <v>0.14873417721518986</v>
      </c>
      <c r="N267" s="615">
        <f t="shared" si="113"/>
        <v>0.14873417721518986</v>
      </c>
      <c r="O267" s="617">
        <f>+N267</f>
        <v>0.14873417721518986</v>
      </c>
      <c r="P267" s="277"/>
      <c r="Q267" s="279">
        <f>+'Plan de Accion apoyo transversa'!BD169</f>
        <v>0</v>
      </c>
      <c r="R267" s="315">
        <f>+'Plan de Accion apoyo transversa'!CG169</f>
        <v>0</v>
      </c>
      <c r="S267" s="276">
        <f>IF(R267&gt;100%,100%,R267)</f>
        <v>0</v>
      </c>
      <c r="T267" s="373">
        <f>+'Plan de Accion apoyo transversa'!BH169</f>
        <v>0.14873417721518986</v>
      </c>
      <c r="U267" s="373">
        <f t="shared" si="131"/>
        <v>0.14873417721518986</v>
      </c>
      <c r="V267" s="275">
        <f>+U267</f>
        <v>0.14873417721518986</v>
      </c>
      <c r="W267" s="278"/>
      <c r="X267" s="279">
        <f>+'Plan de Accion apoyo transversa'!BN169</f>
        <v>0</v>
      </c>
      <c r="Y267" s="315">
        <f>+'Plan de Accion apoyo transversa'!CI169</f>
        <v>0</v>
      </c>
      <c r="Z267" s="276">
        <f>IF(Y267&gt;100%,100%,Y267)</f>
        <v>0</v>
      </c>
      <c r="AA267" s="282">
        <f>+'Plan de Accion apoyo transversa'!BR169</f>
        <v>0.14873417721518986</v>
      </c>
      <c r="AB267" s="282">
        <f t="shared" si="129"/>
        <v>0.14873417721518986</v>
      </c>
      <c r="AC267" s="281">
        <f>+AB267</f>
        <v>0.14873417721518986</v>
      </c>
      <c r="AD267" s="277"/>
      <c r="AE267" s="279">
        <f>+'Plan de Accion apoyo transversa'!BX169</f>
        <v>0</v>
      </c>
      <c r="AF267" s="315">
        <f>+'Plan de Accion apoyo transversa'!CK169</f>
        <v>0</v>
      </c>
      <c r="AG267" s="276">
        <f>IF(AF267&gt;100%,100%,AF267)</f>
        <v>0</v>
      </c>
      <c r="AH267" s="315">
        <f>+'Plan de Accion apoyo transversa'!CB169</f>
        <v>0.14873417721518986</v>
      </c>
      <c r="AI267" s="275">
        <f t="shared" si="133"/>
        <v>0.14873417721518986</v>
      </c>
      <c r="AJ267" s="286"/>
      <c r="AL267" s="381"/>
      <c r="AM267" s="287"/>
      <c r="AN267" s="267"/>
      <c r="AO267" s="381"/>
      <c r="AP267" s="287"/>
      <c r="AQ267" s="267"/>
      <c r="AR267" s="381"/>
      <c r="AS267" s="287"/>
      <c r="AT267" s="267"/>
      <c r="AU267" s="381"/>
      <c r="AV267" s="287"/>
      <c r="AW267" s="265"/>
      <c r="AX267" s="286"/>
      <c r="AZ267" s="381"/>
      <c r="BA267" s="287"/>
      <c r="BB267" s="267"/>
      <c r="BC267" s="381"/>
      <c r="BD267" s="287"/>
      <c r="BE267" s="267"/>
      <c r="BF267" s="381"/>
      <c r="BG267" s="287"/>
      <c r="BH267" s="267"/>
      <c r="BI267" s="381"/>
      <c r="BJ267" s="287"/>
      <c r="BK267" s="265"/>
      <c r="BL267" s="286"/>
      <c r="BN267" s="381"/>
      <c r="BO267" s="287"/>
      <c r="BP267" s="267"/>
      <c r="BQ267" s="381"/>
      <c r="BR267" s="287"/>
      <c r="BS267" s="267"/>
      <c r="BT267" s="381"/>
      <c r="BU267" s="287"/>
      <c r="BV267" s="267"/>
      <c r="BW267" s="381"/>
      <c r="BX267" s="287"/>
      <c r="BY267" s="265"/>
      <c r="BZ267" s="286"/>
      <c r="CB267" s="381"/>
      <c r="CC267" s="287"/>
      <c r="CD267" s="267"/>
      <c r="CE267" s="381"/>
      <c r="CF267" s="287"/>
      <c r="CG267" s="267"/>
      <c r="CH267" s="381"/>
      <c r="CI267" s="287"/>
      <c r="CJ267" s="267"/>
      <c r="CK267" s="381"/>
      <c r="CL267" s="287"/>
      <c r="CM267" s="265"/>
      <c r="CN267" s="286"/>
    </row>
    <row r="268" spans="2:92" ht="86.25" thickBot="1" x14ac:dyDescent="0.25">
      <c r="B268" s="970"/>
      <c r="C268" s="976"/>
      <c r="D268" s="948" t="s">
        <v>206</v>
      </c>
      <c r="E268" s="945" t="s">
        <v>232</v>
      </c>
      <c r="F268" s="948" t="s">
        <v>561</v>
      </c>
      <c r="G268" s="385" t="str">
        <f>+'Plan de Accion apoyo transversa'!X133</f>
        <v>Servicios, infraestructura, Sistemas de información migrados (Transición) a IPV6 y compatibilidad con IPV4</v>
      </c>
      <c r="H268" s="280" t="str">
        <f>+'Plan de Accion apoyo transversa'!AK133</f>
        <v>(Servicios, infraestructura, Sistemas de información) migrados a IPV6 / (Servicios, infraestructura, Sistemas de información) compatibles a migración IPV6</v>
      </c>
      <c r="J268" s="279">
        <f>+'Plan de Accion apoyo transversa'!AT133</f>
        <v>0</v>
      </c>
      <c r="K268" s="615" t="str">
        <f>+'Plan de Accion apoyo transversa'!CE133</f>
        <v>No Prog ni Ejec</v>
      </c>
      <c r="L268" s="615" t="s">
        <v>206</v>
      </c>
      <c r="M268" s="615">
        <f>+'Plan de Accion apoyo transversa'!AX133</f>
        <v>0</v>
      </c>
      <c r="N268" s="615">
        <f t="shared" si="113"/>
        <v>0</v>
      </c>
      <c r="O268" s="617" t="s">
        <v>206</v>
      </c>
      <c r="P268" s="277"/>
      <c r="Q268" s="279">
        <f>+'Plan de Accion apoyo transversa'!BD133</f>
        <v>0</v>
      </c>
      <c r="R268" s="315" t="str">
        <f>+'Plan de Accion apoyo transversa'!CG133</f>
        <v>No Prog ni Ejec</v>
      </c>
      <c r="S268" s="276" t="s">
        <v>206</v>
      </c>
      <c r="T268" s="373">
        <f>+'Plan de Accion apoyo transversa'!BH133</f>
        <v>0</v>
      </c>
      <c r="U268" s="373">
        <f t="shared" si="131"/>
        <v>0</v>
      </c>
      <c r="V268" s="275" t="s">
        <v>206</v>
      </c>
      <c r="W268" s="278"/>
      <c r="X268" s="279">
        <f>+'Plan de Accion apoyo transversa'!BN133</f>
        <v>0</v>
      </c>
      <c r="Y268" s="315" t="str">
        <f>+'Plan de Accion apoyo transversa'!CI133</f>
        <v>No Prog ni Ejec</v>
      </c>
      <c r="Z268" s="276" t="s">
        <v>206</v>
      </c>
      <c r="AA268" s="282">
        <f>+'Plan de Accion apoyo transversa'!BR133</f>
        <v>0</v>
      </c>
      <c r="AB268" s="282">
        <f t="shared" si="129"/>
        <v>0</v>
      </c>
      <c r="AC268" s="281" t="s">
        <v>206</v>
      </c>
      <c r="AD268" s="277"/>
      <c r="AE268" s="279">
        <f>+'Plan de Accion apoyo transversa'!BX133</f>
        <v>0</v>
      </c>
      <c r="AF268" s="315">
        <f>+'Plan de Accion apoyo transversa'!CK133</f>
        <v>0</v>
      </c>
      <c r="AG268" s="276">
        <f>IF(AF268&gt;100%,100%,AF268)</f>
        <v>0</v>
      </c>
      <c r="AH268" s="315">
        <f>+'Plan de Accion apoyo transversa'!CB133</f>
        <v>0</v>
      </c>
      <c r="AI268" s="275">
        <f t="shared" si="133"/>
        <v>0</v>
      </c>
      <c r="AJ268" s="286"/>
      <c r="AL268" s="381"/>
      <c r="AM268" s="287"/>
      <c r="AN268" s="267"/>
      <c r="AO268" s="381"/>
      <c r="AP268" s="287"/>
      <c r="AQ268" s="267"/>
      <c r="AR268" s="381"/>
      <c r="AS268" s="287"/>
      <c r="AT268" s="267"/>
      <c r="AU268" s="381"/>
      <c r="AV268" s="287"/>
      <c r="AW268" s="265"/>
      <c r="AX268" s="286"/>
      <c r="AZ268" s="381"/>
      <c r="BA268" s="287"/>
      <c r="BB268" s="267"/>
      <c r="BC268" s="381"/>
      <c r="BD268" s="287"/>
      <c r="BE268" s="267"/>
      <c r="BF268" s="381"/>
      <c r="BG268" s="287"/>
      <c r="BH268" s="267"/>
      <c r="BI268" s="381"/>
      <c r="BJ268" s="287"/>
      <c r="BK268" s="265"/>
      <c r="BL268" s="286"/>
      <c r="BN268" s="381"/>
      <c r="BO268" s="287"/>
      <c r="BP268" s="267"/>
      <c r="BQ268" s="381"/>
      <c r="BR268" s="287"/>
      <c r="BS268" s="267"/>
      <c r="BT268" s="381"/>
      <c r="BU268" s="287"/>
      <c r="BV268" s="267"/>
      <c r="BW268" s="381"/>
      <c r="BX268" s="287"/>
      <c r="BY268" s="265"/>
      <c r="BZ268" s="286"/>
      <c r="CB268" s="381"/>
      <c r="CC268" s="287"/>
      <c r="CD268" s="267"/>
      <c r="CE268" s="381"/>
      <c r="CF268" s="287"/>
      <c r="CG268" s="267"/>
      <c r="CH268" s="381"/>
      <c r="CI268" s="287"/>
      <c r="CJ268" s="267"/>
      <c r="CK268" s="381"/>
      <c r="CL268" s="287"/>
      <c r="CM268" s="265"/>
      <c r="CN268" s="286"/>
    </row>
    <row r="269" spans="2:92" ht="72" thickBot="1" x14ac:dyDescent="0.25">
      <c r="B269" s="970"/>
      <c r="C269" s="976"/>
      <c r="D269" s="949"/>
      <c r="E269" s="946"/>
      <c r="F269" s="949"/>
      <c r="G269" s="385" t="str">
        <f>+'Plan de Accion apoyo transversa'!X134</f>
        <v>Informe sobre servicios técnicos para realizar análisis de vulnerabilidades, ethical Hacking y pruebas de Ingeniería Social adquiridos</v>
      </c>
      <c r="H269" s="280" t="str">
        <f>+'Plan de Accion apoyo transversa'!AK134</f>
        <v># Informes sobre servicios técnicos para realizar análisis de vulnerabilidades, Ethical Hacking y pruebas de Ingeniería Social adquiridos</v>
      </c>
      <c r="J269" s="283">
        <f>+'Plan de Accion apoyo transversa'!AT134</f>
        <v>0</v>
      </c>
      <c r="K269" s="615" t="str">
        <f>+'Plan de Accion apoyo transversa'!CE134</f>
        <v>No Prog ni Ejec</v>
      </c>
      <c r="L269" s="615" t="s">
        <v>206</v>
      </c>
      <c r="M269" s="615">
        <f>+'Plan de Accion apoyo transversa'!AX134</f>
        <v>0</v>
      </c>
      <c r="N269" s="615">
        <f t="shared" si="113"/>
        <v>0</v>
      </c>
      <c r="O269" s="617" t="s">
        <v>206</v>
      </c>
      <c r="P269" s="277"/>
      <c r="Q269" s="283">
        <f>+'Plan de Accion apoyo transversa'!BD134</f>
        <v>0</v>
      </c>
      <c r="R269" s="315" t="str">
        <f>+'Plan de Accion apoyo transversa'!CG134</f>
        <v>No Prog ni Ejec</v>
      </c>
      <c r="S269" s="276" t="s">
        <v>206</v>
      </c>
      <c r="T269" s="373">
        <f>+'Plan de Accion apoyo transversa'!BH134</f>
        <v>0</v>
      </c>
      <c r="U269" s="373">
        <f t="shared" si="131"/>
        <v>0</v>
      </c>
      <c r="V269" s="275" t="s">
        <v>206</v>
      </c>
      <c r="W269" s="278"/>
      <c r="X269" s="283">
        <f>+'Plan de Accion apoyo transversa'!BN134</f>
        <v>0</v>
      </c>
      <c r="Y269" s="315" t="str">
        <f>+'Plan de Accion apoyo transversa'!CI134</f>
        <v>No Prog ni Ejec</v>
      </c>
      <c r="Z269" s="276" t="s">
        <v>206</v>
      </c>
      <c r="AA269" s="282">
        <f>+'Plan de Accion apoyo transversa'!BR134</f>
        <v>0</v>
      </c>
      <c r="AB269" s="282">
        <f t="shared" si="129"/>
        <v>0</v>
      </c>
      <c r="AC269" s="281" t="s">
        <v>206</v>
      </c>
      <c r="AD269" s="277"/>
      <c r="AE269" s="283">
        <f>+'Plan de Accion apoyo transversa'!BX134</f>
        <v>0</v>
      </c>
      <c r="AF269" s="315">
        <f>+'Plan de Accion apoyo transversa'!CK134</f>
        <v>0</v>
      </c>
      <c r="AG269" s="276">
        <f>IF(AF269&gt;100%,100%,AF269)</f>
        <v>0</v>
      </c>
      <c r="AH269" s="315">
        <f>+'Plan de Accion apoyo transversa'!CB134</f>
        <v>0</v>
      </c>
      <c r="AI269" s="275">
        <f t="shared" si="133"/>
        <v>0</v>
      </c>
      <c r="AJ269" s="286"/>
      <c r="AL269" s="381"/>
      <c r="AM269" s="287"/>
      <c r="AN269" s="267"/>
      <c r="AO269" s="381"/>
      <c r="AP269" s="287"/>
      <c r="AQ269" s="267"/>
      <c r="AR269" s="381"/>
      <c r="AS269" s="287"/>
      <c r="AT269" s="267"/>
      <c r="AU269" s="381"/>
      <c r="AV269" s="287"/>
      <c r="AW269" s="265"/>
      <c r="AX269" s="286"/>
      <c r="AZ269" s="381"/>
      <c r="BA269" s="287"/>
      <c r="BB269" s="267"/>
      <c r="BC269" s="381"/>
      <c r="BD269" s="287"/>
      <c r="BE269" s="267"/>
      <c r="BF269" s="381"/>
      <c r="BG269" s="287"/>
      <c r="BH269" s="267"/>
      <c r="BI269" s="381"/>
      <c r="BJ269" s="287"/>
      <c r="BK269" s="265"/>
      <c r="BL269" s="286"/>
      <c r="BN269" s="381"/>
      <c r="BO269" s="287"/>
      <c r="BP269" s="267"/>
      <c r="BQ269" s="381"/>
      <c r="BR269" s="287"/>
      <c r="BS269" s="267"/>
      <c r="BT269" s="381"/>
      <c r="BU269" s="287"/>
      <c r="BV269" s="267"/>
      <c r="BW269" s="381"/>
      <c r="BX269" s="287"/>
      <c r="BY269" s="265"/>
      <c r="BZ269" s="286"/>
      <c r="CB269" s="381"/>
      <c r="CC269" s="287"/>
      <c r="CD269" s="267"/>
      <c r="CE269" s="381"/>
      <c r="CF269" s="287"/>
      <c r="CG269" s="267"/>
      <c r="CH269" s="381"/>
      <c r="CI269" s="287"/>
      <c r="CJ269" s="267"/>
      <c r="CK269" s="381"/>
      <c r="CL269" s="287"/>
      <c r="CM269" s="265"/>
      <c r="CN269" s="286"/>
    </row>
    <row r="270" spans="2:92" ht="57.75" thickBot="1" x14ac:dyDescent="0.25">
      <c r="B270" s="970"/>
      <c r="C270" s="976"/>
      <c r="D270" s="949"/>
      <c r="E270" s="946"/>
      <c r="F270" s="949"/>
      <c r="G270" s="618" t="str">
        <f>+'Plan de Accion apoyo transversa'!X174</f>
        <v>Autodiagnóstico frente al cumplimiento del Régimen de protección de datos personales</v>
      </c>
      <c r="H270" s="280" t="str">
        <f>+'Plan de Accion apoyo transversa'!AK174</f>
        <v># Autodiagnósticos de Ley de Protección de Datos - LPD realizados</v>
      </c>
      <c r="J270" s="283">
        <f>+'Plan de Accion apoyo transversa'!AT174</f>
        <v>1</v>
      </c>
      <c r="K270" s="615">
        <f>+'Plan de Accion apoyo transversa'!CE174</f>
        <v>1</v>
      </c>
      <c r="L270" s="615">
        <f>IF(K270&gt;100%,100%,K270)</f>
        <v>1</v>
      </c>
      <c r="M270" s="615">
        <f>+'Plan de Accion apoyo transversa'!AX174</f>
        <v>1</v>
      </c>
      <c r="N270" s="615">
        <f>IF(M270&gt;100%,100%,M270)</f>
        <v>1</v>
      </c>
      <c r="O270" s="617">
        <f>+N270</f>
        <v>1</v>
      </c>
      <c r="P270" s="277"/>
      <c r="Q270" s="283">
        <f>+'Plan de Accion apoyo transversa'!BD174</f>
        <v>0</v>
      </c>
      <c r="R270" s="315" t="str">
        <f>+'Plan de Accion apoyo transversa'!CG174</f>
        <v>No Prog ni Ejec</v>
      </c>
      <c r="S270" s="276" t="s">
        <v>206</v>
      </c>
      <c r="T270" s="615">
        <f>+'Plan de Accion apoyo transversa'!BH174</f>
        <v>1</v>
      </c>
      <c r="U270" s="615">
        <f t="shared" si="131"/>
        <v>1</v>
      </c>
      <c r="V270" s="275" t="s">
        <v>206</v>
      </c>
      <c r="W270" s="278"/>
      <c r="X270" s="283">
        <f>+'Plan de Accion apoyo transversa'!BN174</f>
        <v>0</v>
      </c>
      <c r="Y270" s="315" t="str">
        <f>+'Plan de Accion apoyo transversa'!CI174</f>
        <v>No Prog ni Ejec</v>
      </c>
      <c r="Z270" s="276" t="s">
        <v>206</v>
      </c>
      <c r="AA270" s="282">
        <f>+'Plan de Accion apoyo transversa'!BR174</f>
        <v>1</v>
      </c>
      <c r="AB270" s="282">
        <f>IF(AA270&gt;100%,100%,AA270)</f>
        <v>1</v>
      </c>
      <c r="AC270" s="281" t="s">
        <v>206</v>
      </c>
      <c r="AD270" s="277"/>
      <c r="AE270" s="283">
        <f>+'Plan de Accion apoyo transversa'!BX174</f>
        <v>0</v>
      </c>
      <c r="AF270" s="315" t="str">
        <f>+'Plan de Accion apoyo transversa'!CK174</f>
        <v>No Prog ni Ejec</v>
      </c>
      <c r="AG270" s="276" t="s">
        <v>206</v>
      </c>
      <c r="AH270" s="315">
        <f>+'Plan de Accion apoyo transversa'!CB174</f>
        <v>1</v>
      </c>
      <c r="AI270" s="275">
        <f t="shared" si="133"/>
        <v>1</v>
      </c>
      <c r="AJ270" s="286"/>
      <c r="AL270" s="620"/>
      <c r="AM270" s="287"/>
      <c r="AN270" s="267"/>
      <c r="AO270" s="620"/>
      <c r="AP270" s="287"/>
      <c r="AQ270" s="267"/>
      <c r="AR270" s="620"/>
      <c r="AS270" s="287"/>
      <c r="AT270" s="267"/>
      <c r="AU270" s="620"/>
      <c r="AV270" s="287"/>
      <c r="AW270" s="265"/>
      <c r="AX270" s="286"/>
      <c r="AZ270" s="620"/>
      <c r="BA270" s="287"/>
      <c r="BB270" s="267"/>
      <c r="BC270" s="620"/>
      <c r="BD270" s="287"/>
      <c r="BE270" s="267"/>
      <c r="BF270" s="620"/>
      <c r="BG270" s="287"/>
      <c r="BH270" s="267"/>
      <c r="BI270" s="620"/>
      <c r="BJ270" s="287"/>
      <c r="BK270" s="265"/>
      <c r="BL270" s="286"/>
      <c r="BN270" s="620"/>
      <c r="BO270" s="287"/>
      <c r="BP270" s="267"/>
      <c r="BQ270" s="620"/>
      <c r="BR270" s="287"/>
      <c r="BS270" s="267"/>
      <c r="BT270" s="620"/>
      <c r="BU270" s="287"/>
      <c r="BV270" s="267"/>
      <c r="BW270" s="620"/>
      <c r="BX270" s="287"/>
      <c r="BY270" s="265"/>
      <c r="BZ270" s="286"/>
      <c r="CB270" s="620"/>
      <c r="CC270" s="287"/>
      <c r="CD270" s="267"/>
      <c r="CE270" s="620"/>
      <c r="CF270" s="287"/>
      <c r="CG270" s="267"/>
      <c r="CH270" s="620"/>
      <c r="CI270" s="287"/>
      <c r="CJ270" s="267"/>
      <c r="CK270" s="620"/>
      <c r="CL270" s="287"/>
      <c r="CM270" s="265"/>
      <c r="CN270" s="286"/>
    </row>
    <row r="271" spans="2:92" ht="43.5" thickBot="1" x14ac:dyDescent="0.25">
      <c r="B271" s="970"/>
      <c r="C271" s="976"/>
      <c r="D271" s="949"/>
      <c r="E271" s="946"/>
      <c r="F271" s="950"/>
      <c r="G271" s="385" t="str">
        <f>+'Plan de Accion apoyo transversa'!X135</f>
        <v>Vulnerabilidades resueltas del ejercicio de ethical hacking del año anterior</v>
      </c>
      <c r="H271" s="280" t="str">
        <f>+'Plan de Accion apoyo transversa'!AK135</f>
        <v># Vulnerabilidades resueltas / # vulnerabilidades identificadas</v>
      </c>
      <c r="J271" s="279">
        <f>+'Plan de Accion apoyo transversa'!AT135</f>
        <v>0.2</v>
      </c>
      <c r="K271" s="615">
        <f>+'Plan de Accion apoyo transversa'!CE135</f>
        <v>1</v>
      </c>
      <c r="L271" s="615">
        <f>IF(K271&gt;100%,100%,K271)</f>
        <v>1</v>
      </c>
      <c r="M271" s="615">
        <f>+'Plan de Accion apoyo transversa'!AX135</f>
        <v>0.25</v>
      </c>
      <c r="N271" s="615">
        <f t="shared" si="113"/>
        <v>0.25</v>
      </c>
      <c r="O271" s="617">
        <f>+N271</f>
        <v>0.25</v>
      </c>
      <c r="P271" s="277"/>
      <c r="Q271" s="279">
        <f>+'Plan de Accion apoyo transversa'!BD135</f>
        <v>0</v>
      </c>
      <c r="R271" s="315">
        <f>+'Plan de Accion apoyo transversa'!CG135</f>
        <v>0</v>
      </c>
      <c r="S271" s="276">
        <f>IF(R271&gt;100%,100%,R271)</f>
        <v>0</v>
      </c>
      <c r="T271" s="373">
        <f>+'Plan de Accion apoyo transversa'!BH135</f>
        <v>0.25</v>
      </c>
      <c r="U271" s="373">
        <f t="shared" si="131"/>
        <v>0.25</v>
      </c>
      <c r="V271" s="275">
        <f>+U271</f>
        <v>0.25</v>
      </c>
      <c r="W271" s="278"/>
      <c r="X271" s="279">
        <f>+'Plan de Accion apoyo transversa'!BN135</f>
        <v>0</v>
      </c>
      <c r="Y271" s="315">
        <f>+'Plan de Accion apoyo transversa'!CI135</f>
        <v>0</v>
      </c>
      <c r="Z271" s="276">
        <f>IF(Y271&gt;100%,100%,Y271)</f>
        <v>0</v>
      </c>
      <c r="AA271" s="282">
        <f>+'Plan de Accion apoyo transversa'!BR135</f>
        <v>0.25</v>
      </c>
      <c r="AB271" s="282">
        <f t="shared" si="129"/>
        <v>0.25</v>
      </c>
      <c r="AC271" s="281">
        <f>+AB271</f>
        <v>0.25</v>
      </c>
      <c r="AD271" s="277"/>
      <c r="AE271" s="279">
        <f>+'Plan de Accion apoyo transversa'!BX135</f>
        <v>0</v>
      </c>
      <c r="AF271" s="315">
        <f>+'Plan de Accion apoyo transversa'!CK135</f>
        <v>0</v>
      </c>
      <c r="AG271" s="276">
        <f>IF(AF271&gt;100%,100%,AF271)</f>
        <v>0</v>
      </c>
      <c r="AH271" s="315">
        <f>+'Plan de Accion apoyo transversa'!CB135</f>
        <v>0.25</v>
      </c>
      <c r="AI271" s="275">
        <f t="shared" si="133"/>
        <v>0.25</v>
      </c>
      <c r="AJ271" s="286"/>
      <c r="AL271" s="381"/>
      <c r="AM271" s="287"/>
      <c r="AN271" s="267"/>
      <c r="AO271" s="381"/>
      <c r="AP271" s="287"/>
      <c r="AQ271" s="267"/>
      <c r="AR271" s="381"/>
      <c r="AS271" s="287"/>
      <c r="AT271" s="267"/>
      <c r="AU271" s="381"/>
      <c r="AV271" s="287"/>
      <c r="AW271" s="265"/>
      <c r="AX271" s="286"/>
      <c r="AZ271" s="381"/>
      <c r="BA271" s="287"/>
      <c r="BB271" s="267"/>
      <c r="BC271" s="381"/>
      <c r="BD271" s="287"/>
      <c r="BE271" s="267"/>
      <c r="BF271" s="381"/>
      <c r="BG271" s="287"/>
      <c r="BH271" s="267"/>
      <c r="BI271" s="381"/>
      <c r="BJ271" s="287"/>
      <c r="BK271" s="265"/>
      <c r="BL271" s="286"/>
      <c r="BN271" s="381"/>
      <c r="BO271" s="287"/>
      <c r="BP271" s="267"/>
      <c r="BQ271" s="381"/>
      <c r="BR271" s="287"/>
      <c r="BS271" s="267"/>
      <c r="BT271" s="381"/>
      <c r="BU271" s="287"/>
      <c r="BV271" s="267"/>
      <c r="BW271" s="381"/>
      <c r="BX271" s="287"/>
      <c r="BY271" s="265"/>
      <c r="BZ271" s="286"/>
      <c r="CB271" s="381"/>
      <c r="CC271" s="287"/>
      <c r="CD271" s="267"/>
      <c r="CE271" s="381"/>
      <c r="CF271" s="287"/>
      <c r="CG271" s="267"/>
      <c r="CH271" s="381"/>
      <c r="CI271" s="287"/>
      <c r="CJ271" s="267"/>
      <c r="CK271" s="381"/>
      <c r="CL271" s="287"/>
      <c r="CM271" s="265"/>
      <c r="CN271" s="286"/>
    </row>
    <row r="272" spans="2:92" ht="43.5" thickBot="1" x14ac:dyDescent="0.25">
      <c r="B272" s="970"/>
      <c r="C272" s="976"/>
      <c r="D272" s="949"/>
      <c r="E272" s="946"/>
      <c r="F272" s="948" t="s">
        <v>334</v>
      </c>
      <c r="G272" s="385" t="str">
        <f>+'Plan de Accion apoyo transversa'!X144</f>
        <v>Autodiagnóstico del Modelo de Seguridad y Privacidad Revisado</v>
      </c>
      <c r="H272" s="280" t="str">
        <f>+'Plan de Accion apoyo transversa'!AK144</f>
        <v xml:space="preserve"># Autodiagnósticos realizados </v>
      </c>
      <c r="J272" s="283">
        <f>+'Plan de Accion apoyo transversa'!AT144</f>
        <v>0</v>
      </c>
      <c r="K272" s="615" t="str">
        <f>+'Plan de Accion apoyo transversa'!CE144</f>
        <v>No Prog ni Ejec</v>
      </c>
      <c r="L272" s="615" t="s">
        <v>206</v>
      </c>
      <c r="M272" s="615">
        <f>+'Plan de Accion apoyo transversa'!AX144</f>
        <v>0</v>
      </c>
      <c r="N272" s="615">
        <f t="shared" si="113"/>
        <v>0</v>
      </c>
      <c r="O272" s="617" t="s">
        <v>206</v>
      </c>
      <c r="P272" s="277"/>
      <c r="Q272" s="283">
        <f>+'Plan de Accion apoyo transversa'!BD144</f>
        <v>0</v>
      </c>
      <c r="R272" s="315">
        <f>+'Plan de Accion apoyo transversa'!CG144</f>
        <v>0</v>
      </c>
      <c r="S272" s="276">
        <f>IF(R272&gt;100%,100%,R272)</f>
        <v>0</v>
      </c>
      <c r="T272" s="373">
        <f>+'Plan de Accion apoyo transversa'!BH144</f>
        <v>0</v>
      </c>
      <c r="U272" s="373">
        <f t="shared" si="131"/>
        <v>0</v>
      </c>
      <c r="V272" s="275">
        <f>+U272</f>
        <v>0</v>
      </c>
      <c r="W272" s="278"/>
      <c r="X272" s="283">
        <f>+'Plan de Accion apoyo transversa'!BN144</f>
        <v>0</v>
      </c>
      <c r="Y272" s="315" t="str">
        <f>+'Plan de Accion apoyo transversa'!CI144</f>
        <v>No Prog ni Ejec</v>
      </c>
      <c r="Z272" s="276" t="s">
        <v>206</v>
      </c>
      <c r="AA272" s="282">
        <f>+'Plan de Accion apoyo transversa'!BR144</f>
        <v>0</v>
      </c>
      <c r="AB272" s="282">
        <f t="shared" si="129"/>
        <v>0</v>
      </c>
      <c r="AC272" s="281">
        <f>+AB272</f>
        <v>0</v>
      </c>
      <c r="AD272" s="277"/>
      <c r="AE272" s="283">
        <f>+'Plan de Accion apoyo transversa'!BX144</f>
        <v>0</v>
      </c>
      <c r="AF272" s="315">
        <f>+'Plan de Accion apoyo transversa'!CK144</f>
        <v>0</v>
      </c>
      <c r="AG272" s="276">
        <f>IF(AF272&gt;100%,100%,AF272)</f>
        <v>0</v>
      </c>
      <c r="AH272" s="315">
        <f>+'Plan de Accion apoyo transversa'!CB144</f>
        <v>0</v>
      </c>
      <c r="AI272" s="275">
        <f t="shared" si="133"/>
        <v>0</v>
      </c>
      <c r="AJ272" s="286"/>
      <c r="AL272" s="381"/>
      <c r="AM272" s="287"/>
      <c r="AN272" s="267"/>
      <c r="AO272" s="381"/>
      <c r="AP272" s="287"/>
      <c r="AQ272" s="267"/>
      <c r="AR272" s="381"/>
      <c r="AS272" s="287"/>
      <c r="AT272" s="267"/>
      <c r="AU272" s="381"/>
      <c r="AV272" s="287"/>
      <c r="AW272" s="265"/>
      <c r="AX272" s="286"/>
      <c r="AZ272" s="381"/>
      <c r="BA272" s="287"/>
      <c r="BB272" s="267"/>
      <c r="BC272" s="381"/>
      <c r="BD272" s="287"/>
      <c r="BE272" s="267"/>
      <c r="BF272" s="381"/>
      <c r="BG272" s="287"/>
      <c r="BH272" s="267"/>
      <c r="BI272" s="381"/>
      <c r="BJ272" s="287"/>
      <c r="BK272" s="265"/>
      <c r="BL272" s="286"/>
      <c r="BN272" s="381"/>
      <c r="BO272" s="287"/>
      <c r="BP272" s="267"/>
      <c r="BQ272" s="381"/>
      <c r="BR272" s="287"/>
      <c r="BS272" s="267"/>
      <c r="BT272" s="381"/>
      <c r="BU272" s="287"/>
      <c r="BV272" s="267"/>
      <c r="BW272" s="381"/>
      <c r="BX272" s="287"/>
      <c r="BY272" s="265"/>
      <c r="BZ272" s="286"/>
      <c r="CB272" s="381"/>
      <c r="CC272" s="287"/>
      <c r="CD272" s="267"/>
      <c r="CE272" s="381"/>
      <c r="CF272" s="287"/>
      <c r="CG272" s="267"/>
      <c r="CH272" s="381"/>
      <c r="CI272" s="287"/>
      <c r="CJ272" s="267"/>
      <c r="CK272" s="381"/>
      <c r="CL272" s="287"/>
      <c r="CM272" s="265"/>
      <c r="CN272" s="286"/>
    </row>
    <row r="273" spans="2:92" ht="43.5" thickBot="1" x14ac:dyDescent="0.25">
      <c r="B273" s="970"/>
      <c r="C273" s="976"/>
      <c r="D273" s="949"/>
      <c r="E273" s="946"/>
      <c r="F273" s="949"/>
      <c r="G273" s="385" t="str">
        <f>+'Plan de Accion apoyo transversa'!X145</f>
        <v>Políticas General y Específicas de Seguridad y Privacidad de la Información</v>
      </c>
      <c r="H273" s="280" t="str">
        <f>+'Plan de Accion apoyo transversa'!AK145</f>
        <v># Políticas aprobadas mediante acto administrativo o equivalente</v>
      </c>
      <c r="J273" s="283">
        <f>+'Plan de Accion apoyo transversa'!AT145</f>
        <v>2</v>
      </c>
      <c r="K273" s="615">
        <f>+'Plan de Accion apoyo transversa'!CE145</f>
        <v>1</v>
      </c>
      <c r="L273" s="615">
        <f>IF(K273&gt;100%,100%,K273)</f>
        <v>1</v>
      </c>
      <c r="M273" s="615">
        <f>+'Plan de Accion apoyo transversa'!AX145</f>
        <v>1</v>
      </c>
      <c r="N273" s="615">
        <f t="shared" si="113"/>
        <v>1</v>
      </c>
      <c r="O273" s="617">
        <f>+N273</f>
        <v>1</v>
      </c>
      <c r="P273" s="277"/>
      <c r="Q273" s="283">
        <f>+'Plan de Accion apoyo transversa'!BD145</f>
        <v>0</v>
      </c>
      <c r="R273" s="315" t="str">
        <f>+'Plan de Accion apoyo transversa'!CG145</f>
        <v>No Prog ni Ejec</v>
      </c>
      <c r="S273" s="276" t="s">
        <v>206</v>
      </c>
      <c r="T273" s="373">
        <f>+'Plan de Accion apoyo transversa'!BH145</f>
        <v>1</v>
      </c>
      <c r="U273" s="373">
        <f t="shared" si="131"/>
        <v>1</v>
      </c>
      <c r="V273" s="275">
        <f>+U273</f>
        <v>1</v>
      </c>
      <c r="W273" s="278"/>
      <c r="X273" s="283">
        <f>+'Plan de Accion apoyo transversa'!BN145</f>
        <v>0</v>
      </c>
      <c r="Y273" s="315" t="str">
        <f>+'Plan de Accion apoyo transversa'!CI145</f>
        <v>No Prog ni Ejec</v>
      </c>
      <c r="Z273" s="276" t="s">
        <v>206</v>
      </c>
      <c r="AA273" s="282">
        <f>+'Plan de Accion apoyo transversa'!BR145</f>
        <v>1</v>
      </c>
      <c r="AB273" s="282">
        <f t="shared" si="129"/>
        <v>1</v>
      </c>
      <c r="AC273" s="281">
        <f>+AB273</f>
        <v>1</v>
      </c>
      <c r="AD273" s="277"/>
      <c r="AE273" s="283">
        <f>+'Plan de Accion apoyo transversa'!BX145</f>
        <v>0</v>
      </c>
      <c r="AF273" s="315" t="str">
        <f>+'Plan de Accion apoyo transversa'!CK145</f>
        <v>No Prog ni Ejec</v>
      </c>
      <c r="AG273" s="276" t="s">
        <v>206</v>
      </c>
      <c r="AH273" s="315">
        <f>+'Plan de Accion apoyo transversa'!CB145</f>
        <v>1</v>
      </c>
      <c r="AI273" s="275">
        <f t="shared" si="133"/>
        <v>1</v>
      </c>
      <c r="AJ273" s="286"/>
      <c r="AL273" s="381"/>
      <c r="AM273" s="287"/>
      <c r="AN273" s="267"/>
      <c r="AO273" s="381"/>
      <c r="AP273" s="287"/>
      <c r="AQ273" s="267"/>
      <c r="AR273" s="381"/>
      <c r="AS273" s="287"/>
      <c r="AT273" s="267"/>
      <c r="AU273" s="381"/>
      <c r="AV273" s="287"/>
      <c r="AW273" s="265"/>
      <c r="AX273" s="286"/>
      <c r="AZ273" s="381"/>
      <c r="BA273" s="287"/>
      <c r="BB273" s="267"/>
      <c r="BC273" s="381"/>
      <c r="BD273" s="287"/>
      <c r="BE273" s="267"/>
      <c r="BF273" s="381"/>
      <c r="BG273" s="287"/>
      <c r="BH273" s="267"/>
      <c r="BI273" s="381"/>
      <c r="BJ273" s="287"/>
      <c r="BK273" s="265"/>
      <c r="BL273" s="286"/>
      <c r="BN273" s="381"/>
      <c r="BO273" s="287"/>
      <c r="BP273" s="267"/>
      <c r="BQ273" s="381"/>
      <c r="BR273" s="287"/>
      <c r="BS273" s="267"/>
      <c r="BT273" s="381"/>
      <c r="BU273" s="287"/>
      <c r="BV273" s="267"/>
      <c r="BW273" s="381"/>
      <c r="BX273" s="287"/>
      <c r="BY273" s="265"/>
      <c r="BZ273" s="286"/>
      <c r="CB273" s="381"/>
      <c r="CC273" s="287"/>
      <c r="CD273" s="267"/>
      <c r="CE273" s="381"/>
      <c r="CF273" s="287"/>
      <c r="CG273" s="267"/>
      <c r="CH273" s="381"/>
      <c r="CI273" s="287"/>
      <c r="CJ273" s="267"/>
      <c r="CK273" s="381"/>
      <c r="CL273" s="287"/>
      <c r="CM273" s="265"/>
      <c r="CN273" s="286"/>
    </row>
    <row r="274" spans="2:92" ht="43.5" thickBot="1" x14ac:dyDescent="0.25">
      <c r="B274" s="970"/>
      <c r="C274" s="976"/>
      <c r="D274" s="949"/>
      <c r="E274" s="946"/>
      <c r="F274" s="949"/>
      <c r="G274" s="385" t="str">
        <f>+'Plan de Accion apoyo transversa'!X146</f>
        <v>Inventario y registro de activos de información actualizados</v>
      </c>
      <c r="H274" s="280" t="str">
        <f>+'Plan de Accion apoyo transversa'!AK146</f>
        <v xml:space="preserve"> # Matrices de inventario y registro de activos de información actualizados </v>
      </c>
      <c r="J274" s="283">
        <f>+'Plan de Accion apoyo transversa'!AT146</f>
        <v>0</v>
      </c>
      <c r="K274" s="615" t="str">
        <f>+'Plan de Accion apoyo transversa'!CE146</f>
        <v>No Prog ni Ejec</v>
      </c>
      <c r="L274" s="615" t="s">
        <v>206</v>
      </c>
      <c r="M274" s="615">
        <f>+'Plan de Accion apoyo transversa'!AX146</f>
        <v>0</v>
      </c>
      <c r="N274" s="615">
        <f t="shared" si="113"/>
        <v>0</v>
      </c>
      <c r="O274" s="617" t="s">
        <v>206</v>
      </c>
      <c r="P274" s="277"/>
      <c r="Q274" s="283">
        <f>+'Plan de Accion apoyo transversa'!BD146</f>
        <v>0</v>
      </c>
      <c r="R274" s="315">
        <f>+'Plan de Accion apoyo transversa'!CG146</f>
        <v>0</v>
      </c>
      <c r="S274" s="276">
        <f>IF(R274&gt;100%,100%,R274)</f>
        <v>0</v>
      </c>
      <c r="T274" s="373">
        <f>+'Plan de Accion apoyo transversa'!BH146</f>
        <v>0</v>
      </c>
      <c r="U274" s="373">
        <f t="shared" si="131"/>
        <v>0</v>
      </c>
      <c r="V274" s="275">
        <f>+U274</f>
        <v>0</v>
      </c>
      <c r="W274" s="278"/>
      <c r="X274" s="283">
        <f>+'Plan de Accion apoyo transversa'!BN146</f>
        <v>0</v>
      </c>
      <c r="Y274" s="315" t="str">
        <f>+'Plan de Accion apoyo transversa'!CI146</f>
        <v>No Prog ni Ejec</v>
      </c>
      <c r="Z274" s="276" t="s">
        <v>206</v>
      </c>
      <c r="AA274" s="282">
        <f>+'Plan de Accion apoyo transversa'!BR146</f>
        <v>0</v>
      </c>
      <c r="AB274" s="282">
        <f t="shared" si="129"/>
        <v>0</v>
      </c>
      <c r="AC274" s="281">
        <f>+AB274</f>
        <v>0</v>
      </c>
      <c r="AD274" s="277"/>
      <c r="AE274" s="283">
        <f>+'Plan de Accion apoyo transversa'!BX146</f>
        <v>0</v>
      </c>
      <c r="AF274" s="315">
        <f>+'Plan de Accion apoyo transversa'!CK146</f>
        <v>0</v>
      </c>
      <c r="AG274" s="276">
        <f t="shared" ref="AG274:AG279" si="134">IF(AF274&gt;100%,100%,AF274)</f>
        <v>0</v>
      </c>
      <c r="AH274" s="315">
        <f>+'Plan de Accion apoyo transversa'!CB146</f>
        <v>0</v>
      </c>
      <c r="AI274" s="275">
        <f t="shared" si="133"/>
        <v>0</v>
      </c>
      <c r="AJ274" s="286"/>
      <c r="AL274" s="381"/>
      <c r="AM274" s="287"/>
      <c r="AN274" s="267"/>
      <c r="AO274" s="381"/>
      <c r="AP274" s="287"/>
      <c r="AQ274" s="267"/>
      <c r="AR274" s="381"/>
      <c r="AS274" s="287"/>
      <c r="AT274" s="267"/>
      <c r="AU274" s="381"/>
      <c r="AV274" s="287"/>
      <c r="AW274" s="265"/>
      <c r="AX274" s="286"/>
      <c r="AZ274" s="381"/>
      <c r="BA274" s="287"/>
      <c r="BB274" s="267"/>
      <c r="BC274" s="381"/>
      <c r="BD274" s="287"/>
      <c r="BE274" s="267"/>
      <c r="BF274" s="381"/>
      <c r="BG274" s="287"/>
      <c r="BH274" s="267"/>
      <c r="BI274" s="381"/>
      <c r="BJ274" s="287"/>
      <c r="BK274" s="265"/>
      <c r="BL274" s="286"/>
      <c r="BN274" s="381"/>
      <c r="BO274" s="287"/>
      <c r="BP274" s="267"/>
      <c r="BQ274" s="381"/>
      <c r="BR274" s="287"/>
      <c r="BS274" s="267"/>
      <c r="BT274" s="381"/>
      <c r="BU274" s="287"/>
      <c r="BV274" s="267"/>
      <c r="BW274" s="381"/>
      <c r="BX274" s="287"/>
      <c r="BY274" s="265"/>
      <c r="BZ274" s="286"/>
      <c r="CB274" s="381"/>
      <c r="CC274" s="287"/>
      <c r="CD274" s="267"/>
      <c r="CE274" s="381"/>
      <c r="CF274" s="287"/>
      <c r="CG274" s="267"/>
      <c r="CH274" s="381"/>
      <c r="CI274" s="287"/>
      <c r="CJ274" s="267"/>
      <c r="CK274" s="381"/>
      <c r="CL274" s="287"/>
      <c r="CM274" s="265"/>
      <c r="CN274" s="286"/>
    </row>
    <row r="275" spans="2:92" ht="43.5" thickBot="1" x14ac:dyDescent="0.25">
      <c r="B275" s="970"/>
      <c r="C275" s="976"/>
      <c r="D275" s="949"/>
      <c r="E275" s="946"/>
      <c r="F275" s="950"/>
      <c r="G275" s="385" t="str">
        <f>+'Plan de Accion apoyo transversa'!X147</f>
        <v>Procedimientos relacionados con Seguridad de la Información</v>
      </c>
      <c r="H275" s="280" t="str">
        <f>+'Plan de Accion apoyo transversa'!AK147</f>
        <v xml:space="preserve"># Procedimientos aprobados </v>
      </c>
      <c r="J275" s="283">
        <f>+'Plan de Accion apoyo transversa'!AT147</f>
        <v>4</v>
      </c>
      <c r="K275" s="615">
        <f>+'Plan de Accion apoyo transversa'!CE147</f>
        <v>1</v>
      </c>
      <c r="L275" s="615">
        <f>IF(K275&gt;100%,100%,K275)</f>
        <v>1</v>
      </c>
      <c r="M275" s="615">
        <f>+'Plan de Accion apoyo transversa'!AX147</f>
        <v>0.21052631578947367</v>
      </c>
      <c r="N275" s="615">
        <f t="shared" si="113"/>
        <v>0.21052631578947367</v>
      </c>
      <c r="O275" s="617">
        <f>+N275</f>
        <v>0.21052631578947367</v>
      </c>
      <c r="P275" s="277"/>
      <c r="Q275" s="283">
        <f>+'Plan de Accion apoyo transversa'!BD147</f>
        <v>0</v>
      </c>
      <c r="R275" s="315">
        <f>+'Plan de Accion apoyo transversa'!CG147</f>
        <v>0</v>
      </c>
      <c r="S275" s="276">
        <f>IF(R275&gt;100%,100%,R275)</f>
        <v>0</v>
      </c>
      <c r="T275" s="373">
        <f>+'Plan de Accion apoyo transversa'!BH147</f>
        <v>0.21052631578947367</v>
      </c>
      <c r="U275" s="373">
        <f t="shared" si="131"/>
        <v>0.21052631578947367</v>
      </c>
      <c r="V275" s="275">
        <f>+U275</f>
        <v>0.21052631578947367</v>
      </c>
      <c r="W275" s="278"/>
      <c r="X275" s="283">
        <f>+'Plan de Accion apoyo transversa'!BN147</f>
        <v>0</v>
      </c>
      <c r="Y275" s="315">
        <f>+'Plan de Accion apoyo transversa'!CI147</f>
        <v>0</v>
      </c>
      <c r="Z275" s="276" t="s">
        <v>206</v>
      </c>
      <c r="AA275" s="282">
        <f>+'Plan de Accion apoyo transversa'!BR147</f>
        <v>0.21052631578947367</v>
      </c>
      <c r="AB275" s="282">
        <f t="shared" si="129"/>
        <v>0.21052631578947367</v>
      </c>
      <c r="AC275" s="281">
        <f>+AB275</f>
        <v>0.21052631578947367</v>
      </c>
      <c r="AD275" s="277"/>
      <c r="AE275" s="283">
        <f>+'Plan de Accion apoyo transversa'!BX147</f>
        <v>0</v>
      </c>
      <c r="AF275" s="315">
        <f>+'Plan de Accion apoyo transversa'!CK147</f>
        <v>0</v>
      </c>
      <c r="AG275" s="276">
        <f t="shared" si="134"/>
        <v>0</v>
      </c>
      <c r="AH275" s="315">
        <f>+'Plan de Accion apoyo transversa'!CB147</f>
        <v>0.21052631578947367</v>
      </c>
      <c r="AI275" s="275">
        <f t="shared" si="133"/>
        <v>0.21052631578947367</v>
      </c>
      <c r="AJ275" s="286"/>
      <c r="AL275" s="381"/>
      <c r="AM275" s="287"/>
      <c r="AN275" s="267"/>
      <c r="AO275" s="381"/>
      <c r="AP275" s="287"/>
      <c r="AQ275" s="267"/>
      <c r="AR275" s="381"/>
      <c r="AS275" s="287"/>
      <c r="AT275" s="267"/>
      <c r="AU275" s="381"/>
      <c r="AV275" s="287"/>
      <c r="AW275" s="265"/>
      <c r="AX275" s="286"/>
      <c r="AZ275" s="381"/>
      <c r="BA275" s="287"/>
      <c r="BB275" s="267"/>
      <c r="BC275" s="381"/>
      <c r="BD275" s="287"/>
      <c r="BE275" s="267"/>
      <c r="BF275" s="381"/>
      <c r="BG275" s="287"/>
      <c r="BH275" s="267"/>
      <c r="BI275" s="381"/>
      <c r="BJ275" s="287"/>
      <c r="BK275" s="265"/>
      <c r="BL275" s="286"/>
      <c r="BN275" s="381"/>
      <c r="BO275" s="287"/>
      <c r="BP275" s="267"/>
      <c r="BQ275" s="381"/>
      <c r="BR275" s="287"/>
      <c r="BS275" s="267"/>
      <c r="BT275" s="381"/>
      <c r="BU275" s="287"/>
      <c r="BV275" s="267"/>
      <c r="BW275" s="381"/>
      <c r="BX275" s="287"/>
      <c r="BY275" s="265"/>
      <c r="BZ275" s="286"/>
      <c r="CB275" s="381"/>
      <c r="CC275" s="287"/>
      <c r="CD275" s="267"/>
      <c r="CE275" s="381"/>
      <c r="CF275" s="287"/>
      <c r="CG275" s="267"/>
      <c r="CH275" s="381"/>
      <c r="CI275" s="287"/>
      <c r="CJ275" s="267"/>
      <c r="CK275" s="381"/>
      <c r="CL275" s="287"/>
      <c r="CM275" s="265"/>
      <c r="CN275" s="286"/>
    </row>
    <row r="276" spans="2:92" ht="100.5" thickBot="1" x14ac:dyDescent="0.25">
      <c r="B276" s="970"/>
      <c r="C276" s="976"/>
      <c r="D276" s="949"/>
      <c r="E276" s="946"/>
      <c r="F276" s="948" t="s">
        <v>332</v>
      </c>
      <c r="G276" s="385" t="str">
        <f>+'Plan de Accion apoyo transversa'!X136</f>
        <v>Flujos de correspondencia, que incluya impresión de stickers, firma digital de documentos, estampado cronológico, reconocimiento OCR e integración con los flujos de PQRSD y Tutelas</v>
      </c>
      <c r="H276" s="280" t="str">
        <f>+'Plan de Accion apoyo transversa'!AK136</f>
        <v>Flujos de correspondencia implementados con el cumplimiento de requisitos / Flujos de correspondencia requeridos</v>
      </c>
      <c r="J276" s="279">
        <f>+'Plan de Accion apoyo transversa'!AT136</f>
        <v>0</v>
      </c>
      <c r="K276" s="615" t="str">
        <f>+'Plan de Accion apoyo transversa'!CE136</f>
        <v>No Prog ni Ejec</v>
      </c>
      <c r="L276" s="615" t="s">
        <v>206</v>
      </c>
      <c r="M276" s="615">
        <f>+'Plan de Accion apoyo transversa'!AX136</f>
        <v>0</v>
      </c>
      <c r="N276" s="615">
        <f t="shared" si="113"/>
        <v>0</v>
      </c>
      <c r="O276" s="617" t="s">
        <v>206</v>
      </c>
      <c r="P276" s="277"/>
      <c r="Q276" s="279">
        <f>+'Plan de Accion apoyo transversa'!BD136</f>
        <v>0</v>
      </c>
      <c r="R276" s="315" t="str">
        <f>+'Plan de Accion apoyo transversa'!CG136</f>
        <v>No Prog ni Ejec</v>
      </c>
      <c r="S276" s="276" t="s">
        <v>206</v>
      </c>
      <c r="T276" s="373">
        <f>+'Plan de Accion apoyo transversa'!BH136</f>
        <v>0</v>
      </c>
      <c r="U276" s="373">
        <f t="shared" si="131"/>
        <v>0</v>
      </c>
      <c r="V276" s="275" t="s">
        <v>206</v>
      </c>
      <c r="W276" s="278"/>
      <c r="X276" s="279">
        <f>+'Plan de Accion apoyo transversa'!BN136</f>
        <v>0</v>
      </c>
      <c r="Y276" s="315" t="str">
        <f>+'Plan de Accion apoyo transversa'!CI136</f>
        <v>No Prog ni Ejec</v>
      </c>
      <c r="Z276" s="276" t="s">
        <v>206</v>
      </c>
      <c r="AA276" s="282">
        <f>+'Plan de Accion apoyo transversa'!BR136</f>
        <v>0</v>
      </c>
      <c r="AB276" s="282">
        <f t="shared" ref="AB276:AB287" si="135">IF(AA276&gt;100%,100%,AA276)</f>
        <v>0</v>
      </c>
      <c r="AC276" s="281" t="s">
        <v>206</v>
      </c>
      <c r="AD276" s="277"/>
      <c r="AE276" s="279">
        <f>+'Plan de Accion apoyo transversa'!BX136</f>
        <v>0</v>
      </c>
      <c r="AF276" s="315">
        <f>+'Plan de Accion apoyo transversa'!CK136</f>
        <v>0</v>
      </c>
      <c r="AG276" s="276">
        <f t="shared" si="134"/>
        <v>0</v>
      </c>
      <c r="AH276" s="315">
        <f>+'Plan de Accion apoyo transversa'!CB136</f>
        <v>0</v>
      </c>
      <c r="AI276" s="275">
        <f t="shared" si="133"/>
        <v>0</v>
      </c>
      <c r="AJ276" s="286"/>
      <c r="AL276" s="381"/>
      <c r="AM276" s="287"/>
      <c r="AN276" s="267"/>
      <c r="AO276" s="381"/>
      <c r="AP276" s="287"/>
      <c r="AQ276" s="267"/>
      <c r="AR276" s="381"/>
      <c r="AS276" s="287"/>
      <c r="AT276" s="267"/>
      <c r="AU276" s="381"/>
      <c r="AV276" s="287"/>
      <c r="AW276" s="265"/>
      <c r="AX276" s="286"/>
      <c r="AZ276" s="381"/>
      <c r="BA276" s="287"/>
      <c r="BB276" s="267"/>
      <c r="BC276" s="381"/>
      <c r="BD276" s="287"/>
      <c r="BE276" s="267"/>
      <c r="BF276" s="381"/>
      <c r="BG276" s="287"/>
      <c r="BH276" s="267"/>
      <c r="BI276" s="381"/>
      <c r="BJ276" s="287"/>
      <c r="BK276" s="265"/>
      <c r="BL276" s="286"/>
      <c r="BN276" s="381"/>
      <c r="BO276" s="287"/>
      <c r="BP276" s="267"/>
      <c r="BQ276" s="381"/>
      <c r="BR276" s="287"/>
      <c r="BS276" s="267"/>
      <c r="BT276" s="381"/>
      <c r="BU276" s="287"/>
      <c r="BV276" s="267"/>
      <c r="BW276" s="381"/>
      <c r="BX276" s="287"/>
      <c r="BY276" s="265"/>
      <c r="BZ276" s="286"/>
      <c r="CB276" s="381"/>
      <c r="CC276" s="287"/>
      <c r="CD276" s="267"/>
      <c r="CE276" s="381"/>
      <c r="CF276" s="287"/>
      <c r="CG276" s="267"/>
      <c r="CH276" s="381"/>
      <c r="CI276" s="287"/>
      <c r="CJ276" s="267"/>
      <c r="CK276" s="381"/>
      <c r="CL276" s="287"/>
      <c r="CM276" s="265"/>
      <c r="CN276" s="286"/>
    </row>
    <row r="277" spans="2:92" ht="43.5" thickBot="1" x14ac:dyDescent="0.25">
      <c r="B277" s="970"/>
      <c r="C277" s="976"/>
      <c r="D277" s="949"/>
      <c r="E277" s="946"/>
      <c r="F277" s="950"/>
      <c r="G277" s="385" t="str">
        <f>+'Plan de Accion apoyo transversa'!X138</f>
        <v>Servicio de documentación de los servicios TI y Sistemas de Información</v>
      </c>
      <c r="H277" s="280" t="str">
        <f>+'Plan de Accion apoyo transversa'!AK138</f>
        <v># Manuales documentados/ # manuales requeridos</v>
      </c>
      <c r="J277" s="279">
        <f>+'Plan de Accion apoyo transversa'!AT138</f>
        <v>0</v>
      </c>
      <c r="K277" s="615" t="str">
        <f>+'Plan de Accion apoyo transversa'!CE138</f>
        <v>No Prog ni Ejec</v>
      </c>
      <c r="L277" s="615" t="s">
        <v>206</v>
      </c>
      <c r="M277" s="615">
        <f>+'Plan de Accion apoyo transversa'!AX138</f>
        <v>0</v>
      </c>
      <c r="N277" s="615">
        <f t="shared" si="113"/>
        <v>0</v>
      </c>
      <c r="O277" s="617" t="s">
        <v>206</v>
      </c>
      <c r="P277" s="277"/>
      <c r="Q277" s="279">
        <f>+'Plan de Accion apoyo transversa'!BD138</f>
        <v>0</v>
      </c>
      <c r="R277" s="315" t="str">
        <f>+'Plan de Accion apoyo transversa'!CG138</f>
        <v>No Prog ni Ejec</v>
      </c>
      <c r="S277" s="276" t="s">
        <v>206</v>
      </c>
      <c r="T277" s="373">
        <f>+'Plan de Accion apoyo transversa'!BH138</f>
        <v>0</v>
      </c>
      <c r="U277" s="373">
        <f t="shared" si="131"/>
        <v>0</v>
      </c>
      <c r="V277" s="275" t="s">
        <v>206</v>
      </c>
      <c r="W277" s="278"/>
      <c r="X277" s="279">
        <f>+'Plan de Accion apoyo transversa'!BN138</f>
        <v>0</v>
      </c>
      <c r="Y277" s="315">
        <f>+'Plan de Accion apoyo transversa'!CI138</f>
        <v>0</v>
      </c>
      <c r="Z277" s="276">
        <f>IF(Y277&gt;100%,100%,Y277)</f>
        <v>0</v>
      </c>
      <c r="AA277" s="282">
        <f>+'Plan de Accion apoyo transversa'!BR138</f>
        <v>0</v>
      </c>
      <c r="AB277" s="282">
        <f t="shared" si="135"/>
        <v>0</v>
      </c>
      <c r="AC277" s="281">
        <f>+AB277</f>
        <v>0</v>
      </c>
      <c r="AD277" s="277"/>
      <c r="AE277" s="279">
        <f>+'Plan de Accion apoyo transversa'!BX138</f>
        <v>0</v>
      </c>
      <c r="AF277" s="315">
        <f>+'Plan de Accion apoyo transversa'!CK138</f>
        <v>0</v>
      </c>
      <c r="AG277" s="276">
        <f t="shared" si="134"/>
        <v>0</v>
      </c>
      <c r="AH277" s="315">
        <f>+'Plan de Accion apoyo transversa'!CB138</f>
        <v>0</v>
      </c>
      <c r="AI277" s="275">
        <f t="shared" si="133"/>
        <v>0</v>
      </c>
      <c r="AJ277" s="286"/>
      <c r="AL277" s="381"/>
      <c r="AM277" s="287"/>
      <c r="AN277" s="267"/>
      <c r="AO277" s="381"/>
      <c r="AP277" s="287"/>
      <c r="AQ277" s="267"/>
      <c r="AR277" s="381"/>
      <c r="AS277" s="287"/>
      <c r="AT277" s="267"/>
      <c r="AU277" s="381"/>
      <c r="AV277" s="287"/>
      <c r="AW277" s="265"/>
      <c r="AX277" s="286"/>
      <c r="AZ277" s="381"/>
      <c r="BA277" s="287"/>
      <c r="BB277" s="267"/>
      <c r="BC277" s="381"/>
      <c r="BD277" s="287"/>
      <c r="BE277" s="267"/>
      <c r="BF277" s="381"/>
      <c r="BG277" s="287"/>
      <c r="BH277" s="267"/>
      <c r="BI277" s="381"/>
      <c r="BJ277" s="287"/>
      <c r="BK277" s="265"/>
      <c r="BL277" s="286"/>
      <c r="BN277" s="381"/>
      <c r="BO277" s="287"/>
      <c r="BP277" s="267"/>
      <c r="BQ277" s="381"/>
      <c r="BR277" s="287"/>
      <c r="BS277" s="267"/>
      <c r="BT277" s="381"/>
      <c r="BU277" s="287"/>
      <c r="BV277" s="267"/>
      <c r="BW277" s="381"/>
      <c r="BX277" s="287"/>
      <c r="BY277" s="265"/>
      <c r="BZ277" s="286"/>
      <c r="CB277" s="381"/>
      <c r="CC277" s="287"/>
      <c r="CD277" s="267"/>
      <c r="CE277" s="381"/>
      <c r="CF277" s="287"/>
      <c r="CG277" s="267"/>
      <c r="CH277" s="381"/>
      <c r="CI277" s="287"/>
      <c r="CJ277" s="267"/>
      <c r="CK277" s="381"/>
      <c r="CL277" s="287"/>
      <c r="CM277" s="265"/>
      <c r="CN277" s="286"/>
    </row>
    <row r="278" spans="2:92" ht="57.75" thickBot="1" x14ac:dyDescent="0.25">
      <c r="B278" s="970"/>
      <c r="C278" s="976"/>
      <c r="D278" s="949"/>
      <c r="E278" s="946"/>
      <c r="F278" s="368" t="s">
        <v>1298</v>
      </c>
      <c r="G278" s="385" t="str">
        <f>+'Plan de Accion apoyo transversa'!X137</f>
        <v>Plan Estratégico de TI  estructurado, elaborado y aprobado</v>
      </c>
      <c r="H278" s="280" t="str">
        <f>+'Plan de Accion apoyo transversa'!AK137</f>
        <v># Planes Estratégicos de TI elaborados.</v>
      </c>
      <c r="J278" s="283">
        <f>+'Plan de Accion apoyo transversa'!AT137</f>
        <v>0</v>
      </c>
      <c r="K278" s="615" t="str">
        <f>+'Plan de Accion apoyo transversa'!CE137</f>
        <v>No Prog ni Ejec</v>
      </c>
      <c r="L278" s="615" t="s">
        <v>206</v>
      </c>
      <c r="M278" s="615">
        <f>+'Plan de Accion apoyo transversa'!AX137</f>
        <v>0</v>
      </c>
      <c r="N278" s="615">
        <f t="shared" si="113"/>
        <v>0</v>
      </c>
      <c r="O278" s="617" t="s">
        <v>206</v>
      </c>
      <c r="P278" s="277"/>
      <c r="Q278" s="283">
        <f>+'Plan de Accion apoyo transversa'!BD137</f>
        <v>0</v>
      </c>
      <c r="R278" s="315" t="str">
        <f>+'Plan de Accion apoyo transversa'!CG137</f>
        <v>No Prog ni Ejec</v>
      </c>
      <c r="S278" s="276" t="s">
        <v>206</v>
      </c>
      <c r="T278" s="373">
        <f>+'Plan de Accion apoyo transversa'!BH137</f>
        <v>0</v>
      </c>
      <c r="U278" s="373">
        <f t="shared" si="131"/>
        <v>0</v>
      </c>
      <c r="V278" s="275" t="s">
        <v>206</v>
      </c>
      <c r="W278" s="278"/>
      <c r="X278" s="283">
        <f>+'Plan de Accion apoyo transversa'!BN137</f>
        <v>0</v>
      </c>
      <c r="Y278" s="315" t="str">
        <f>+'Plan de Accion apoyo transversa'!CI137</f>
        <v>No Prog ni Ejec</v>
      </c>
      <c r="Z278" s="276" t="s">
        <v>206</v>
      </c>
      <c r="AA278" s="282">
        <f>+'Plan de Accion apoyo transversa'!BR137</f>
        <v>0</v>
      </c>
      <c r="AB278" s="282">
        <f t="shared" si="135"/>
        <v>0</v>
      </c>
      <c r="AC278" s="281" t="s">
        <v>206</v>
      </c>
      <c r="AD278" s="277"/>
      <c r="AE278" s="283">
        <f>+'Plan de Accion apoyo transversa'!BX137</f>
        <v>0</v>
      </c>
      <c r="AF278" s="315">
        <f>+'Plan de Accion apoyo transversa'!CK137</f>
        <v>0</v>
      </c>
      <c r="AG278" s="276">
        <f t="shared" si="134"/>
        <v>0</v>
      </c>
      <c r="AH278" s="315">
        <f>+'Plan de Accion apoyo transversa'!CB137</f>
        <v>0</v>
      </c>
      <c r="AI278" s="275">
        <f t="shared" si="133"/>
        <v>0</v>
      </c>
      <c r="AJ278" s="286"/>
      <c r="AL278" s="381"/>
      <c r="AM278" s="287"/>
      <c r="AN278" s="267"/>
      <c r="AO278" s="381"/>
      <c r="AP278" s="287"/>
      <c r="AQ278" s="267"/>
      <c r="AR278" s="381"/>
      <c r="AS278" s="287"/>
      <c r="AT278" s="267"/>
      <c r="AU278" s="381"/>
      <c r="AV278" s="287"/>
      <c r="AW278" s="265"/>
      <c r="AX278" s="286"/>
      <c r="AZ278" s="381"/>
      <c r="BA278" s="287"/>
      <c r="BB278" s="267"/>
      <c r="BC278" s="381"/>
      <c r="BD278" s="287"/>
      <c r="BE278" s="267"/>
      <c r="BF278" s="381"/>
      <c r="BG278" s="287"/>
      <c r="BH278" s="267"/>
      <c r="BI278" s="381"/>
      <c r="BJ278" s="287"/>
      <c r="BK278" s="265"/>
      <c r="BL278" s="286"/>
      <c r="BN278" s="381"/>
      <c r="BO278" s="287"/>
      <c r="BP278" s="267"/>
      <c r="BQ278" s="381"/>
      <c r="BR278" s="287"/>
      <c r="BS278" s="267"/>
      <c r="BT278" s="381"/>
      <c r="BU278" s="287"/>
      <c r="BV278" s="267"/>
      <c r="BW278" s="381"/>
      <c r="BX278" s="287"/>
      <c r="BY278" s="265"/>
      <c r="BZ278" s="286"/>
      <c r="CB278" s="381"/>
      <c r="CC278" s="287"/>
      <c r="CD278" s="267"/>
      <c r="CE278" s="381"/>
      <c r="CF278" s="287"/>
      <c r="CG278" s="267"/>
      <c r="CH278" s="381"/>
      <c r="CI278" s="287"/>
      <c r="CJ278" s="267"/>
      <c r="CK278" s="381"/>
      <c r="CL278" s="287"/>
      <c r="CM278" s="265"/>
      <c r="CN278" s="286"/>
    </row>
    <row r="279" spans="2:92" ht="100.5" thickBot="1" x14ac:dyDescent="0.25">
      <c r="B279" s="970"/>
      <c r="C279" s="976"/>
      <c r="D279" s="949"/>
      <c r="E279" s="946"/>
      <c r="F279" s="369" t="s">
        <v>338</v>
      </c>
      <c r="G279" s="385" t="str">
        <f>+'Plan de Accion apoyo transversa'!X139</f>
        <v>Reuniones de autocontrol y seguimiento a  los procesos que evidencien monitoreo a los riesgos, indicadores, planes de mejoramiento, manuales y documentos asociados</v>
      </c>
      <c r="H279" s="280" t="str">
        <f>+'Plan de Accion apoyo transversa'!AK139</f>
        <v># reuniones realizadas</v>
      </c>
      <c r="J279" s="283">
        <f>+'Plan de Accion apoyo transversa'!AT139</f>
        <v>0</v>
      </c>
      <c r="K279" s="615" t="str">
        <f>+'Plan de Accion apoyo transversa'!CE139</f>
        <v>No Prog ni Ejec</v>
      </c>
      <c r="L279" s="615" t="s">
        <v>206</v>
      </c>
      <c r="M279" s="615">
        <f>+'Plan de Accion apoyo transversa'!AX139</f>
        <v>0</v>
      </c>
      <c r="N279" s="615">
        <f t="shared" si="113"/>
        <v>0</v>
      </c>
      <c r="O279" s="617" t="s">
        <v>206</v>
      </c>
      <c r="P279" s="277"/>
      <c r="Q279" s="283">
        <f>+'Plan de Accion apoyo transversa'!BD139</f>
        <v>0</v>
      </c>
      <c r="R279" s="315">
        <f>+'Plan de Accion apoyo transversa'!CG139</f>
        <v>0</v>
      </c>
      <c r="S279" s="276">
        <f>IF(R279&gt;100%,100%,R279)</f>
        <v>0</v>
      </c>
      <c r="T279" s="373">
        <f>+'Plan de Accion apoyo transversa'!BH139</f>
        <v>0</v>
      </c>
      <c r="U279" s="373">
        <f t="shared" si="131"/>
        <v>0</v>
      </c>
      <c r="V279" s="275">
        <f>+U279</f>
        <v>0</v>
      </c>
      <c r="W279" s="278"/>
      <c r="X279" s="283">
        <f>+'Plan de Accion apoyo transversa'!BN139</f>
        <v>0</v>
      </c>
      <c r="Y279" s="315">
        <f>+'Plan de Accion apoyo transversa'!CI139</f>
        <v>0</v>
      </c>
      <c r="Z279" s="276">
        <f>IF(Y279&gt;100%,100%,Y279)</f>
        <v>0</v>
      </c>
      <c r="AA279" s="282">
        <f>+'Plan de Accion apoyo transversa'!BR139</f>
        <v>0</v>
      </c>
      <c r="AB279" s="282">
        <f t="shared" si="135"/>
        <v>0</v>
      </c>
      <c r="AC279" s="281">
        <f t="shared" ref="AC279:AC284" si="136">+AB279</f>
        <v>0</v>
      </c>
      <c r="AD279" s="277"/>
      <c r="AE279" s="283">
        <f>+'Plan de Accion apoyo transversa'!BX139</f>
        <v>0</v>
      </c>
      <c r="AF279" s="315">
        <f>+'Plan de Accion apoyo transversa'!CK139</f>
        <v>0</v>
      </c>
      <c r="AG279" s="276">
        <f t="shared" si="134"/>
        <v>0</v>
      </c>
      <c r="AH279" s="315">
        <f>+'Plan de Accion apoyo transversa'!CB139</f>
        <v>0</v>
      </c>
      <c r="AI279" s="275">
        <f t="shared" si="133"/>
        <v>0</v>
      </c>
      <c r="AJ279" s="286"/>
      <c r="AL279" s="381"/>
      <c r="AM279" s="287"/>
      <c r="AN279" s="267"/>
      <c r="AO279" s="381"/>
      <c r="AP279" s="287"/>
      <c r="AQ279" s="267"/>
      <c r="AR279" s="381"/>
      <c r="AS279" s="287"/>
      <c r="AT279" s="267"/>
      <c r="AU279" s="381"/>
      <c r="AV279" s="287"/>
      <c r="AW279" s="265"/>
      <c r="AX279" s="286"/>
      <c r="AZ279" s="381"/>
      <c r="BA279" s="287"/>
      <c r="BB279" s="267"/>
      <c r="BC279" s="381"/>
      <c r="BD279" s="287"/>
      <c r="BE279" s="267"/>
      <c r="BF279" s="381"/>
      <c r="BG279" s="287"/>
      <c r="BH279" s="267"/>
      <c r="BI279" s="381"/>
      <c r="BJ279" s="287"/>
      <c r="BK279" s="265"/>
      <c r="BL279" s="286"/>
      <c r="BN279" s="381"/>
      <c r="BO279" s="287"/>
      <c r="BP279" s="267"/>
      <c r="BQ279" s="381"/>
      <c r="BR279" s="287"/>
      <c r="BS279" s="267"/>
      <c r="BT279" s="381"/>
      <c r="BU279" s="287"/>
      <c r="BV279" s="267"/>
      <c r="BW279" s="381"/>
      <c r="BX279" s="287"/>
      <c r="BY279" s="265"/>
      <c r="BZ279" s="286"/>
      <c r="CB279" s="381"/>
      <c r="CC279" s="287"/>
      <c r="CD279" s="267"/>
      <c r="CE279" s="381"/>
      <c r="CF279" s="287"/>
      <c r="CG279" s="267"/>
      <c r="CH279" s="381"/>
      <c r="CI279" s="287"/>
      <c r="CJ279" s="267"/>
      <c r="CK279" s="381"/>
      <c r="CL279" s="287"/>
      <c r="CM279" s="265"/>
      <c r="CN279" s="286"/>
    </row>
    <row r="280" spans="2:92" ht="129" customHeight="1" thickBot="1" x14ac:dyDescent="0.25">
      <c r="B280" s="970"/>
      <c r="C280" s="976"/>
      <c r="D280" s="949"/>
      <c r="E280" s="946"/>
      <c r="F280" s="951" t="s">
        <v>1299</v>
      </c>
      <c r="G280" s="385" t="str">
        <f>+'Plan de Accion apoyo transversa'!X141</f>
        <v>Política aprobada y publicada en la página Web</v>
      </c>
      <c r="H280" s="280" t="str">
        <f>+'Plan de Accion apoyo transversa'!AK141</f>
        <v># Políticas aprobadas y publicadas en la página Web</v>
      </c>
      <c r="J280" s="283">
        <f>+'Plan de Accion apoyo transversa'!AT141</f>
        <v>0</v>
      </c>
      <c r="K280" s="615" t="str">
        <f>+'Plan de Accion apoyo transversa'!CE141</f>
        <v>No Prog ni Ejec</v>
      </c>
      <c r="L280" s="615" t="s">
        <v>206</v>
      </c>
      <c r="M280" s="615">
        <f>+'Plan de Accion apoyo transversa'!AX141</f>
        <v>0</v>
      </c>
      <c r="N280" s="615">
        <f t="shared" si="113"/>
        <v>0</v>
      </c>
      <c r="O280" s="617" t="s">
        <v>206</v>
      </c>
      <c r="P280" s="277"/>
      <c r="Q280" s="283">
        <f>+'Plan de Accion apoyo transversa'!BD141</f>
        <v>0</v>
      </c>
      <c r="R280" s="315">
        <f>+'Plan de Accion apoyo transversa'!CG141</f>
        <v>0</v>
      </c>
      <c r="S280" s="276">
        <f>IF(R280&gt;100%,100%,R280)</f>
        <v>0</v>
      </c>
      <c r="T280" s="373">
        <f>+'Plan de Accion apoyo transversa'!BH141</f>
        <v>0</v>
      </c>
      <c r="U280" s="373">
        <f t="shared" si="131"/>
        <v>0</v>
      </c>
      <c r="V280" s="275">
        <f>+U280</f>
        <v>0</v>
      </c>
      <c r="W280" s="278"/>
      <c r="X280" s="283">
        <f>+'Plan de Accion apoyo transversa'!BN141</f>
        <v>0</v>
      </c>
      <c r="Y280" s="315" t="str">
        <f>+'Plan de Accion apoyo transversa'!CI141</f>
        <v>No Prog ni Ejec</v>
      </c>
      <c r="Z280" s="276" t="s">
        <v>206</v>
      </c>
      <c r="AA280" s="282">
        <f>+'Plan de Accion apoyo transversa'!BR141</f>
        <v>0</v>
      </c>
      <c r="AB280" s="282">
        <f t="shared" si="135"/>
        <v>0</v>
      </c>
      <c r="AC280" s="281">
        <f t="shared" si="136"/>
        <v>0</v>
      </c>
      <c r="AD280" s="277"/>
      <c r="AE280" s="283">
        <f>+'Plan de Accion apoyo transversa'!BX141</f>
        <v>0</v>
      </c>
      <c r="AF280" s="315" t="str">
        <f>+'Plan de Accion apoyo transversa'!CK141</f>
        <v>No Prog ni Ejec</v>
      </c>
      <c r="AG280" s="276" t="s">
        <v>206</v>
      </c>
      <c r="AH280" s="315">
        <f>+'Plan de Accion apoyo transversa'!CB141</f>
        <v>0</v>
      </c>
      <c r="AI280" s="275">
        <f t="shared" si="133"/>
        <v>0</v>
      </c>
      <c r="AJ280" s="286"/>
      <c r="AL280" s="381"/>
      <c r="AM280" s="287"/>
      <c r="AN280" s="267"/>
      <c r="AO280" s="381"/>
      <c r="AP280" s="287"/>
      <c r="AQ280" s="267"/>
      <c r="AR280" s="381"/>
      <c r="AS280" s="287"/>
      <c r="AT280" s="267"/>
      <c r="AU280" s="381"/>
      <c r="AV280" s="287"/>
      <c r="AW280" s="265"/>
      <c r="AX280" s="286"/>
      <c r="AZ280" s="381"/>
      <c r="BA280" s="287"/>
      <c r="BB280" s="267"/>
      <c r="BC280" s="381"/>
      <c r="BD280" s="287"/>
      <c r="BE280" s="267"/>
      <c r="BF280" s="381"/>
      <c r="BG280" s="287"/>
      <c r="BH280" s="267"/>
      <c r="BI280" s="381"/>
      <c r="BJ280" s="287"/>
      <c r="BK280" s="265"/>
      <c r="BL280" s="286"/>
      <c r="BN280" s="381"/>
      <c r="BO280" s="287"/>
      <c r="BP280" s="267"/>
      <c r="BQ280" s="381"/>
      <c r="BR280" s="287"/>
      <c r="BS280" s="267"/>
      <c r="BT280" s="381"/>
      <c r="BU280" s="287"/>
      <c r="BV280" s="267"/>
      <c r="BW280" s="381"/>
      <c r="BX280" s="287"/>
      <c r="BY280" s="265"/>
      <c r="BZ280" s="286"/>
      <c r="CB280" s="381"/>
      <c r="CC280" s="287"/>
      <c r="CD280" s="267"/>
      <c r="CE280" s="381"/>
      <c r="CF280" s="287"/>
      <c r="CG280" s="267"/>
      <c r="CH280" s="381"/>
      <c r="CI280" s="287"/>
      <c r="CJ280" s="267"/>
      <c r="CK280" s="381"/>
      <c r="CL280" s="287"/>
      <c r="CM280" s="265"/>
      <c r="CN280" s="286"/>
    </row>
    <row r="281" spans="2:92" ht="57.75" thickBot="1" x14ac:dyDescent="0.25">
      <c r="B281" s="970"/>
      <c r="C281" s="976"/>
      <c r="D281" s="950"/>
      <c r="E281" s="947"/>
      <c r="F281" s="951"/>
      <c r="G281" s="385" t="str">
        <f>+'Plan de Accion apoyo transversa'!X142</f>
        <v>Mapa de Riesgos Institucional actualizado con los riesgos de seguridad digital</v>
      </c>
      <c r="H281" s="280" t="str">
        <f>+'Plan de Accion apoyo transversa'!AK142</f>
        <v># Mapas de riesgos actualizados con los riesgos de seguridad digital</v>
      </c>
      <c r="J281" s="283">
        <f>+'Plan de Accion apoyo transversa'!AT142</f>
        <v>0</v>
      </c>
      <c r="K281" s="615" t="str">
        <f>+'Plan de Accion apoyo transversa'!CE142</f>
        <v>No Prog ni Ejec</v>
      </c>
      <c r="L281" s="615" t="s">
        <v>206</v>
      </c>
      <c r="M281" s="615">
        <f>+'Plan de Accion apoyo transversa'!AX142</f>
        <v>0</v>
      </c>
      <c r="N281" s="615">
        <f t="shared" si="113"/>
        <v>0</v>
      </c>
      <c r="O281" s="617" t="s">
        <v>206</v>
      </c>
      <c r="P281" s="277"/>
      <c r="Q281" s="279">
        <f>+'Plan de Accion apoyo transversa'!BD142</f>
        <v>0</v>
      </c>
      <c r="R281" s="315" t="str">
        <f>+'Plan de Accion apoyo transversa'!CG142</f>
        <v>No Prog ni Ejec</v>
      </c>
      <c r="S281" s="276" t="s">
        <v>206</v>
      </c>
      <c r="T281" s="373">
        <f>+'Plan de Accion apoyo transversa'!BH142</f>
        <v>0</v>
      </c>
      <c r="U281" s="373">
        <f t="shared" si="131"/>
        <v>0</v>
      </c>
      <c r="V281" s="275" t="s">
        <v>206</v>
      </c>
      <c r="W281" s="278"/>
      <c r="X281" s="279">
        <f>+'Plan de Accion apoyo transversa'!BN142</f>
        <v>0</v>
      </c>
      <c r="Y281" s="315" t="str">
        <f>+'Plan de Accion apoyo transversa'!CI142</f>
        <v>No Prog ni Ejec</v>
      </c>
      <c r="Z281" s="276" t="s">
        <v>206</v>
      </c>
      <c r="AA281" s="282">
        <f>+'Plan de Accion apoyo transversa'!BR142</f>
        <v>0</v>
      </c>
      <c r="AB281" s="282">
        <f t="shared" si="135"/>
        <v>0</v>
      </c>
      <c r="AC281" s="281">
        <f t="shared" si="136"/>
        <v>0</v>
      </c>
      <c r="AD281" s="277"/>
      <c r="AE281" s="279">
        <f>+'Plan de Accion apoyo transversa'!BX142</f>
        <v>0</v>
      </c>
      <c r="AF281" s="315">
        <f>+'Plan de Accion apoyo transversa'!CK142</f>
        <v>0</v>
      </c>
      <c r="AG281" s="276">
        <f>IF(AF281&gt;100%,100%,AF281)</f>
        <v>0</v>
      </c>
      <c r="AH281" s="315">
        <f>+'Plan de Accion apoyo transversa'!CB142</f>
        <v>0</v>
      </c>
      <c r="AI281" s="275">
        <f t="shared" si="133"/>
        <v>0</v>
      </c>
      <c r="AJ281" s="286"/>
      <c r="AL281" s="381"/>
      <c r="AM281" s="287"/>
      <c r="AN281" s="267"/>
      <c r="AO281" s="381"/>
      <c r="AP281" s="287"/>
      <c r="AQ281" s="267"/>
      <c r="AR281" s="381"/>
      <c r="AS281" s="287"/>
      <c r="AT281" s="267"/>
      <c r="AU281" s="381"/>
      <c r="AV281" s="287"/>
      <c r="AW281" s="265"/>
      <c r="AX281" s="286"/>
      <c r="AZ281" s="381"/>
      <c r="BA281" s="287"/>
      <c r="BB281" s="267"/>
      <c r="BC281" s="381"/>
      <c r="BD281" s="287"/>
      <c r="BE281" s="267"/>
      <c r="BF281" s="381"/>
      <c r="BG281" s="287"/>
      <c r="BH281" s="267"/>
      <c r="BI281" s="381"/>
      <c r="BJ281" s="287"/>
      <c r="BK281" s="265"/>
      <c r="BL281" s="286"/>
      <c r="BN281" s="381"/>
      <c r="BO281" s="287"/>
      <c r="BP281" s="267"/>
      <c r="BQ281" s="381"/>
      <c r="BR281" s="287"/>
      <c r="BS281" s="267"/>
      <c r="BT281" s="381"/>
      <c r="BU281" s="287"/>
      <c r="BV281" s="267"/>
      <c r="BW281" s="381"/>
      <c r="BX281" s="287"/>
      <c r="BY281" s="265"/>
      <c r="BZ281" s="286"/>
      <c r="CB281" s="381"/>
      <c r="CC281" s="287"/>
      <c r="CD281" s="267"/>
      <c r="CE281" s="381"/>
      <c r="CF281" s="287"/>
      <c r="CG281" s="267"/>
      <c r="CH281" s="381"/>
      <c r="CI281" s="287"/>
      <c r="CJ281" s="267"/>
      <c r="CK281" s="381"/>
      <c r="CL281" s="287"/>
      <c r="CM281" s="265"/>
      <c r="CN281" s="286"/>
    </row>
    <row r="282" spans="2:92" ht="72" thickBot="1" x14ac:dyDescent="0.25">
      <c r="B282" s="970"/>
      <c r="C282" s="976"/>
      <c r="D282" s="948" t="s">
        <v>206</v>
      </c>
      <c r="E282" s="945" t="s">
        <v>1302</v>
      </c>
      <c r="F282" s="948" t="s">
        <v>338</v>
      </c>
      <c r="G282" s="385" t="str">
        <f>+'Plan de Accion apoyo transversa'!X150</f>
        <v>Acto Administrativo que formaliza para ADRES la actualización de la Política de Administración de Riesgos</v>
      </c>
      <c r="H282" s="280" t="str">
        <f>+'Plan de Accion apoyo transversa'!AK150</f>
        <v># Actos administrativos de formalización de la política</v>
      </c>
      <c r="J282" s="283">
        <f>+'Plan de Accion apoyo transversa'!AT150</f>
        <v>0</v>
      </c>
      <c r="K282" s="615" t="str">
        <f>+'Plan de Accion apoyo transversa'!CE150</f>
        <v>No Prog ni Ejec</v>
      </c>
      <c r="L282" s="615" t="s">
        <v>206</v>
      </c>
      <c r="M282" s="615">
        <f>+'Plan de Accion apoyo transversa'!AX150</f>
        <v>0</v>
      </c>
      <c r="N282" s="615">
        <f t="shared" si="113"/>
        <v>0</v>
      </c>
      <c r="O282" s="617" t="s">
        <v>206</v>
      </c>
      <c r="P282" s="277"/>
      <c r="Q282" s="283">
        <f>+'Plan de Accion apoyo transversa'!BD150</f>
        <v>0</v>
      </c>
      <c r="R282" s="315">
        <f>+'Plan de Accion apoyo transversa'!CG150</f>
        <v>0</v>
      </c>
      <c r="S282" s="276">
        <f t="shared" ref="S282:S288" si="137">IF(R282&gt;100%,100%,R282)</f>
        <v>0</v>
      </c>
      <c r="T282" s="373">
        <f>+'Plan de Accion apoyo transversa'!BH150</f>
        <v>0</v>
      </c>
      <c r="U282" s="373">
        <f t="shared" si="131"/>
        <v>0</v>
      </c>
      <c r="V282" s="275">
        <f t="shared" ref="V282:V287" si="138">+U282</f>
        <v>0</v>
      </c>
      <c r="W282" s="278"/>
      <c r="X282" s="283">
        <f>+'Plan de Accion apoyo transversa'!BN150</f>
        <v>0</v>
      </c>
      <c r="Y282" s="315" t="str">
        <f>+'Plan de Accion apoyo transversa'!CI150</f>
        <v>No Prog ni Ejec</v>
      </c>
      <c r="Z282" s="276" t="s">
        <v>206</v>
      </c>
      <c r="AA282" s="282">
        <f>+'Plan de Accion apoyo transversa'!BR150</f>
        <v>0</v>
      </c>
      <c r="AB282" s="282">
        <f t="shared" si="135"/>
        <v>0</v>
      </c>
      <c r="AC282" s="281">
        <f t="shared" si="136"/>
        <v>0</v>
      </c>
      <c r="AD282" s="277"/>
      <c r="AE282" s="283">
        <f>+'Plan de Accion apoyo transversa'!BX150</f>
        <v>0</v>
      </c>
      <c r="AF282" s="315" t="str">
        <f>+'Plan de Accion apoyo transversa'!CK150</f>
        <v>No Prog ni Ejec</v>
      </c>
      <c r="AG282" s="276" t="s">
        <v>206</v>
      </c>
      <c r="AH282" s="315">
        <f>+'Plan de Accion apoyo transversa'!CB150</f>
        <v>0</v>
      </c>
      <c r="AI282" s="275">
        <f t="shared" si="133"/>
        <v>0</v>
      </c>
      <c r="AJ282" s="286"/>
      <c r="AL282" s="381"/>
      <c r="AM282" s="287"/>
      <c r="AN282" s="267"/>
      <c r="AO282" s="381"/>
      <c r="AP282" s="287"/>
      <c r="AQ282" s="267"/>
      <c r="AR282" s="381"/>
      <c r="AS282" s="287"/>
      <c r="AT282" s="267"/>
      <c r="AU282" s="381"/>
      <c r="AV282" s="287"/>
      <c r="AW282" s="265"/>
      <c r="AX282" s="286"/>
      <c r="AZ282" s="381"/>
      <c r="BA282" s="287"/>
      <c r="BB282" s="267"/>
      <c r="BC282" s="381"/>
      <c r="BD282" s="287"/>
      <c r="BE282" s="267"/>
      <c r="BF282" s="381"/>
      <c r="BG282" s="287"/>
      <c r="BH282" s="267"/>
      <c r="BI282" s="381"/>
      <c r="BJ282" s="287"/>
      <c r="BK282" s="265"/>
      <c r="BL282" s="286"/>
      <c r="BN282" s="381"/>
      <c r="BO282" s="287"/>
      <c r="BP282" s="267"/>
      <c r="BQ282" s="381"/>
      <c r="BR282" s="287"/>
      <c r="BS282" s="267"/>
      <c r="BT282" s="381"/>
      <c r="BU282" s="287"/>
      <c r="BV282" s="267"/>
      <c r="BW282" s="381"/>
      <c r="BX282" s="287"/>
      <c r="BY282" s="265"/>
      <c r="BZ282" s="286"/>
      <c r="CB282" s="381"/>
      <c r="CC282" s="287"/>
      <c r="CD282" s="267"/>
      <c r="CE282" s="381"/>
      <c r="CF282" s="287"/>
      <c r="CG282" s="267"/>
      <c r="CH282" s="381"/>
      <c r="CI282" s="287"/>
      <c r="CJ282" s="267"/>
      <c r="CK282" s="381"/>
      <c r="CL282" s="287"/>
      <c r="CM282" s="265"/>
      <c r="CN282" s="286"/>
    </row>
    <row r="283" spans="2:92" ht="43.5" thickBot="1" x14ac:dyDescent="0.25">
      <c r="B283" s="970"/>
      <c r="C283" s="976"/>
      <c r="D283" s="949"/>
      <c r="E283" s="946"/>
      <c r="F283" s="949"/>
      <c r="G283" s="945" t="str">
        <f>+'Plan de Accion apoyo transversa'!X153</f>
        <v>Mapa de riesgos actalizado, publicado y socializado</v>
      </c>
      <c r="H283" s="280" t="str">
        <f>+'Plan de Accion apoyo transversa'!AK153</f>
        <v># Riesgos actualizados en el mapa en el periodo / # Total de Riesgos en el periodo</v>
      </c>
      <c r="J283" s="279">
        <f>+'Plan de Accion apoyo transversa'!AT153</f>
        <v>9.7826086956521743E-2</v>
      </c>
      <c r="K283" s="615">
        <f>+'Plan de Accion apoyo transversa'!CE153</f>
        <v>0.39130434782608697</v>
      </c>
      <c r="L283" s="615">
        <f>IF(K283&gt;100%,100%,K283)</f>
        <v>0.39130434782608697</v>
      </c>
      <c r="M283" s="615">
        <f>+'Plan de Accion apoyo transversa'!AX153</f>
        <v>9.7826086956521743E-2</v>
      </c>
      <c r="N283" s="615">
        <f t="shared" si="113"/>
        <v>9.7826086956521743E-2</v>
      </c>
      <c r="O283" s="617">
        <f>+N283</f>
        <v>9.7826086956521743E-2</v>
      </c>
      <c r="P283" s="277"/>
      <c r="Q283" s="279">
        <f>+'Plan de Accion apoyo transversa'!BD153</f>
        <v>0</v>
      </c>
      <c r="R283" s="315">
        <f>+'Plan de Accion apoyo transversa'!CG153</f>
        <v>0</v>
      </c>
      <c r="S283" s="276">
        <f t="shared" si="137"/>
        <v>0</v>
      </c>
      <c r="T283" s="373">
        <f>+'Plan de Accion apoyo transversa'!BH153</f>
        <v>9.7826086956521743E-2</v>
      </c>
      <c r="U283" s="373">
        <f t="shared" si="131"/>
        <v>9.7826086956521743E-2</v>
      </c>
      <c r="V283" s="275">
        <f t="shared" si="138"/>
        <v>9.7826086956521743E-2</v>
      </c>
      <c r="W283" s="278"/>
      <c r="X283" s="279">
        <f>+'Plan de Accion apoyo transversa'!BN153</f>
        <v>0</v>
      </c>
      <c r="Y283" s="315">
        <f>+'Plan de Accion apoyo transversa'!CI153</f>
        <v>0</v>
      </c>
      <c r="Z283" s="276">
        <f t="shared" ref="Z283:Z288" si="139">IF(Y283&gt;100%,100%,Y283)</f>
        <v>0</v>
      </c>
      <c r="AA283" s="282">
        <f>+'Plan de Accion apoyo transversa'!BR153</f>
        <v>9.7826086956521743E-2</v>
      </c>
      <c r="AB283" s="282">
        <f t="shared" si="135"/>
        <v>9.7826086956521743E-2</v>
      </c>
      <c r="AC283" s="281">
        <f t="shared" si="136"/>
        <v>9.7826086956521743E-2</v>
      </c>
      <c r="AD283" s="277"/>
      <c r="AE283" s="279">
        <f>+'Plan de Accion apoyo transversa'!BX153</f>
        <v>0</v>
      </c>
      <c r="AF283" s="315">
        <f>+'Plan de Accion apoyo transversa'!CK153</f>
        <v>0</v>
      </c>
      <c r="AG283" s="276">
        <f t="shared" ref="AG283:AG288" si="140">IF(AF283&gt;100%,100%,AF283)</f>
        <v>0</v>
      </c>
      <c r="AH283" s="315">
        <f>+'Plan de Accion apoyo transversa'!CB153</f>
        <v>9.7826086956521743E-2</v>
      </c>
      <c r="AI283" s="275">
        <f t="shared" si="133"/>
        <v>9.7826086956521743E-2</v>
      </c>
      <c r="AJ283" s="286"/>
      <c r="AL283" s="381"/>
      <c r="AM283" s="287"/>
      <c r="AN283" s="267"/>
      <c r="AO283" s="381"/>
      <c r="AP283" s="287"/>
      <c r="AQ283" s="267"/>
      <c r="AR283" s="381"/>
      <c r="AS283" s="287"/>
      <c r="AT283" s="267"/>
      <c r="AU283" s="381"/>
      <c r="AV283" s="287"/>
      <c r="AW283" s="265"/>
      <c r="AX283" s="286"/>
      <c r="AZ283" s="381"/>
      <c r="BA283" s="287"/>
      <c r="BB283" s="267"/>
      <c r="BC283" s="381"/>
      <c r="BD283" s="287"/>
      <c r="BE283" s="267"/>
      <c r="BF283" s="381"/>
      <c r="BG283" s="287"/>
      <c r="BH283" s="267"/>
      <c r="BI283" s="381"/>
      <c r="BJ283" s="287"/>
      <c r="BK283" s="265"/>
      <c r="BL283" s="286"/>
      <c r="BN283" s="381"/>
      <c r="BO283" s="287"/>
      <c r="BP283" s="267"/>
      <c r="BQ283" s="381"/>
      <c r="BR283" s="287"/>
      <c r="BS283" s="267"/>
      <c r="BT283" s="381"/>
      <c r="BU283" s="287"/>
      <c r="BV283" s="267"/>
      <c r="BW283" s="381"/>
      <c r="BX283" s="287"/>
      <c r="BY283" s="265"/>
      <c r="BZ283" s="286"/>
      <c r="CB283" s="381"/>
      <c r="CC283" s="287"/>
      <c r="CD283" s="267"/>
      <c r="CE283" s="381"/>
      <c r="CF283" s="287"/>
      <c r="CG283" s="267"/>
      <c r="CH283" s="381"/>
      <c r="CI283" s="287"/>
      <c r="CJ283" s="267"/>
      <c r="CK283" s="381"/>
      <c r="CL283" s="287"/>
      <c r="CM283" s="265"/>
      <c r="CN283" s="286"/>
    </row>
    <row r="284" spans="2:92" ht="72" thickBot="1" x14ac:dyDescent="0.25">
      <c r="B284" s="970"/>
      <c r="C284" s="976"/>
      <c r="D284" s="949"/>
      <c r="E284" s="946"/>
      <c r="F284" s="950"/>
      <c r="G284" s="947"/>
      <c r="H284" s="280" t="str">
        <f>+'Plan de Accion apoyo transversa'!AK154</f>
        <v># Mapas de riesgos publicados en página web en el periodo / # Mapas de riesgos actualizados en el periodo</v>
      </c>
      <c r="J284" s="279" t="e">
        <f>+'Plan de Accion apoyo transversa'!AT154</f>
        <v>#DIV/0!</v>
      </c>
      <c r="K284" s="615" t="e">
        <f>+'Plan de Accion apoyo transversa'!CE154</f>
        <v>#DIV/0!</v>
      </c>
      <c r="L284" s="615" t="e">
        <f>IF(K284&gt;100%,100%,K284)</f>
        <v>#DIV/0!</v>
      </c>
      <c r="M284" s="615" t="e">
        <f>+'Plan de Accion apoyo transversa'!AX154</f>
        <v>#DIV/0!</v>
      </c>
      <c r="N284" s="615" t="e">
        <f t="shared" si="113"/>
        <v>#DIV/0!</v>
      </c>
      <c r="O284" s="617" t="e">
        <f>+N284</f>
        <v>#DIV/0!</v>
      </c>
      <c r="P284" s="277"/>
      <c r="Q284" s="279">
        <f>+'Plan de Accion apoyo transversa'!BD154</f>
        <v>0</v>
      </c>
      <c r="R284" s="315">
        <f>+'Plan de Accion apoyo transversa'!CG154</f>
        <v>0</v>
      </c>
      <c r="S284" s="276">
        <f t="shared" si="137"/>
        <v>0</v>
      </c>
      <c r="T284" s="373" t="e">
        <f>+'Plan de Accion apoyo transversa'!BH154</f>
        <v>#DIV/0!</v>
      </c>
      <c r="U284" s="373" t="e">
        <f t="shared" si="131"/>
        <v>#DIV/0!</v>
      </c>
      <c r="V284" s="275" t="e">
        <f t="shared" si="138"/>
        <v>#DIV/0!</v>
      </c>
      <c r="W284" s="278"/>
      <c r="X284" s="279">
        <f>+'Plan de Accion apoyo transversa'!BN154</f>
        <v>0</v>
      </c>
      <c r="Y284" s="315">
        <f>+'Plan de Accion apoyo transversa'!CI154</f>
        <v>0</v>
      </c>
      <c r="Z284" s="276">
        <f t="shared" si="139"/>
        <v>0</v>
      </c>
      <c r="AA284" s="282" t="e">
        <f>+'Plan de Accion apoyo transversa'!BR154</f>
        <v>#DIV/0!</v>
      </c>
      <c r="AB284" s="282" t="e">
        <f t="shared" si="135"/>
        <v>#DIV/0!</v>
      </c>
      <c r="AC284" s="281" t="e">
        <f t="shared" si="136"/>
        <v>#DIV/0!</v>
      </c>
      <c r="AD284" s="277"/>
      <c r="AE284" s="279">
        <f>+'Plan de Accion apoyo transversa'!BX154</f>
        <v>0</v>
      </c>
      <c r="AF284" s="315">
        <f>+'Plan de Accion apoyo transversa'!CK154</f>
        <v>0</v>
      </c>
      <c r="AG284" s="276">
        <f t="shared" si="140"/>
        <v>0</v>
      </c>
      <c r="AH284" s="315" t="e">
        <f>+'Plan de Accion apoyo transversa'!CB154</f>
        <v>#DIV/0!</v>
      </c>
      <c r="AI284" s="275" t="e">
        <f t="shared" si="133"/>
        <v>#DIV/0!</v>
      </c>
      <c r="AJ284" s="286"/>
      <c r="AL284" s="381"/>
      <c r="AM284" s="287"/>
      <c r="AN284" s="267"/>
      <c r="AO284" s="381"/>
      <c r="AP284" s="287"/>
      <c r="AQ284" s="267"/>
      <c r="AR284" s="381"/>
      <c r="AS284" s="287"/>
      <c r="AT284" s="267"/>
      <c r="AU284" s="381"/>
      <c r="AV284" s="287"/>
      <c r="AW284" s="265"/>
      <c r="AX284" s="286"/>
      <c r="AZ284" s="381"/>
      <c r="BA284" s="287"/>
      <c r="BB284" s="267"/>
      <c r="BC284" s="381"/>
      <c r="BD284" s="287"/>
      <c r="BE284" s="267"/>
      <c r="BF284" s="381"/>
      <c r="BG284" s="287"/>
      <c r="BH284" s="267"/>
      <c r="BI284" s="381"/>
      <c r="BJ284" s="287"/>
      <c r="BK284" s="265"/>
      <c r="BL284" s="286"/>
      <c r="BN284" s="381"/>
      <c r="BO284" s="287"/>
      <c r="BP284" s="267"/>
      <c r="BQ284" s="381"/>
      <c r="BR284" s="287"/>
      <c r="BS284" s="267"/>
      <c r="BT284" s="381"/>
      <c r="BU284" s="287"/>
      <c r="BV284" s="267"/>
      <c r="BW284" s="381"/>
      <c r="BX284" s="287"/>
      <c r="BY284" s="265"/>
      <c r="BZ284" s="286"/>
      <c r="CB284" s="381"/>
      <c r="CC284" s="287"/>
      <c r="CD284" s="267"/>
      <c r="CE284" s="381"/>
      <c r="CF284" s="287"/>
      <c r="CG284" s="267"/>
      <c r="CH284" s="381"/>
      <c r="CI284" s="287"/>
      <c r="CJ284" s="267"/>
      <c r="CK284" s="381"/>
      <c r="CL284" s="287"/>
      <c r="CM284" s="265"/>
      <c r="CN284" s="286"/>
    </row>
    <row r="285" spans="2:92" ht="43.5" thickBot="1" x14ac:dyDescent="0.25">
      <c r="B285" s="970"/>
      <c r="C285" s="976"/>
      <c r="D285" s="950"/>
      <c r="E285" s="947"/>
      <c r="F285" s="368" t="s">
        <v>332</v>
      </c>
      <c r="G285" s="385" t="str">
        <f>+'Plan de Accion apoyo transversa'!X173</f>
        <v>Matriz de avance en la implementación del MIPG</v>
      </c>
      <c r="H285" s="280" t="str">
        <f>+'Plan de Accion apoyo transversa'!AK173</f>
        <v># Matrices de avance en la implementación del MIPG elaboradas</v>
      </c>
      <c r="J285" s="283">
        <f>+'Plan de Accion apoyo transversa'!AT173</f>
        <v>0.25</v>
      </c>
      <c r="K285" s="615">
        <f>+'Plan de Accion apoyo transversa'!CE173</f>
        <v>1</v>
      </c>
      <c r="L285" s="615">
        <f>IF(K285&gt;100%,100%,K285)</f>
        <v>1</v>
      </c>
      <c r="M285" s="615">
        <f>+'Plan de Accion apoyo transversa'!AX173</f>
        <v>0.25</v>
      </c>
      <c r="N285" s="615">
        <f t="shared" si="113"/>
        <v>0.25</v>
      </c>
      <c r="O285" s="617">
        <f>+N285</f>
        <v>0.25</v>
      </c>
      <c r="P285" s="277"/>
      <c r="Q285" s="283">
        <f>+'Plan de Accion apoyo transversa'!BD173</f>
        <v>0</v>
      </c>
      <c r="R285" s="315">
        <f>+'Plan de Accion apoyo transversa'!CG173</f>
        <v>0</v>
      </c>
      <c r="S285" s="276">
        <f t="shared" si="137"/>
        <v>0</v>
      </c>
      <c r="T285" s="373">
        <f>+'Plan de Accion apoyo transversa'!BH173</f>
        <v>0.25</v>
      </c>
      <c r="U285" s="373">
        <f t="shared" si="131"/>
        <v>0.25</v>
      </c>
      <c r="V285" s="275">
        <f t="shared" si="138"/>
        <v>0.25</v>
      </c>
      <c r="W285" s="278"/>
      <c r="X285" s="283">
        <f>+'Plan de Accion apoyo transversa'!BN173</f>
        <v>0</v>
      </c>
      <c r="Y285" s="315">
        <f>+'Plan de Accion apoyo transversa'!CI173</f>
        <v>0</v>
      </c>
      <c r="Z285" s="276">
        <f t="shared" si="139"/>
        <v>0</v>
      </c>
      <c r="AA285" s="282">
        <f>+'Plan de Accion apoyo transversa'!BR173</f>
        <v>0.25</v>
      </c>
      <c r="AB285" s="282">
        <f>IF(AA285&gt;100%,100%,AA285)</f>
        <v>0.25</v>
      </c>
      <c r="AC285" s="281">
        <f>+AB285</f>
        <v>0.25</v>
      </c>
      <c r="AD285" s="277"/>
      <c r="AE285" s="283">
        <f>+'Plan de Accion apoyo transversa'!BX173</f>
        <v>0</v>
      </c>
      <c r="AF285" s="315">
        <f>+'Plan de Accion apoyo transversa'!CK173</f>
        <v>0</v>
      </c>
      <c r="AG285" s="276">
        <f t="shared" si="140"/>
        <v>0</v>
      </c>
      <c r="AH285" s="315">
        <f>+'Plan de Accion apoyo transversa'!CB173</f>
        <v>0.25</v>
      </c>
      <c r="AI285" s="275">
        <f t="shared" si="133"/>
        <v>0.25</v>
      </c>
      <c r="AJ285" s="286"/>
      <c r="AL285" s="381"/>
      <c r="AM285" s="287"/>
      <c r="AN285" s="267"/>
      <c r="AO285" s="381"/>
      <c r="AP285" s="287"/>
      <c r="AQ285" s="267"/>
      <c r="AR285" s="381"/>
      <c r="AS285" s="287"/>
      <c r="AT285" s="267"/>
      <c r="AU285" s="381"/>
      <c r="AV285" s="287"/>
      <c r="AW285" s="265"/>
      <c r="AX285" s="286"/>
      <c r="AZ285" s="381"/>
      <c r="BA285" s="287"/>
      <c r="BB285" s="267"/>
      <c r="BC285" s="381"/>
      <c r="BD285" s="287"/>
      <c r="BE285" s="267"/>
      <c r="BF285" s="381"/>
      <c r="BG285" s="287"/>
      <c r="BH285" s="267"/>
      <c r="BI285" s="381"/>
      <c r="BJ285" s="287"/>
      <c r="BK285" s="265"/>
      <c r="BL285" s="286"/>
      <c r="BN285" s="381"/>
      <c r="BO285" s="287"/>
      <c r="BP285" s="267"/>
      <c r="BQ285" s="381"/>
      <c r="BR285" s="287"/>
      <c r="BS285" s="267"/>
      <c r="BT285" s="381"/>
      <c r="BU285" s="287"/>
      <c r="BV285" s="267"/>
      <c r="BW285" s="381"/>
      <c r="BX285" s="287"/>
      <c r="BY285" s="265"/>
      <c r="BZ285" s="286"/>
      <c r="CB285" s="381"/>
      <c r="CC285" s="287"/>
      <c r="CD285" s="267"/>
      <c r="CE285" s="381"/>
      <c r="CF285" s="287"/>
      <c r="CG285" s="267"/>
      <c r="CH285" s="381"/>
      <c r="CI285" s="287"/>
      <c r="CJ285" s="267"/>
      <c r="CK285" s="381"/>
      <c r="CL285" s="287"/>
      <c r="CM285" s="265"/>
      <c r="CN285" s="286"/>
    </row>
    <row r="286" spans="2:92" ht="100.5" thickBot="1" x14ac:dyDescent="0.25">
      <c r="B286" s="970"/>
      <c r="C286" s="976"/>
      <c r="D286" s="369" t="s">
        <v>206</v>
      </c>
      <c r="E286" s="385" t="s">
        <v>1304</v>
      </c>
      <c r="F286" s="948" t="s">
        <v>338</v>
      </c>
      <c r="G286" s="385" t="str">
        <f>+'Plan de Accion apoyo transversa'!X171</f>
        <v>Reuniones de autocontrol y seguimiento a  los procesos que evidencien monitoreo a los riesgos, indicadores, planes de mejoramiento, manuales y documentos asociados</v>
      </c>
      <c r="H286" s="280" t="str">
        <f>+'Plan de Accion apoyo transversa'!AK171</f>
        <v># reuniones realizadas</v>
      </c>
      <c r="J286" s="283">
        <f>+'Plan de Accion apoyo transversa'!AT171</f>
        <v>0</v>
      </c>
      <c r="K286" s="615" t="str">
        <f>+'Plan de Accion apoyo transversa'!CE171</f>
        <v>No Prog ni Ejec</v>
      </c>
      <c r="L286" s="615" t="s">
        <v>206</v>
      </c>
      <c r="M286" s="615">
        <f>+'Plan de Accion apoyo transversa'!AX171</f>
        <v>0</v>
      </c>
      <c r="N286" s="615">
        <f t="shared" si="113"/>
        <v>0</v>
      </c>
      <c r="O286" s="617" t="s">
        <v>206</v>
      </c>
      <c r="P286" s="277"/>
      <c r="Q286" s="283">
        <f>+'Plan de Accion apoyo transversa'!BD171</f>
        <v>0</v>
      </c>
      <c r="R286" s="315">
        <f>+'Plan de Accion apoyo transversa'!CG171</f>
        <v>0</v>
      </c>
      <c r="S286" s="276">
        <f t="shared" si="137"/>
        <v>0</v>
      </c>
      <c r="T286" s="373">
        <f>+'Plan de Accion apoyo transversa'!BH171</f>
        <v>0</v>
      </c>
      <c r="U286" s="373">
        <f t="shared" si="131"/>
        <v>0</v>
      </c>
      <c r="V286" s="275">
        <f t="shared" si="138"/>
        <v>0</v>
      </c>
      <c r="W286" s="278"/>
      <c r="X286" s="283">
        <f>+'Plan de Accion apoyo transversa'!BN171</f>
        <v>0</v>
      </c>
      <c r="Y286" s="315">
        <f>+'Plan de Accion apoyo transversa'!CI171</f>
        <v>0</v>
      </c>
      <c r="Z286" s="276">
        <f t="shared" si="139"/>
        <v>0</v>
      </c>
      <c r="AA286" s="282">
        <f>+'Plan de Accion apoyo transversa'!BR171</f>
        <v>0</v>
      </c>
      <c r="AB286" s="282">
        <f t="shared" si="135"/>
        <v>0</v>
      </c>
      <c r="AC286" s="281">
        <f>+AB286</f>
        <v>0</v>
      </c>
      <c r="AD286" s="277"/>
      <c r="AE286" s="283">
        <f>+'Plan de Accion apoyo transversa'!BX171</f>
        <v>0</v>
      </c>
      <c r="AF286" s="315">
        <f>+'Plan de Accion apoyo transversa'!CK171</f>
        <v>0</v>
      </c>
      <c r="AG286" s="276">
        <f t="shared" si="140"/>
        <v>0</v>
      </c>
      <c r="AH286" s="315">
        <f>+'Plan de Accion apoyo transversa'!CB171</f>
        <v>0</v>
      </c>
      <c r="AI286" s="275">
        <f t="shared" si="133"/>
        <v>0</v>
      </c>
      <c r="AJ286" s="286"/>
      <c r="AL286" s="381"/>
      <c r="AM286" s="287"/>
      <c r="AN286" s="267"/>
      <c r="AO286" s="381"/>
      <c r="AP286" s="287"/>
      <c r="AQ286" s="267"/>
      <c r="AR286" s="381"/>
      <c r="AS286" s="287"/>
      <c r="AT286" s="267"/>
      <c r="AU286" s="381"/>
      <c r="AV286" s="287"/>
      <c r="AW286" s="265"/>
      <c r="AX286" s="286"/>
      <c r="AZ286" s="381"/>
      <c r="BA286" s="287"/>
      <c r="BB286" s="267"/>
      <c r="BC286" s="381"/>
      <c r="BD286" s="287"/>
      <c r="BE286" s="267"/>
      <c r="BF286" s="381"/>
      <c r="BG286" s="287"/>
      <c r="BH286" s="267"/>
      <c r="BI286" s="381"/>
      <c r="BJ286" s="287"/>
      <c r="BK286" s="265"/>
      <c r="BL286" s="286"/>
      <c r="BN286" s="381"/>
      <c r="BO286" s="287"/>
      <c r="BP286" s="267"/>
      <c r="BQ286" s="381"/>
      <c r="BR286" s="287"/>
      <c r="BS286" s="267"/>
      <c r="BT286" s="381"/>
      <c r="BU286" s="287"/>
      <c r="BV286" s="267"/>
      <c r="BW286" s="381"/>
      <c r="BX286" s="287"/>
      <c r="BY286" s="265"/>
      <c r="BZ286" s="286"/>
      <c r="CB286" s="381"/>
      <c r="CC286" s="287"/>
      <c r="CD286" s="267"/>
      <c r="CE286" s="381"/>
      <c r="CF286" s="287"/>
      <c r="CG286" s="267"/>
      <c r="CH286" s="381"/>
      <c r="CI286" s="287"/>
      <c r="CJ286" s="267"/>
      <c r="CK286" s="381"/>
      <c r="CL286" s="287"/>
      <c r="CM286" s="265"/>
      <c r="CN286" s="286"/>
    </row>
    <row r="287" spans="2:92" ht="100.5" thickBot="1" x14ac:dyDescent="0.25">
      <c r="B287" s="970"/>
      <c r="C287" s="977"/>
      <c r="D287" s="369" t="s">
        <v>206</v>
      </c>
      <c r="E287" s="385" t="s">
        <v>13</v>
      </c>
      <c r="F287" s="950"/>
      <c r="G287" s="385" t="str">
        <f>+'Plan de Accion apoyo transversa'!X172</f>
        <v>Reuniones de autocontrol y seguimiento a  los procesos que evidencien monitoreo a los riesgos, indicadores, planes de mejoramiento, manuales y documentos asociados</v>
      </c>
      <c r="H287" s="280" t="str">
        <f>+'Plan de Accion apoyo transversa'!AK172</f>
        <v># reuniones realizadas</v>
      </c>
      <c r="J287" s="283">
        <f>+'Plan de Accion apoyo transversa'!AT172</f>
        <v>0</v>
      </c>
      <c r="K287" s="615" t="str">
        <f>+'Plan de Accion apoyo transversa'!CE172</f>
        <v>No Prog ni Ejec</v>
      </c>
      <c r="L287" s="615" t="s">
        <v>206</v>
      </c>
      <c r="M287" s="615">
        <f>+'Plan de Accion apoyo transversa'!AX172</f>
        <v>0</v>
      </c>
      <c r="N287" s="615">
        <f t="shared" ref="N287:N341" si="141">IF(M287&gt;100%,100%,M287)</f>
        <v>0</v>
      </c>
      <c r="O287" s="617" t="s">
        <v>206</v>
      </c>
      <c r="P287" s="277"/>
      <c r="Q287" s="515">
        <f>+'Plan de Accion apoyo transversa'!BD172</f>
        <v>0</v>
      </c>
      <c r="R287" s="394">
        <f>+'Plan de Accion apoyo transversa'!CG172</f>
        <v>0</v>
      </c>
      <c r="S287" s="516">
        <f t="shared" si="137"/>
        <v>0</v>
      </c>
      <c r="T287" s="395">
        <f>+'Plan de Accion apoyo transversa'!BH172</f>
        <v>0</v>
      </c>
      <c r="U287" s="395">
        <f t="shared" si="131"/>
        <v>0</v>
      </c>
      <c r="V287" s="518">
        <f t="shared" si="138"/>
        <v>0</v>
      </c>
      <c r="W287" s="278"/>
      <c r="X287" s="515">
        <f>+'Plan de Accion apoyo transversa'!BN172</f>
        <v>0</v>
      </c>
      <c r="Y287" s="394">
        <f>+'Plan de Accion apoyo transversa'!CI172</f>
        <v>0</v>
      </c>
      <c r="Z287" s="516">
        <f t="shared" si="139"/>
        <v>0</v>
      </c>
      <c r="AA287" s="517">
        <f>+'Plan de Accion apoyo transversa'!BR172</f>
        <v>0</v>
      </c>
      <c r="AB287" s="517">
        <f t="shared" si="135"/>
        <v>0</v>
      </c>
      <c r="AC287" s="402">
        <f>+AB287</f>
        <v>0</v>
      </c>
      <c r="AD287" s="277"/>
      <c r="AE287" s="283">
        <f>+'Plan de Accion apoyo transversa'!BX172</f>
        <v>0</v>
      </c>
      <c r="AF287" s="315">
        <f>+'Plan de Accion apoyo transversa'!CK172</f>
        <v>0</v>
      </c>
      <c r="AG287" s="276">
        <f t="shared" si="140"/>
        <v>0</v>
      </c>
      <c r="AH287" s="315">
        <f>+'Plan de Accion apoyo transversa'!CB172</f>
        <v>0</v>
      </c>
      <c r="AI287" s="275">
        <f t="shared" si="133"/>
        <v>0</v>
      </c>
      <c r="AJ287" s="286"/>
      <c r="AL287" s="381"/>
      <c r="AM287" s="287"/>
      <c r="AN287" s="267"/>
      <c r="AO287" s="381"/>
      <c r="AP287" s="287"/>
      <c r="AQ287" s="267"/>
      <c r="AR287" s="381"/>
      <c r="AS287" s="287"/>
      <c r="AT287" s="267"/>
      <c r="AU287" s="381"/>
      <c r="AV287" s="287"/>
      <c r="AW287" s="265"/>
      <c r="AX287" s="286"/>
      <c r="AZ287" s="381"/>
      <c r="BA287" s="287"/>
      <c r="BB287" s="267"/>
      <c r="BC287" s="381"/>
      <c r="BD287" s="287"/>
      <c r="BE287" s="267"/>
      <c r="BF287" s="381"/>
      <c r="BG287" s="287"/>
      <c r="BH287" s="267"/>
      <c r="BI287" s="381"/>
      <c r="BJ287" s="287"/>
      <c r="BK287" s="265"/>
      <c r="BL287" s="286"/>
      <c r="BN287" s="381"/>
      <c r="BO287" s="287"/>
      <c r="BP287" s="267"/>
      <c r="BQ287" s="381"/>
      <c r="BR287" s="287"/>
      <c r="BS287" s="267"/>
      <c r="BT287" s="381"/>
      <c r="BU287" s="287"/>
      <c r="BV287" s="267"/>
      <c r="BW287" s="381"/>
      <c r="BX287" s="287"/>
      <c r="BY287" s="265"/>
      <c r="BZ287" s="286"/>
      <c r="CB287" s="381"/>
      <c r="CC287" s="287"/>
      <c r="CD287" s="267"/>
      <c r="CE287" s="381"/>
      <c r="CF287" s="287"/>
      <c r="CG287" s="267"/>
      <c r="CH287" s="381"/>
      <c r="CI287" s="287"/>
      <c r="CJ287" s="267"/>
      <c r="CK287" s="381"/>
      <c r="CL287" s="287"/>
      <c r="CM287" s="265"/>
      <c r="CN287" s="286"/>
    </row>
    <row r="288" spans="2:92" ht="20.25" thickBot="1" x14ac:dyDescent="0.3">
      <c r="B288" s="964" t="s">
        <v>219</v>
      </c>
      <c r="C288" s="965"/>
      <c r="D288" s="966"/>
      <c r="E288" s="966"/>
      <c r="F288" s="967"/>
      <c r="G288" s="967"/>
      <c r="H288" s="968"/>
      <c r="J288" s="259" t="s">
        <v>206</v>
      </c>
      <c r="K288" s="258">
        <f>AVERAGE(K193:K283,K285:K287)</f>
        <v>0.72588372279882019</v>
      </c>
      <c r="L288" s="258">
        <f>IF(K288&gt;100%,100%,K288)</f>
        <v>0.72588372279882019</v>
      </c>
      <c r="M288" s="258">
        <f>AVERAGE(M193:M283,M285:M287)</f>
        <v>0.15588749643262834</v>
      </c>
      <c r="N288" s="258">
        <f>IF(M288&gt;25%,25%,M288)</f>
        <v>0.15588749643262834</v>
      </c>
      <c r="O288" s="262">
        <f>AVERAGE(O193:O283,O285:O287)</f>
        <v>0.30160841701095487</v>
      </c>
      <c r="P288" s="260"/>
      <c r="Q288" s="259" t="s">
        <v>206</v>
      </c>
      <c r="R288" s="258">
        <f>AVERAGE(R193:R287)</f>
        <v>0</v>
      </c>
      <c r="S288" s="258">
        <f t="shared" si="137"/>
        <v>0</v>
      </c>
      <c r="T288" s="258" t="e">
        <f>AVERAGE(T193:T287)</f>
        <v>#DIV/0!</v>
      </c>
      <c r="U288" s="258" t="e">
        <f>IF(T288&gt;50%,50%,T288)</f>
        <v>#DIV/0!</v>
      </c>
      <c r="V288" s="262" t="e">
        <f>AVERAGE(V193:V287)</f>
        <v>#DIV/0!</v>
      </c>
      <c r="W288" s="261"/>
      <c r="X288" s="259" t="s">
        <v>206</v>
      </c>
      <c r="Y288" s="258">
        <f>AVERAGE(Y193:Y287)</f>
        <v>0</v>
      </c>
      <c r="Z288" s="258">
        <f t="shared" si="139"/>
        <v>0</v>
      </c>
      <c r="AA288" s="258" t="e">
        <f>AVERAGE(AA193:AA287)</f>
        <v>#DIV/0!</v>
      </c>
      <c r="AB288" s="258" t="e">
        <f>IF(AA288&gt;75%,75%,AA288)</f>
        <v>#DIV/0!</v>
      </c>
      <c r="AC288" s="262" t="e">
        <f>AVERAGE(AC193:AC287)</f>
        <v>#DIV/0!</v>
      </c>
      <c r="AD288" s="260"/>
      <c r="AE288" s="259" t="s">
        <v>206</v>
      </c>
      <c r="AF288" s="258">
        <f>AVERAGE(AF193:AF287)</f>
        <v>0</v>
      </c>
      <c r="AG288" s="258">
        <f t="shared" si="140"/>
        <v>0</v>
      </c>
      <c r="AH288" s="258" t="e">
        <f>AVERAGE(AH193:AH287)</f>
        <v>#DIV/0!</v>
      </c>
      <c r="AI288" s="262" t="e">
        <f>AVERAGE(AI193:AI287)</f>
        <v>#DIV/0!</v>
      </c>
      <c r="AL288" s="255"/>
      <c r="AM288" s="257"/>
      <c r="AN288" s="256"/>
      <c r="AO288" s="255"/>
      <c r="AP288" s="254"/>
      <c r="AQ288" s="256"/>
      <c r="AR288" s="255"/>
      <c r="AS288" s="254"/>
      <c r="AT288" s="256"/>
      <c r="AU288" s="255"/>
      <c r="AV288" s="254"/>
      <c r="AZ288" s="255"/>
      <c r="BA288" s="257"/>
      <c r="BB288" s="256"/>
      <c r="BC288" s="255"/>
      <c r="BD288" s="254"/>
      <c r="BE288" s="256"/>
      <c r="BF288" s="255"/>
      <c r="BG288" s="254"/>
      <c r="BH288" s="256"/>
      <c r="BI288" s="255"/>
      <c r="BJ288" s="254"/>
      <c r="BN288" s="255"/>
      <c r="BO288" s="257"/>
      <c r="BP288" s="256"/>
      <c r="BQ288" s="255"/>
      <c r="BR288" s="254"/>
      <c r="BS288" s="256"/>
      <c r="BT288" s="255"/>
      <c r="BU288" s="254"/>
      <c r="BV288" s="256"/>
      <c r="BW288" s="255"/>
      <c r="BX288" s="254"/>
      <c r="CB288" s="255"/>
      <c r="CC288" s="257"/>
      <c r="CD288" s="256"/>
      <c r="CE288" s="255"/>
      <c r="CF288" s="254"/>
      <c r="CG288" s="256"/>
      <c r="CH288" s="255"/>
      <c r="CI288" s="254"/>
      <c r="CJ288" s="256"/>
      <c r="CK288" s="255"/>
      <c r="CL288" s="254"/>
    </row>
    <row r="289" spans="2:92" ht="106.5" customHeight="1" x14ac:dyDescent="0.2">
      <c r="B289" s="969" t="s">
        <v>1270</v>
      </c>
      <c r="C289" s="972" t="s">
        <v>94</v>
      </c>
      <c r="D289" s="942" t="s">
        <v>206</v>
      </c>
      <c r="E289" s="959" t="s">
        <v>14</v>
      </c>
      <c r="F289" s="942" t="s">
        <v>1296</v>
      </c>
      <c r="G289" s="378" t="str">
        <f>+'Plan de Accion apoyo transversa'!X55</f>
        <v>Jornada de socialización y divulgación de las Políticas de SST y Prevención de alcohol y drogas a todos los servidores públicos y partes interesadas realizada</v>
      </c>
      <c r="H289" s="289" t="str">
        <f>+'Plan de Accion apoyo transversa'!AK55</f>
        <v># de actividades realizadas</v>
      </c>
      <c r="J289" s="283">
        <f>+'Plan de Accion apoyo transversa'!AT55</f>
        <v>1</v>
      </c>
      <c r="K289" s="615">
        <f>+'Plan de Accion apoyo transversa'!CE55</f>
        <v>1</v>
      </c>
      <c r="L289" s="615">
        <f>IF(K289&gt;100%,100%,K289)</f>
        <v>1</v>
      </c>
      <c r="M289" s="615">
        <f>+'Plan de Accion apoyo transversa'!AX55</f>
        <v>1</v>
      </c>
      <c r="N289" s="615">
        <f t="shared" si="141"/>
        <v>1</v>
      </c>
      <c r="O289" s="617">
        <f>+N289</f>
        <v>1</v>
      </c>
      <c r="P289" s="277"/>
      <c r="Q289" s="283">
        <f>+'Plan de Accion apoyo transversa'!BD55</f>
        <v>0</v>
      </c>
      <c r="R289" s="373" t="str">
        <f>+'Plan de Accion apoyo transversa'!CG55</f>
        <v>No Prog ni Ejec</v>
      </c>
      <c r="S289" s="276" t="s">
        <v>206</v>
      </c>
      <c r="T289" s="373">
        <f>+'Plan de Accion apoyo transversa'!BH55</f>
        <v>1</v>
      </c>
      <c r="U289" s="373">
        <f>IF(T289&gt;100%,100%,T289)</f>
        <v>1</v>
      </c>
      <c r="V289" s="275">
        <f>+U289</f>
        <v>1</v>
      </c>
      <c r="W289" s="278"/>
      <c r="X289" s="283">
        <f>+'Plan de Accion apoyo transversa'!BN55</f>
        <v>0</v>
      </c>
      <c r="Y289" s="373" t="str">
        <f>+'Plan de Accion apoyo transversa'!CI55</f>
        <v>No Prog ni Ejec</v>
      </c>
      <c r="Z289" s="276" t="s">
        <v>206</v>
      </c>
      <c r="AA289" s="358">
        <f>+'Plan de Accion apoyo transversa'!BR55</f>
        <v>1</v>
      </c>
      <c r="AB289" s="358">
        <f>IF(AA289&gt;100%,100%,AA289)</f>
        <v>1</v>
      </c>
      <c r="AC289" s="403">
        <f>+AB289</f>
        <v>1</v>
      </c>
      <c r="AD289" s="277"/>
      <c r="AE289" s="283">
        <f>+'Plan de Accion apoyo transversa'!BX55</f>
        <v>0</v>
      </c>
      <c r="AF289" s="373" t="str">
        <f>+'Plan de Accion apoyo transversa'!CK55</f>
        <v>No Prog ni Ejec</v>
      </c>
      <c r="AG289" s="276" t="s">
        <v>206</v>
      </c>
      <c r="AH289" s="373">
        <f>+'Plan de Accion apoyo transversa'!CB55</f>
        <v>1</v>
      </c>
      <c r="AI289" s="275">
        <f>IF(AH289&gt;100%,100%,AH289)</f>
        <v>1</v>
      </c>
      <c r="AJ289" s="1014"/>
      <c r="AL289" s="1011"/>
      <c r="AM289" s="1007"/>
      <c r="AN289" s="267"/>
      <c r="AO289" s="1008"/>
      <c r="AP289" s="1007"/>
      <c r="AQ289" s="267"/>
      <c r="AR289" s="1007"/>
      <c r="AS289" s="1007"/>
      <c r="AT289" s="267"/>
      <c r="AU289" s="1007"/>
      <c r="AV289" s="1007"/>
      <c r="AW289" s="265"/>
      <c r="AX289" s="1015"/>
      <c r="AZ289" s="1011"/>
      <c r="BA289" s="1007"/>
      <c r="BB289" s="267"/>
      <c r="BC289" s="1008"/>
      <c r="BD289" s="1007"/>
      <c r="BE289" s="267"/>
      <c r="BF289" s="1007"/>
      <c r="BG289" s="1007"/>
      <c r="BH289" s="267"/>
      <c r="BI289" s="1007"/>
      <c r="BJ289" s="1007"/>
      <c r="BK289" s="265"/>
      <c r="BL289" s="1015"/>
      <c r="BN289" s="1011"/>
      <c r="BO289" s="1007"/>
      <c r="BP289" s="267"/>
      <c r="BQ289" s="1008"/>
      <c r="BR289" s="1007"/>
      <c r="BS289" s="267"/>
      <c r="BT289" s="1007"/>
      <c r="BU289" s="1007"/>
      <c r="BV289" s="267"/>
      <c r="BW289" s="1007"/>
      <c r="BX289" s="1007"/>
      <c r="BY289" s="265"/>
      <c r="BZ289" s="1015"/>
      <c r="CB289" s="1011"/>
      <c r="CC289" s="1007"/>
      <c r="CD289" s="267"/>
      <c r="CE289" s="1008"/>
      <c r="CF289" s="1007"/>
      <c r="CG289" s="267"/>
      <c r="CH289" s="1007"/>
      <c r="CI289" s="1007"/>
      <c r="CJ289" s="267"/>
      <c r="CK289" s="1007"/>
      <c r="CL289" s="1007"/>
      <c r="CM289" s="265"/>
      <c r="CN289" s="1015"/>
    </row>
    <row r="290" spans="2:92" ht="95.25" customHeight="1" x14ac:dyDescent="0.2">
      <c r="B290" s="969"/>
      <c r="C290" s="973"/>
      <c r="D290" s="943"/>
      <c r="E290" s="956"/>
      <c r="F290" s="943"/>
      <c r="G290" s="378" t="str">
        <f>+'Plan de Accion apoyo transversa'!X62</f>
        <v>Jornada de socialización y divulgación de los roles y responsabilidades a todos los servidores públicos y partes interesadas realizada</v>
      </c>
      <c r="H290" s="289" t="str">
        <f>+'Plan de Accion apoyo transversa'!AK62</f>
        <v># de actividades realizadas</v>
      </c>
      <c r="J290" s="283">
        <f>+'Plan de Accion apoyo transversa'!AT62</f>
        <v>1</v>
      </c>
      <c r="K290" s="615">
        <f>+'Plan de Accion apoyo transversa'!CE62</f>
        <v>1</v>
      </c>
      <c r="L290" s="615">
        <f>IF(K290&gt;100%,100%,K290)</f>
        <v>1</v>
      </c>
      <c r="M290" s="615">
        <f>+'Plan de Accion apoyo transversa'!AX62</f>
        <v>0.33333333333333331</v>
      </c>
      <c r="N290" s="615">
        <f t="shared" si="141"/>
        <v>0.33333333333333331</v>
      </c>
      <c r="O290" s="617">
        <f>+N290</f>
        <v>0.33333333333333331</v>
      </c>
      <c r="P290" s="277"/>
      <c r="Q290" s="283">
        <f>+'Plan de Accion apoyo transversa'!BD62</f>
        <v>0</v>
      </c>
      <c r="R290" s="373">
        <f>+'Plan de Accion apoyo transversa'!CG62</f>
        <v>0</v>
      </c>
      <c r="S290" s="276" t="s">
        <v>206</v>
      </c>
      <c r="T290" s="373">
        <f>+'Plan de Accion apoyo transversa'!BH62</f>
        <v>0.33333333333333331</v>
      </c>
      <c r="U290" s="373">
        <f>IF(T290&gt;100%,100%,T290)</f>
        <v>0.33333333333333331</v>
      </c>
      <c r="V290" s="275">
        <f>+U290</f>
        <v>0.33333333333333331</v>
      </c>
      <c r="W290" s="278"/>
      <c r="X290" s="283">
        <f>+'Plan de Accion apoyo transversa'!BN62</f>
        <v>0</v>
      </c>
      <c r="Y290" s="373" t="str">
        <f>+'Plan de Accion apoyo transversa'!CI62</f>
        <v>No Prog ni Ejec</v>
      </c>
      <c r="Z290" s="276" t="s">
        <v>206</v>
      </c>
      <c r="AA290" s="282">
        <f>+'Plan de Accion apoyo transversa'!BR62</f>
        <v>0.33333333333333331</v>
      </c>
      <c r="AB290" s="282">
        <f>IF(AA290&gt;100%,100%,AA290)</f>
        <v>0.33333333333333331</v>
      </c>
      <c r="AC290" s="281">
        <f>+AB290</f>
        <v>0.33333333333333331</v>
      </c>
      <c r="AD290" s="277"/>
      <c r="AE290" s="283">
        <f>+'Plan de Accion apoyo transversa'!BX62</f>
        <v>0</v>
      </c>
      <c r="AF290" s="373">
        <f>+'Plan de Accion apoyo transversa'!CK62</f>
        <v>0</v>
      </c>
      <c r="AG290" s="276" t="s">
        <v>206</v>
      </c>
      <c r="AH290" s="373">
        <f>+'Plan de Accion apoyo transversa'!CB62</f>
        <v>0.33333333333333331</v>
      </c>
      <c r="AI290" s="275">
        <f>IF(AH290&gt;100%,100%,AH290)</f>
        <v>0.33333333333333331</v>
      </c>
      <c r="AJ290" s="996"/>
      <c r="AL290" s="1012"/>
      <c r="AM290" s="998"/>
      <c r="AN290" s="267"/>
      <c r="AO290" s="1009"/>
      <c r="AP290" s="998"/>
      <c r="AQ290" s="267"/>
      <c r="AR290" s="998"/>
      <c r="AS290" s="998"/>
      <c r="AT290" s="267"/>
      <c r="AU290" s="998"/>
      <c r="AV290" s="998"/>
      <c r="AW290" s="265"/>
      <c r="AX290" s="1016"/>
      <c r="AZ290" s="1012"/>
      <c r="BA290" s="998"/>
      <c r="BB290" s="267"/>
      <c r="BC290" s="1009"/>
      <c r="BD290" s="998"/>
      <c r="BE290" s="267"/>
      <c r="BF290" s="998"/>
      <c r="BG290" s="998"/>
      <c r="BH290" s="267"/>
      <c r="BI290" s="998"/>
      <c r="BJ290" s="998"/>
      <c r="BK290" s="265"/>
      <c r="BL290" s="1016"/>
      <c r="BN290" s="1012"/>
      <c r="BO290" s="998"/>
      <c r="BP290" s="267"/>
      <c r="BQ290" s="1009"/>
      <c r="BR290" s="998"/>
      <c r="BS290" s="267"/>
      <c r="BT290" s="998"/>
      <c r="BU290" s="998"/>
      <c r="BV290" s="267"/>
      <c r="BW290" s="998"/>
      <c r="BX290" s="998"/>
      <c r="BY290" s="265"/>
      <c r="BZ290" s="1016"/>
      <c r="CB290" s="1012"/>
      <c r="CC290" s="998"/>
      <c r="CD290" s="267"/>
      <c r="CE290" s="1009"/>
      <c r="CF290" s="998"/>
      <c r="CG290" s="267"/>
      <c r="CH290" s="998"/>
      <c r="CI290" s="998"/>
      <c r="CJ290" s="267"/>
      <c r="CK290" s="998"/>
      <c r="CL290" s="998"/>
      <c r="CM290" s="265"/>
      <c r="CN290" s="1016"/>
    </row>
    <row r="291" spans="2:92" ht="42.75" x14ac:dyDescent="0.2">
      <c r="B291" s="969"/>
      <c r="C291" s="973"/>
      <c r="D291" s="943"/>
      <c r="E291" s="956"/>
      <c r="F291" s="943"/>
      <c r="G291" s="378" t="str">
        <f>+'Plan de Accion apoyo transversa'!X64</f>
        <v>Jornada de divulgación del Plan de Emergencias realizada</v>
      </c>
      <c r="H291" s="289" t="str">
        <f>+'Plan de Accion apoyo transversa'!AK64</f>
        <v># de actividades realizadas</v>
      </c>
      <c r="J291" s="283">
        <f>+'Plan de Accion apoyo transversa'!AT64</f>
        <v>0</v>
      </c>
      <c r="K291" s="615">
        <f>+'Plan de Accion apoyo transversa'!CE64</f>
        <v>0</v>
      </c>
      <c r="L291" s="667">
        <f>IF(K291&gt;100%,100%,K291)</f>
        <v>0</v>
      </c>
      <c r="M291" s="615">
        <f>+'Plan de Accion apoyo transversa'!AX64</f>
        <v>0</v>
      </c>
      <c r="N291" s="615">
        <f t="shared" si="141"/>
        <v>0</v>
      </c>
      <c r="O291" s="668">
        <f>+N291</f>
        <v>0</v>
      </c>
      <c r="P291" s="277"/>
      <c r="Q291" s="283">
        <f>+'Plan de Accion apoyo transversa'!BD64</f>
        <v>0</v>
      </c>
      <c r="R291" s="373">
        <f>+'Plan de Accion apoyo transversa'!CG64</f>
        <v>0</v>
      </c>
      <c r="S291" s="315">
        <f>IF(R291&gt;100%,100%,R291)</f>
        <v>0</v>
      </c>
      <c r="T291" s="373">
        <f>+'Plan de Accion apoyo transversa'!BH64</f>
        <v>0</v>
      </c>
      <c r="U291" s="373">
        <f>IF(T291&gt;100%,100%,T291)</f>
        <v>0</v>
      </c>
      <c r="V291" s="275">
        <f>+U291</f>
        <v>0</v>
      </c>
      <c r="W291" s="278"/>
      <c r="X291" s="283">
        <f>+'Plan de Accion apoyo transversa'!BN64</f>
        <v>0</v>
      </c>
      <c r="Y291" s="373" t="str">
        <f>+'Plan de Accion apoyo transversa'!CI64</f>
        <v>No Prog ni Ejec</v>
      </c>
      <c r="Z291" s="276">
        <f>IF(Y291&gt;100%,100%,Y291)</f>
        <v>1</v>
      </c>
      <c r="AA291" s="282">
        <f>+'Plan de Accion apoyo transversa'!BR64</f>
        <v>0</v>
      </c>
      <c r="AB291" s="282">
        <f>IF(AA291&gt;100%,100%,AA291)</f>
        <v>0</v>
      </c>
      <c r="AC291" s="281">
        <f>+AB291</f>
        <v>0</v>
      </c>
      <c r="AD291" s="277"/>
      <c r="AE291" s="283">
        <f>+'Plan de Accion apoyo transversa'!BX64</f>
        <v>0</v>
      </c>
      <c r="AF291" s="373">
        <f>+'Plan de Accion apoyo transversa'!CK64</f>
        <v>0</v>
      </c>
      <c r="AG291" s="276">
        <f>IF(AF291&gt;100%,100%,AF291)</f>
        <v>0</v>
      </c>
      <c r="AH291" s="373">
        <f>+'Plan de Accion apoyo transversa'!CB64</f>
        <v>0</v>
      </c>
      <c r="AI291" s="275">
        <f>IF(AH291&gt;100%,100%,AH291)</f>
        <v>0</v>
      </c>
      <c r="AJ291" s="996"/>
      <c r="AL291" s="1012"/>
      <c r="AM291" s="998"/>
      <c r="AN291" s="267"/>
      <c r="AO291" s="1009"/>
      <c r="AP291" s="998"/>
      <c r="AQ291" s="267"/>
      <c r="AR291" s="998"/>
      <c r="AS291" s="998"/>
      <c r="AT291" s="267"/>
      <c r="AU291" s="998"/>
      <c r="AV291" s="998"/>
      <c r="AW291" s="265"/>
      <c r="AX291" s="1016"/>
      <c r="AZ291" s="1012"/>
      <c r="BA291" s="998"/>
      <c r="BB291" s="267"/>
      <c r="BC291" s="1009"/>
      <c r="BD291" s="998"/>
      <c r="BE291" s="267"/>
      <c r="BF291" s="998"/>
      <c r="BG291" s="998"/>
      <c r="BH291" s="267"/>
      <c r="BI291" s="998"/>
      <c r="BJ291" s="998"/>
      <c r="BK291" s="265"/>
      <c r="BL291" s="1016"/>
      <c r="BN291" s="1012"/>
      <c r="BO291" s="998"/>
      <c r="BP291" s="267"/>
      <c r="BQ291" s="1009"/>
      <c r="BR291" s="998"/>
      <c r="BS291" s="267"/>
      <c r="BT291" s="998"/>
      <c r="BU291" s="998"/>
      <c r="BV291" s="267"/>
      <c r="BW291" s="998"/>
      <c r="BX291" s="998"/>
      <c r="BY291" s="265"/>
      <c r="BZ291" s="1016"/>
      <c r="CB291" s="1012"/>
      <c r="CC291" s="998"/>
      <c r="CD291" s="267"/>
      <c r="CE291" s="1009"/>
      <c r="CF291" s="998"/>
      <c r="CG291" s="267"/>
      <c r="CH291" s="998"/>
      <c r="CI291" s="998"/>
      <c r="CJ291" s="267"/>
      <c r="CK291" s="998"/>
      <c r="CL291" s="998"/>
      <c r="CM291" s="265"/>
      <c r="CN291" s="1016"/>
    </row>
    <row r="292" spans="2:92" ht="94.5" customHeight="1" x14ac:dyDescent="0.2">
      <c r="B292" s="969"/>
      <c r="C292" s="973"/>
      <c r="D292" s="943"/>
      <c r="E292" s="956"/>
      <c r="F292" s="944"/>
      <c r="G292" s="378" t="str">
        <f>+'Plan de Accion apoyo transversa'!X74</f>
        <v>Elementos ergonómicos adquiridos</v>
      </c>
      <c r="H292" s="289" t="str">
        <f>+'Plan de Accion apoyo transversa'!AK74</f>
        <v># Elementos ergonómicos adquiridos/ # elementos ergonómicos requeridos</v>
      </c>
      <c r="J292" s="372">
        <f>+'Plan de Accion apoyo transversa'!AT74</f>
        <v>0</v>
      </c>
      <c r="K292" s="615" t="str">
        <f>+'Plan de Accion apoyo transversa'!CE74</f>
        <v>No Prog ni Ejec</v>
      </c>
      <c r="L292" s="615" t="s">
        <v>206</v>
      </c>
      <c r="M292" s="615">
        <f>+'Plan de Accion apoyo transversa'!AX74</f>
        <v>0</v>
      </c>
      <c r="N292" s="615">
        <f t="shared" si="141"/>
        <v>0</v>
      </c>
      <c r="O292" s="617" t="s">
        <v>206</v>
      </c>
      <c r="P292" s="277"/>
      <c r="Q292" s="372">
        <f>+'Plan de Accion apoyo transversa'!BD74</f>
        <v>0</v>
      </c>
      <c r="R292" s="373" t="str">
        <f>+'Plan de Accion apoyo transversa'!CG74</f>
        <v>No Prog ni Ejec</v>
      </c>
      <c r="S292" s="315" t="s">
        <v>206</v>
      </c>
      <c r="T292" s="373">
        <f>+'Plan de Accion apoyo transversa'!BH74</f>
        <v>0</v>
      </c>
      <c r="U292" s="373">
        <f>IF(T292&gt;100%,100%,T292)</f>
        <v>0</v>
      </c>
      <c r="V292" s="275" t="s">
        <v>206</v>
      </c>
      <c r="W292" s="278"/>
      <c r="X292" s="372">
        <f>+'Plan de Accion apoyo transversa'!BN74</f>
        <v>0</v>
      </c>
      <c r="Y292" s="373" t="str">
        <f>+'Plan de Accion apoyo transversa'!CI74</f>
        <v>No Prog ni Ejec</v>
      </c>
      <c r="Z292" s="276" t="s">
        <v>206</v>
      </c>
      <c r="AA292" s="282">
        <f>+'Plan de Accion apoyo transversa'!BR74</f>
        <v>0</v>
      </c>
      <c r="AB292" s="282">
        <f>IF(AA292&gt;100%,100%,AA292)</f>
        <v>0</v>
      </c>
      <c r="AC292" s="281" t="s">
        <v>206</v>
      </c>
      <c r="AD292" s="277"/>
      <c r="AE292" s="372">
        <f>+'Plan de Accion apoyo transversa'!BX74</f>
        <v>0</v>
      </c>
      <c r="AF292" s="373">
        <f>+'Plan de Accion apoyo transversa'!CK74</f>
        <v>0</v>
      </c>
      <c r="AG292" s="276">
        <f>IF(AF292&gt;100%,100%,AF292)</f>
        <v>0</v>
      </c>
      <c r="AH292" s="373">
        <f>+'Plan de Accion apoyo transversa'!CB74</f>
        <v>0</v>
      </c>
      <c r="AI292" s="275">
        <f>IF(AH292&gt;100%,100%,AH292)</f>
        <v>0</v>
      </c>
      <c r="AJ292" s="996"/>
      <c r="AL292" s="1012"/>
      <c r="AM292" s="998"/>
      <c r="AN292" s="267"/>
      <c r="AO292" s="1009"/>
      <c r="AP292" s="998"/>
      <c r="AQ292" s="267"/>
      <c r="AR292" s="998"/>
      <c r="AS292" s="998"/>
      <c r="AT292" s="267"/>
      <c r="AU292" s="998"/>
      <c r="AV292" s="998"/>
      <c r="AW292" s="265"/>
      <c r="AX292" s="1016"/>
      <c r="AZ292" s="1012"/>
      <c r="BA292" s="998"/>
      <c r="BB292" s="267"/>
      <c r="BC292" s="1009"/>
      <c r="BD292" s="998"/>
      <c r="BE292" s="267"/>
      <c r="BF292" s="998"/>
      <c r="BG292" s="998"/>
      <c r="BH292" s="267"/>
      <c r="BI292" s="998"/>
      <c r="BJ292" s="998"/>
      <c r="BK292" s="265"/>
      <c r="BL292" s="1016"/>
      <c r="BN292" s="1012"/>
      <c r="BO292" s="998"/>
      <c r="BP292" s="267"/>
      <c r="BQ292" s="1009"/>
      <c r="BR292" s="998"/>
      <c r="BS292" s="267"/>
      <c r="BT292" s="998"/>
      <c r="BU292" s="998"/>
      <c r="BV292" s="267"/>
      <c r="BW292" s="998"/>
      <c r="BX292" s="998"/>
      <c r="BY292" s="265"/>
      <c r="BZ292" s="1016"/>
      <c r="CB292" s="1012"/>
      <c r="CC292" s="998"/>
      <c r="CD292" s="267"/>
      <c r="CE292" s="1009"/>
      <c r="CF292" s="998"/>
      <c r="CG292" s="267"/>
      <c r="CH292" s="998"/>
      <c r="CI292" s="998"/>
      <c r="CJ292" s="267"/>
      <c r="CK292" s="998"/>
      <c r="CL292" s="998"/>
      <c r="CM292" s="265"/>
      <c r="CN292" s="1016"/>
    </row>
    <row r="293" spans="2:92" ht="28.5" x14ac:dyDescent="0.2">
      <c r="B293" s="969"/>
      <c r="C293" s="973"/>
      <c r="D293" s="943"/>
      <c r="E293" s="956"/>
      <c r="F293" s="948" t="s">
        <v>530</v>
      </c>
      <c r="G293" s="378" t="str">
        <f>+'Plan de Accion apoyo transversa'!X75</f>
        <v>Capacitación de Sistema de Seguridad Social realizada</v>
      </c>
      <c r="H293" s="289" t="str">
        <f>+'Plan de Accion apoyo transversa'!AK75</f>
        <v xml:space="preserve"># Capacitaciones realizadas </v>
      </c>
      <c r="J293" s="283">
        <f>+'Plan de Accion apoyo transversa'!AT75</f>
        <v>0</v>
      </c>
      <c r="K293" s="615" t="str">
        <f>+'Plan de Accion apoyo transversa'!CE75</f>
        <v>No Prog ni Ejec</v>
      </c>
      <c r="L293" s="615" t="s">
        <v>206</v>
      </c>
      <c r="M293" s="615">
        <f>+'Plan de Accion apoyo transversa'!AX75</f>
        <v>0</v>
      </c>
      <c r="N293" s="615">
        <f t="shared" si="141"/>
        <v>0</v>
      </c>
      <c r="O293" s="617" t="s">
        <v>206</v>
      </c>
      <c r="P293" s="277"/>
      <c r="Q293" s="283">
        <f>+'Plan de Accion apoyo transversa'!BD75</f>
        <v>0</v>
      </c>
      <c r="R293" s="373">
        <f>+'Plan de Accion apoyo transversa'!CG75</f>
        <v>0</v>
      </c>
      <c r="S293" s="315">
        <f>IF(R293&gt;100%,100%,R293)</f>
        <v>0</v>
      </c>
      <c r="T293" s="373">
        <f>+'Plan de Accion apoyo transversa'!BH75</f>
        <v>0</v>
      </c>
      <c r="U293" s="373">
        <f t="shared" ref="U293:U310" si="142">IF(T293&gt;100%,100%,T293)</f>
        <v>0</v>
      </c>
      <c r="V293" s="275">
        <f>+U293</f>
        <v>0</v>
      </c>
      <c r="W293" s="278"/>
      <c r="X293" s="283">
        <f>+'Plan de Accion apoyo transversa'!BN75</f>
        <v>0</v>
      </c>
      <c r="Y293" s="373" t="str">
        <f>+'Plan de Accion apoyo transversa'!CI75</f>
        <v>No Prog ni Ejec</v>
      </c>
      <c r="Z293" s="276" t="s">
        <v>206</v>
      </c>
      <c r="AA293" s="282">
        <f>+'Plan de Accion apoyo transversa'!BR75</f>
        <v>0</v>
      </c>
      <c r="AB293" s="282">
        <f t="shared" ref="AB293:AB310" si="143">IF(AA293&gt;100%,100%,AA293)</f>
        <v>0</v>
      </c>
      <c r="AC293" s="281">
        <f t="shared" ref="AC293:AC310" si="144">+AB293</f>
        <v>0</v>
      </c>
      <c r="AD293" s="277"/>
      <c r="AE293" s="283">
        <f>+'Plan de Accion apoyo transversa'!BX75</f>
        <v>0</v>
      </c>
      <c r="AF293" s="373" t="str">
        <f>+'Plan de Accion apoyo transversa'!CK75</f>
        <v>No Prog ni Ejec</v>
      </c>
      <c r="AG293" s="276" t="s">
        <v>206</v>
      </c>
      <c r="AH293" s="373">
        <f>+'Plan de Accion apoyo transversa'!CB75</f>
        <v>0</v>
      </c>
      <c r="AI293" s="275">
        <f t="shared" ref="AI293:AI310" si="145">IF(AH293&gt;100%,100%,AH293)</f>
        <v>0</v>
      </c>
      <c r="AJ293" s="996"/>
      <c r="AL293" s="1012"/>
      <c r="AM293" s="998"/>
      <c r="AN293" s="267"/>
      <c r="AO293" s="1009"/>
      <c r="AP293" s="998"/>
      <c r="AQ293" s="267"/>
      <c r="AR293" s="998"/>
      <c r="AS293" s="998"/>
      <c r="AT293" s="267"/>
      <c r="AU293" s="998"/>
      <c r="AV293" s="998"/>
      <c r="AW293" s="265"/>
      <c r="AX293" s="1016"/>
      <c r="AZ293" s="1012"/>
      <c r="BA293" s="998"/>
      <c r="BB293" s="267"/>
      <c r="BC293" s="1009"/>
      <c r="BD293" s="998"/>
      <c r="BE293" s="267"/>
      <c r="BF293" s="998"/>
      <c r="BG293" s="998"/>
      <c r="BH293" s="267"/>
      <c r="BI293" s="998"/>
      <c r="BJ293" s="998"/>
      <c r="BK293" s="265"/>
      <c r="BL293" s="1016"/>
      <c r="BN293" s="1012"/>
      <c r="BO293" s="998"/>
      <c r="BP293" s="267"/>
      <c r="BQ293" s="1009"/>
      <c r="BR293" s="998"/>
      <c r="BS293" s="267"/>
      <c r="BT293" s="998"/>
      <c r="BU293" s="998"/>
      <c r="BV293" s="267"/>
      <c r="BW293" s="998"/>
      <c r="BX293" s="998"/>
      <c r="BY293" s="265"/>
      <c r="BZ293" s="1016"/>
      <c r="CB293" s="1012"/>
      <c r="CC293" s="998"/>
      <c r="CD293" s="267"/>
      <c r="CE293" s="1009"/>
      <c r="CF293" s="998"/>
      <c r="CG293" s="267"/>
      <c r="CH293" s="998"/>
      <c r="CI293" s="998"/>
      <c r="CJ293" s="267"/>
      <c r="CK293" s="998"/>
      <c r="CL293" s="998"/>
      <c r="CM293" s="265"/>
      <c r="CN293" s="1016"/>
    </row>
    <row r="294" spans="2:92" ht="22.5" customHeight="1" x14ac:dyDescent="0.2">
      <c r="B294" s="969"/>
      <c r="C294" s="973"/>
      <c r="D294" s="943"/>
      <c r="E294" s="956"/>
      <c r="F294" s="949"/>
      <c r="G294" s="378" t="str">
        <f>+'Plan de Accion apoyo transversa'!X76</f>
        <v>Capacitación de Administración de personal sector publico y legislación laboral realizada</v>
      </c>
      <c r="H294" s="289" t="str">
        <f>+'Plan de Accion apoyo transversa'!AK76</f>
        <v xml:space="preserve"># Capacitaciones realizadas </v>
      </c>
      <c r="J294" s="283">
        <f>+'Plan de Accion apoyo transversa'!AT76</f>
        <v>0</v>
      </c>
      <c r="K294" s="615" t="str">
        <f>+'Plan de Accion apoyo transversa'!CE76</f>
        <v>No Prog ni Ejec</v>
      </c>
      <c r="L294" s="615" t="s">
        <v>206</v>
      </c>
      <c r="M294" s="615">
        <f>+'Plan de Accion apoyo transversa'!AX76</f>
        <v>0</v>
      </c>
      <c r="N294" s="615">
        <f t="shared" si="141"/>
        <v>0</v>
      </c>
      <c r="O294" s="617" t="s">
        <v>206</v>
      </c>
      <c r="P294" s="277"/>
      <c r="Q294" s="283">
        <f>+'Plan de Accion apoyo transversa'!BD76</f>
        <v>0</v>
      </c>
      <c r="R294" s="373" t="str">
        <f>+'Plan de Accion apoyo transversa'!CG76</f>
        <v>No Prog ni Ejec</v>
      </c>
      <c r="S294" s="315" t="s">
        <v>206</v>
      </c>
      <c r="T294" s="373">
        <f>+'Plan de Accion apoyo transversa'!BH76</f>
        <v>0</v>
      </c>
      <c r="U294" s="373">
        <f t="shared" si="142"/>
        <v>0</v>
      </c>
      <c r="V294" s="275" t="s">
        <v>206</v>
      </c>
      <c r="W294" s="278"/>
      <c r="X294" s="283">
        <f>+'Plan de Accion apoyo transversa'!BN76</f>
        <v>0</v>
      </c>
      <c r="Y294" s="373">
        <f>+'Plan de Accion apoyo transversa'!CI76</f>
        <v>0</v>
      </c>
      <c r="Z294" s="276">
        <f>IF(Y294&gt;100%,100%,Y294)</f>
        <v>0</v>
      </c>
      <c r="AA294" s="282">
        <f>+'Plan de Accion apoyo transversa'!BR76</f>
        <v>0</v>
      </c>
      <c r="AB294" s="282">
        <f t="shared" si="143"/>
        <v>0</v>
      </c>
      <c r="AC294" s="281">
        <f t="shared" si="144"/>
        <v>0</v>
      </c>
      <c r="AD294" s="277"/>
      <c r="AE294" s="283">
        <f>+'Plan de Accion apoyo transversa'!BX76</f>
        <v>0</v>
      </c>
      <c r="AF294" s="373" t="str">
        <f>+'Plan de Accion apoyo transversa'!CK76</f>
        <v>No Prog ni Ejec</v>
      </c>
      <c r="AG294" s="276" t="s">
        <v>206</v>
      </c>
      <c r="AH294" s="373">
        <f>+'Plan de Accion apoyo transversa'!CB76</f>
        <v>0</v>
      </c>
      <c r="AI294" s="275">
        <f t="shared" si="145"/>
        <v>0</v>
      </c>
      <c r="AJ294" s="996"/>
      <c r="AL294" s="1012"/>
      <c r="AM294" s="998"/>
      <c r="AN294" s="267"/>
      <c r="AO294" s="1009"/>
      <c r="AP294" s="998"/>
      <c r="AQ294" s="267"/>
      <c r="AR294" s="998"/>
      <c r="AS294" s="998"/>
      <c r="AT294" s="267"/>
      <c r="AU294" s="998"/>
      <c r="AV294" s="998"/>
      <c r="AW294" s="265"/>
      <c r="AX294" s="1016"/>
      <c r="AZ294" s="1012"/>
      <c r="BA294" s="998"/>
      <c r="BB294" s="267"/>
      <c r="BC294" s="1009"/>
      <c r="BD294" s="998"/>
      <c r="BE294" s="267"/>
      <c r="BF294" s="998"/>
      <c r="BG294" s="998"/>
      <c r="BH294" s="267"/>
      <c r="BI294" s="998"/>
      <c r="BJ294" s="998"/>
      <c r="BK294" s="265"/>
      <c r="BL294" s="1016"/>
      <c r="BN294" s="1012"/>
      <c r="BO294" s="998"/>
      <c r="BP294" s="267"/>
      <c r="BQ294" s="1009"/>
      <c r="BR294" s="998"/>
      <c r="BS294" s="267"/>
      <c r="BT294" s="998"/>
      <c r="BU294" s="998"/>
      <c r="BV294" s="267"/>
      <c r="BW294" s="998"/>
      <c r="BX294" s="998"/>
      <c r="BY294" s="265"/>
      <c r="BZ294" s="1016"/>
      <c r="CB294" s="1012"/>
      <c r="CC294" s="998"/>
      <c r="CD294" s="267"/>
      <c r="CE294" s="1009"/>
      <c r="CF294" s="998"/>
      <c r="CG294" s="267"/>
      <c r="CH294" s="998"/>
      <c r="CI294" s="998"/>
      <c r="CJ294" s="267"/>
      <c r="CK294" s="998"/>
      <c r="CL294" s="998"/>
      <c r="CM294" s="265"/>
      <c r="CN294" s="1016"/>
    </row>
    <row r="295" spans="2:92" ht="22.5" customHeight="1" x14ac:dyDescent="0.2">
      <c r="B295" s="969"/>
      <c r="C295" s="973"/>
      <c r="D295" s="943"/>
      <c r="E295" s="956"/>
      <c r="F295" s="949"/>
      <c r="G295" s="378" t="str">
        <f>+'Plan de Accion apoyo transversa'!X77</f>
        <v>Capacitación de Big Data realizada</v>
      </c>
      <c r="H295" s="289" t="str">
        <f>+'Plan de Accion apoyo transversa'!AK77</f>
        <v xml:space="preserve"># Capacitaciones realizadas </v>
      </c>
      <c r="J295" s="283">
        <f>+'Plan de Accion apoyo transversa'!AT77</f>
        <v>0</v>
      </c>
      <c r="K295" s="615" t="str">
        <f>+'Plan de Accion apoyo transversa'!CE77</f>
        <v>No Prog ni Ejec</v>
      </c>
      <c r="L295" s="615" t="s">
        <v>206</v>
      </c>
      <c r="M295" s="615">
        <f>+'Plan de Accion apoyo transversa'!AX77</f>
        <v>0</v>
      </c>
      <c r="N295" s="615">
        <f t="shared" si="141"/>
        <v>0</v>
      </c>
      <c r="O295" s="617" t="s">
        <v>206</v>
      </c>
      <c r="P295" s="277"/>
      <c r="Q295" s="283">
        <f>+'Plan de Accion apoyo transversa'!BD77</f>
        <v>0</v>
      </c>
      <c r="R295" s="373">
        <f>+'Plan de Accion apoyo transversa'!CG77</f>
        <v>0</v>
      </c>
      <c r="S295" s="315">
        <f>IF(R295&gt;100%,100%,R295)</f>
        <v>0</v>
      </c>
      <c r="T295" s="373">
        <f>+'Plan de Accion apoyo transversa'!BH77</f>
        <v>0</v>
      </c>
      <c r="U295" s="373">
        <f t="shared" si="142"/>
        <v>0</v>
      </c>
      <c r="V295" s="275">
        <f>+U295</f>
        <v>0</v>
      </c>
      <c r="W295" s="278"/>
      <c r="X295" s="283">
        <f>+'Plan de Accion apoyo transversa'!BN77</f>
        <v>0</v>
      </c>
      <c r="Y295" s="373" t="str">
        <f>+'Plan de Accion apoyo transversa'!CI77</f>
        <v>No Prog ni Ejec</v>
      </c>
      <c r="Z295" s="276" t="s">
        <v>206</v>
      </c>
      <c r="AA295" s="282">
        <f>+'Plan de Accion apoyo transversa'!BR77</f>
        <v>0</v>
      </c>
      <c r="AB295" s="282">
        <f t="shared" si="143"/>
        <v>0</v>
      </c>
      <c r="AC295" s="281">
        <f t="shared" si="144"/>
        <v>0</v>
      </c>
      <c r="AD295" s="277"/>
      <c r="AE295" s="283">
        <f>+'Plan de Accion apoyo transversa'!BX77</f>
        <v>0</v>
      </c>
      <c r="AF295" s="373" t="str">
        <f>+'Plan de Accion apoyo transversa'!CK77</f>
        <v>No Prog ni Ejec</v>
      </c>
      <c r="AG295" s="276" t="s">
        <v>206</v>
      </c>
      <c r="AH295" s="373">
        <f>+'Plan de Accion apoyo transversa'!CB77</f>
        <v>0</v>
      </c>
      <c r="AI295" s="275">
        <f t="shared" si="145"/>
        <v>0</v>
      </c>
      <c r="AJ295" s="996"/>
      <c r="AL295" s="1012"/>
      <c r="AM295" s="998"/>
      <c r="AN295" s="267"/>
      <c r="AO295" s="1009"/>
      <c r="AP295" s="998"/>
      <c r="AQ295" s="267"/>
      <c r="AR295" s="998"/>
      <c r="AS295" s="998"/>
      <c r="AT295" s="267"/>
      <c r="AU295" s="998"/>
      <c r="AV295" s="998"/>
      <c r="AW295" s="265"/>
      <c r="AX295" s="1016"/>
      <c r="AZ295" s="1012"/>
      <c r="BA295" s="998"/>
      <c r="BB295" s="267"/>
      <c r="BC295" s="1009"/>
      <c r="BD295" s="998"/>
      <c r="BE295" s="267"/>
      <c r="BF295" s="998"/>
      <c r="BG295" s="998"/>
      <c r="BH295" s="267"/>
      <c r="BI295" s="998"/>
      <c r="BJ295" s="998"/>
      <c r="BK295" s="265"/>
      <c r="BL295" s="1016"/>
      <c r="BN295" s="1012"/>
      <c r="BO295" s="998"/>
      <c r="BP295" s="267"/>
      <c r="BQ295" s="1009"/>
      <c r="BR295" s="998"/>
      <c r="BS295" s="267"/>
      <c r="BT295" s="998"/>
      <c r="BU295" s="998"/>
      <c r="BV295" s="267"/>
      <c r="BW295" s="998"/>
      <c r="BX295" s="998"/>
      <c r="BY295" s="265"/>
      <c r="BZ295" s="1016"/>
      <c r="CB295" s="1012"/>
      <c r="CC295" s="998"/>
      <c r="CD295" s="267"/>
      <c r="CE295" s="1009"/>
      <c r="CF295" s="998"/>
      <c r="CG295" s="267"/>
      <c r="CH295" s="998"/>
      <c r="CI295" s="998"/>
      <c r="CJ295" s="267"/>
      <c r="CK295" s="998"/>
      <c r="CL295" s="998"/>
      <c r="CM295" s="265"/>
      <c r="CN295" s="1016"/>
    </row>
    <row r="296" spans="2:92" ht="22.5" customHeight="1" x14ac:dyDescent="0.2">
      <c r="B296" s="969"/>
      <c r="C296" s="973"/>
      <c r="D296" s="943"/>
      <c r="E296" s="956"/>
      <c r="F296" s="949"/>
      <c r="G296" s="378" t="str">
        <f>+'Plan de Accion apoyo transversa'!X78</f>
        <v>Capacitación de Finanzas, contabilidad básicas, Presupuesto Público, Gestión Presupuestal EICE realizada</v>
      </c>
      <c r="H296" s="289" t="str">
        <f>+'Plan de Accion apoyo transversa'!AK78</f>
        <v xml:space="preserve"># Capacitaciones realizadas </v>
      </c>
      <c r="J296" s="283">
        <f>+'Plan de Accion apoyo transversa'!AT78</f>
        <v>0</v>
      </c>
      <c r="K296" s="615" t="str">
        <f>+'Plan de Accion apoyo transversa'!CE78</f>
        <v>No Prog ni Ejec</v>
      </c>
      <c r="L296" s="615" t="s">
        <v>206</v>
      </c>
      <c r="M296" s="615">
        <f>+'Plan de Accion apoyo transversa'!AX78</f>
        <v>0</v>
      </c>
      <c r="N296" s="615">
        <f t="shared" si="141"/>
        <v>0</v>
      </c>
      <c r="O296" s="617" t="s">
        <v>206</v>
      </c>
      <c r="P296" s="277"/>
      <c r="Q296" s="283">
        <f>+'Plan de Accion apoyo transversa'!BD78</f>
        <v>0</v>
      </c>
      <c r="R296" s="373" t="str">
        <f>+'Plan de Accion apoyo transversa'!CG78</f>
        <v>No Prog ni Ejec</v>
      </c>
      <c r="S296" s="315" t="s">
        <v>206</v>
      </c>
      <c r="T296" s="373">
        <f>+'Plan de Accion apoyo transversa'!BH78</f>
        <v>0</v>
      </c>
      <c r="U296" s="373">
        <f t="shared" si="142"/>
        <v>0</v>
      </c>
      <c r="V296" s="275" t="s">
        <v>206</v>
      </c>
      <c r="W296" s="278"/>
      <c r="X296" s="283">
        <f>+'Plan de Accion apoyo transversa'!BN78</f>
        <v>0</v>
      </c>
      <c r="Y296" s="373">
        <f>+'Plan de Accion apoyo transversa'!CI78</f>
        <v>0</v>
      </c>
      <c r="Z296" s="276">
        <f>IF(Y296&gt;100%,100%,Y296)</f>
        <v>0</v>
      </c>
      <c r="AA296" s="282">
        <f>+'Plan de Accion apoyo transversa'!BR78</f>
        <v>0</v>
      </c>
      <c r="AB296" s="282">
        <f t="shared" si="143"/>
        <v>0</v>
      </c>
      <c r="AC296" s="281">
        <f t="shared" si="144"/>
        <v>0</v>
      </c>
      <c r="AD296" s="277"/>
      <c r="AE296" s="283">
        <f>+'Plan de Accion apoyo transversa'!BX78</f>
        <v>0</v>
      </c>
      <c r="AF296" s="373" t="str">
        <f>+'Plan de Accion apoyo transversa'!CK78</f>
        <v>No Prog ni Ejec</v>
      </c>
      <c r="AG296" s="276" t="s">
        <v>206</v>
      </c>
      <c r="AH296" s="373">
        <f>+'Plan de Accion apoyo transversa'!CB78</f>
        <v>0</v>
      </c>
      <c r="AI296" s="275">
        <f t="shared" si="145"/>
        <v>0</v>
      </c>
      <c r="AJ296" s="996"/>
      <c r="AL296" s="1012"/>
      <c r="AM296" s="998"/>
      <c r="AN296" s="267"/>
      <c r="AO296" s="1009"/>
      <c r="AP296" s="998"/>
      <c r="AQ296" s="267"/>
      <c r="AR296" s="998"/>
      <c r="AS296" s="998"/>
      <c r="AT296" s="267"/>
      <c r="AU296" s="998"/>
      <c r="AV296" s="998"/>
      <c r="AW296" s="265"/>
      <c r="AX296" s="1016"/>
      <c r="AZ296" s="1012"/>
      <c r="BA296" s="998"/>
      <c r="BB296" s="267"/>
      <c r="BC296" s="1009"/>
      <c r="BD296" s="998"/>
      <c r="BE296" s="267"/>
      <c r="BF296" s="998"/>
      <c r="BG296" s="998"/>
      <c r="BH296" s="267"/>
      <c r="BI296" s="998"/>
      <c r="BJ296" s="998"/>
      <c r="BK296" s="265"/>
      <c r="BL296" s="1016"/>
      <c r="BN296" s="1012"/>
      <c r="BO296" s="998"/>
      <c r="BP296" s="267"/>
      <c r="BQ296" s="1009"/>
      <c r="BR296" s="998"/>
      <c r="BS296" s="267"/>
      <c r="BT296" s="998"/>
      <c r="BU296" s="998"/>
      <c r="BV296" s="267"/>
      <c r="BW296" s="998"/>
      <c r="BX296" s="998"/>
      <c r="BY296" s="265"/>
      <c r="BZ296" s="1016"/>
      <c r="CB296" s="1012"/>
      <c r="CC296" s="998"/>
      <c r="CD296" s="267"/>
      <c r="CE296" s="1009"/>
      <c r="CF296" s="998"/>
      <c r="CG296" s="267"/>
      <c r="CH296" s="998"/>
      <c r="CI296" s="998"/>
      <c r="CJ296" s="267"/>
      <c r="CK296" s="998"/>
      <c r="CL296" s="998"/>
      <c r="CM296" s="265"/>
      <c r="CN296" s="1016"/>
    </row>
    <row r="297" spans="2:92" ht="22.5" customHeight="1" x14ac:dyDescent="0.2">
      <c r="B297" s="969"/>
      <c r="C297" s="973"/>
      <c r="D297" s="943"/>
      <c r="E297" s="956"/>
      <c r="F297" s="949"/>
      <c r="G297" s="378" t="str">
        <f>+'Plan de Accion apoyo transversa'!X79</f>
        <v>Capacitación de Estadística realizada</v>
      </c>
      <c r="H297" s="289" t="str">
        <f>+'Plan de Accion apoyo transversa'!AK79</f>
        <v xml:space="preserve"># Capacitaciones realizadas </v>
      </c>
      <c r="J297" s="283">
        <f>+'Plan de Accion apoyo transversa'!AT79</f>
        <v>0</v>
      </c>
      <c r="K297" s="615" t="str">
        <f>+'Plan de Accion apoyo transversa'!CE79</f>
        <v>No Prog ni Ejec</v>
      </c>
      <c r="L297" s="615" t="s">
        <v>206</v>
      </c>
      <c r="M297" s="615">
        <f>+'Plan de Accion apoyo transversa'!AX79</f>
        <v>0</v>
      </c>
      <c r="N297" s="615">
        <f t="shared" si="141"/>
        <v>0</v>
      </c>
      <c r="O297" s="617" t="s">
        <v>206</v>
      </c>
      <c r="P297" s="277"/>
      <c r="Q297" s="283">
        <f>+'Plan de Accion apoyo transversa'!BD79</f>
        <v>0</v>
      </c>
      <c r="R297" s="373" t="str">
        <f>+'Plan de Accion apoyo transversa'!CG79</f>
        <v>No Prog ni Ejec</v>
      </c>
      <c r="S297" s="315" t="s">
        <v>206</v>
      </c>
      <c r="T297" s="373">
        <f>+'Plan de Accion apoyo transversa'!BH79</f>
        <v>0</v>
      </c>
      <c r="U297" s="373">
        <f t="shared" si="142"/>
        <v>0</v>
      </c>
      <c r="V297" s="275" t="s">
        <v>206</v>
      </c>
      <c r="W297" s="278"/>
      <c r="X297" s="283">
        <f>+'Plan de Accion apoyo transversa'!BN79</f>
        <v>0</v>
      </c>
      <c r="Y297" s="373" t="str">
        <f>+'Plan de Accion apoyo transversa'!CI79</f>
        <v>No Prog ni Ejec</v>
      </c>
      <c r="Z297" s="276" t="s">
        <v>206</v>
      </c>
      <c r="AA297" s="282">
        <f>+'Plan de Accion apoyo transversa'!BR79</f>
        <v>0</v>
      </c>
      <c r="AB297" s="282">
        <f t="shared" si="143"/>
        <v>0</v>
      </c>
      <c r="AC297" s="281" t="s">
        <v>206</v>
      </c>
      <c r="AD297" s="277"/>
      <c r="AE297" s="283">
        <f>+'Plan de Accion apoyo transversa'!BX79</f>
        <v>0</v>
      </c>
      <c r="AF297" s="373">
        <f>+'Plan de Accion apoyo transversa'!CK79</f>
        <v>0</v>
      </c>
      <c r="AG297" s="276">
        <f>IF(AF297&gt;100%,100%,AF297)</f>
        <v>0</v>
      </c>
      <c r="AH297" s="373">
        <f>+'Plan de Accion apoyo transversa'!CB79</f>
        <v>0</v>
      </c>
      <c r="AI297" s="275">
        <f t="shared" si="145"/>
        <v>0</v>
      </c>
      <c r="AJ297" s="996"/>
      <c r="AL297" s="1012"/>
      <c r="AM297" s="998"/>
      <c r="AN297" s="267"/>
      <c r="AO297" s="1009"/>
      <c r="AP297" s="998"/>
      <c r="AQ297" s="267"/>
      <c r="AR297" s="998"/>
      <c r="AS297" s="998"/>
      <c r="AT297" s="267"/>
      <c r="AU297" s="998"/>
      <c r="AV297" s="998"/>
      <c r="AW297" s="265"/>
      <c r="AX297" s="1016"/>
      <c r="AZ297" s="1012"/>
      <c r="BA297" s="998"/>
      <c r="BB297" s="267"/>
      <c r="BC297" s="1009"/>
      <c r="BD297" s="998"/>
      <c r="BE297" s="267"/>
      <c r="BF297" s="998"/>
      <c r="BG297" s="998"/>
      <c r="BH297" s="267"/>
      <c r="BI297" s="998"/>
      <c r="BJ297" s="998"/>
      <c r="BK297" s="265"/>
      <c r="BL297" s="1016"/>
      <c r="BN297" s="1012"/>
      <c r="BO297" s="998"/>
      <c r="BP297" s="267"/>
      <c r="BQ297" s="1009"/>
      <c r="BR297" s="998"/>
      <c r="BS297" s="267"/>
      <c r="BT297" s="998"/>
      <c r="BU297" s="998"/>
      <c r="BV297" s="267"/>
      <c r="BW297" s="998"/>
      <c r="BX297" s="998"/>
      <c r="BY297" s="265"/>
      <c r="BZ297" s="1016"/>
      <c r="CB297" s="1012"/>
      <c r="CC297" s="998"/>
      <c r="CD297" s="267"/>
      <c r="CE297" s="1009"/>
      <c r="CF297" s="998"/>
      <c r="CG297" s="267"/>
      <c r="CH297" s="998"/>
      <c r="CI297" s="998"/>
      <c r="CJ297" s="267"/>
      <c r="CK297" s="998"/>
      <c r="CL297" s="998"/>
      <c r="CM297" s="265"/>
      <c r="CN297" s="1016"/>
    </row>
    <row r="298" spans="2:92" ht="22.5" customHeight="1" x14ac:dyDescent="0.2">
      <c r="B298" s="969"/>
      <c r="C298" s="973"/>
      <c r="D298" s="943"/>
      <c r="E298" s="956"/>
      <c r="F298" s="949"/>
      <c r="G298" s="378" t="str">
        <f>+'Plan de Accion apoyo transversa'!X80</f>
        <v>Capacitación de Contratación estatal realizada</v>
      </c>
      <c r="H298" s="289" t="str">
        <f>+'Plan de Accion apoyo transversa'!AK80</f>
        <v xml:space="preserve"># Capacitaciones realizadas </v>
      </c>
      <c r="J298" s="283">
        <f>+'Plan de Accion apoyo transversa'!AT80</f>
        <v>0</v>
      </c>
      <c r="K298" s="615" t="str">
        <f>+'Plan de Accion apoyo transversa'!CE80</f>
        <v>No Prog ni Ejec</v>
      </c>
      <c r="L298" s="615" t="s">
        <v>206</v>
      </c>
      <c r="M298" s="615">
        <f>+'Plan de Accion apoyo transversa'!AX80</f>
        <v>0</v>
      </c>
      <c r="N298" s="615">
        <f t="shared" si="141"/>
        <v>0</v>
      </c>
      <c r="O298" s="617" t="s">
        <v>206</v>
      </c>
      <c r="P298" s="277"/>
      <c r="Q298" s="283">
        <f>+'Plan de Accion apoyo transversa'!BD80</f>
        <v>0</v>
      </c>
      <c r="R298" s="373" t="str">
        <f>+'Plan de Accion apoyo transversa'!CG80</f>
        <v>No Prog ni Ejec</v>
      </c>
      <c r="S298" s="315" t="s">
        <v>206</v>
      </c>
      <c r="T298" s="373">
        <f>+'Plan de Accion apoyo transversa'!BH80</f>
        <v>0</v>
      </c>
      <c r="U298" s="373">
        <f t="shared" si="142"/>
        <v>0</v>
      </c>
      <c r="V298" s="275" t="s">
        <v>206</v>
      </c>
      <c r="W298" s="278"/>
      <c r="X298" s="283">
        <f>+'Plan de Accion apoyo transversa'!BN80</f>
        <v>0</v>
      </c>
      <c r="Y298" s="373">
        <f>+'Plan de Accion apoyo transversa'!CI80</f>
        <v>0</v>
      </c>
      <c r="Z298" s="276">
        <f>IF(Y298&gt;100%,100%,Y298)</f>
        <v>0</v>
      </c>
      <c r="AA298" s="282">
        <f>+'Plan de Accion apoyo transversa'!BR80</f>
        <v>0</v>
      </c>
      <c r="AB298" s="282">
        <f t="shared" si="143"/>
        <v>0</v>
      </c>
      <c r="AC298" s="281">
        <f t="shared" si="144"/>
        <v>0</v>
      </c>
      <c r="AD298" s="277"/>
      <c r="AE298" s="283">
        <f>+'Plan de Accion apoyo transversa'!BX80</f>
        <v>0</v>
      </c>
      <c r="AF298" s="373" t="str">
        <f>+'Plan de Accion apoyo transversa'!CK80</f>
        <v>No Prog ni Ejec</v>
      </c>
      <c r="AG298" s="276" t="s">
        <v>206</v>
      </c>
      <c r="AH298" s="373">
        <f>+'Plan de Accion apoyo transversa'!CB80</f>
        <v>0</v>
      </c>
      <c r="AI298" s="275">
        <f t="shared" si="145"/>
        <v>0</v>
      </c>
      <c r="AJ298" s="996"/>
      <c r="AL298" s="1012"/>
      <c r="AM298" s="998"/>
      <c r="AN298" s="267"/>
      <c r="AO298" s="1009"/>
      <c r="AP298" s="998"/>
      <c r="AQ298" s="267"/>
      <c r="AR298" s="998"/>
      <c r="AS298" s="998"/>
      <c r="AT298" s="267"/>
      <c r="AU298" s="998"/>
      <c r="AV298" s="998"/>
      <c r="AW298" s="265"/>
      <c r="AX298" s="1016"/>
      <c r="AZ298" s="1012"/>
      <c r="BA298" s="998"/>
      <c r="BB298" s="267"/>
      <c r="BC298" s="1009"/>
      <c r="BD298" s="998"/>
      <c r="BE298" s="267"/>
      <c r="BF298" s="998"/>
      <c r="BG298" s="998"/>
      <c r="BH298" s="267"/>
      <c r="BI298" s="998"/>
      <c r="BJ298" s="998"/>
      <c r="BK298" s="265"/>
      <c r="BL298" s="1016"/>
      <c r="BN298" s="1012"/>
      <c r="BO298" s="998"/>
      <c r="BP298" s="267"/>
      <c r="BQ298" s="1009"/>
      <c r="BR298" s="998"/>
      <c r="BS298" s="267"/>
      <c r="BT298" s="998"/>
      <c r="BU298" s="998"/>
      <c r="BV298" s="267"/>
      <c r="BW298" s="998"/>
      <c r="BX298" s="998"/>
      <c r="BY298" s="265"/>
      <c r="BZ298" s="1016"/>
      <c r="CB298" s="1012"/>
      <c r="CC298" s="998"/>
      <c r="CD298" s="267"/>
      <c r="CE298" s="1009"/>
      <c r="CF298" s="998"/>
      <c r="CG298" s="267"/>
      <c r="CH298" s="998"/>
      <c r="CI298" s="998"/>
      <c r="CJ298" s="267"/>
      <c r="CK298" s="998"/>
      <c r="CL298" s="998"/>
      <c r="CM298" s="265"/>
      <c r="CN298" s="1016"/>
    </row>
    <row r="299" spans="2:92" ht="22.5" customHeight="1" x14ac:dyDescent="0.2">
      <c r="B299" s="969"/>
      <c r="C299" s="973"/>
      <c r="D299" s="943"/>
      <c r="E299" s="956"/>
      <c r="F299" s="949"/>
      <c r="G299" s="378" t="str">
        <f>+'Plan de Accion apoyo transversa'!X81</f>
        <v>Capacitación de Salud publica realizada</v>
      </c>
      <c r="H299" s="289" t="str">
        <f>+'Plan de Accion apoyo transversa'!AK81</f>
        <v xml:space="preserve"># Capacitaciones realizadas </v>
      </c>
      <c r="J299" s="283">
        <f>+'Plan de Accion apoyo transversa'!AT81</f>
        <v>0</v>
      </c>
      <c r="K299" s="615" t="str">
        <f>+'Plan de Accion apoyo transversa'!CE81</f>
        <v>No Prog ni Ejec</v>
      </c>
      <c r="L299" s="615" t="s">
        <v>206</v>
      </c>
      <c r="M299" s="615">
        <f>+'Plan de Accion apoyo transversa'!AX81</f>
        <v>0</v>
      </c>
      <c r="N299" s="615">
        <f t="shared" si="141"/>
        <v>0</v>
      </c>
      <c r="O299" s="617" t="s">
        <v>206</v>
      </c>
      <c r="P299" s="277"/>
      <c r="Q299" s="283">
        <f>+'Plan de Accion apoyo transversa'!BD81</f>
        <v>0</v>
      </c>
      <c r="R299" s="373" t="str">
        <f>+'Plan de Accion apoyo transversa'!CG81</f>
        <v>No Prog ni Ejec</v>
      </c>
      <c r="S299" s="315" t="s">
        <v>206</v>
      </c>
      <c r="T299" s="373">
        <f>+'Plan de Accion apoyo transversa'!BH81</f>
        <v>0</v>
      </c>
      <c r="U299" s="373">
        <f t="shared" si="142"/>
        <v>0</v>
      </c>
      <c r="V299" s="275" t="s">
        <v>206</v>
      </c>
      <c r="W299" s="278"/>
      <c r="X299" s="283">
        <f>+'Plan de Accion apoyo transversa'!BN81</f>
        <v>0</v>
      </c>
      <c r="Y299" s="373" t="str">
        <f>+'Plan de Accion apoyo transversa'!CI81</f>
        <v>No Prog ni Ejec</v>
      </c>
      <c r="Z299" s="276" t="s">
        <v>206</v>
      </c>
      <c r="AA299" s="282">
        <f>+'Plan de Accion apoyo transversa'!BR81</f>
        <v>0</v>
      </c>
      <c r="AB299" s="282">
        <f t="shared" si="143"/>
        <v>0</v>
      </c>
      <c r="AC299" s="281" t="s">
        <v>206</v>
      </c>
      <c r="AD299" s="277"/>
      <c r="AE299" s="283">
        <f>+'Plan de Accion apoyo transversa'!BX81</f>
        <v>0</v>
      </c>
      <c r="AF299" s="373">
        <f>+'Plan de Accion apoyo transversa'!CK81</f>
        <v>0</v>
      </c>
      <c r="AG299" s="276">
        <f>IF(AF299&gt;100%,100%,AF299)</f>
        <v>0</v>
      </c>
      <c r="AH299" s="373">
        <f>+'Plan de Accion apoyo transversa'!CB81</f>
        <v>0</v>
      </c>
      <c r="AI299" s="275">
        <f t="shared" si="145"/>
        <v>0</v>
      </c>
      <c r="AJ299" s="996"/>
      <c r="AL299" s="1012"/>
      <c r="AM299" s="998"/>
      <c r="AN299" s="267"/>
      <c r="AO299" s="1009"/>
      <c r="AP299" s="998"/>
      <c r="AQ299" s="267"/>
      <c r="AR299" s="998"/>
      <c r="AS299" s="998"/>
      <c r="AT299" s="267"/>
      <c r="AU299" s="998"/>
      <c r="AV299" s="998"/>
      <c r="AW299" s="265"/>
      <c r="AX299" s="1016"/>
      <c r="AZ299" s="1012"/>
      <c r="BA299" s="998"/>
      <c r="BB299" s="267"/>
      <c r="BC299" s="1009"/>
      <c r="BD299" s="998"/>
      <c r="BE299" s="267"/>
      <c r="BF299" s="998"/>
      <c r="BG299" s="998"/>
      <c r="BH299" s="267"/>
      <c r="BI299" s="998"/>
      <c r="BJ299" s="998"/>
      <c r="BK299" s="265"/>
      <c r="BL299" s="1016"/>
      <c r="BN299" s="1012"/>
      <c r="BO299" s="998"/>
      <c r="BP299" s="267"/>
      <c r="BQ299" s="1009"/>
      <c r="BR299" s="998"/>
      <c r="BS299" s="267"/>
      <c r="BT299" s="998"/>
      <c r="BU299" s="998"/>
      <c r="BV299" s="267"/>
      <c r="BW299" s="998"/>
      <c r="BX299" s="998"/>
      <c r="BY299" s="265"/>
      <c r="BZ299" s="1016"/>
      <c r="CB299" s="1012"/>
      <c r="CC299" s="998"/>
      <c r="CD299" s="267"/>
      <c r="CE299" s="1009"/>
      <c r="CF299" s="998"/>
      <c r="CG299" s="267"/>
      <c r="CH299" s="998"/>
      <c r="CI299" s="998"/>
      <c r="CJ299" s="267"/>
      <c r="CK299" s="998"/>
      <c r="CL299" s="998"/>
      <c r="CM299" s="265"/>
      <c r="CN299" s="1016"/>
    </row>
    <row r="300" spans="2:92" ht="22.5" customHeight="1" x14ac:dyDescent="0.2">
      <c r="B300" s="969"/>
      <c r="C300" s="973"/>
      <c r="D300" s="943"/>
      <c r="E300" s="956"/>
      <c r="F300" s="949"/>
      <c r="G300" s="378" t="str">
        <f>+'Plan de Accion apoyo transversa'!X82</f>
        <v>Capacitación de Trabajo en equipo, comunicación asertiva realizada.</v>
      </c>
      <c r="H300" s="289" t="str">
        <f>+'Plan de Accion apoyo transversa'!AK82</f>
        <v xml:space="preserve"># Capacitaciones realizadas </v>
      </c>
      <c r="J300" s="283">
        <f>+'Plan de Accion apoyo transversa'!AT82</f>
        <v>0</v>
      </c>
      <c r="K300" s="615" t="str">
        <f>+'Plan de Accion apoyo transversa'!CE82</f>
        <v>No Prog ni Ejec</v>
      </c>
      <c r="L300" s="615" t="s">
        <v>206</v>
      </c>
      <c r="M300" s="615">
        <f>+'Plan de Accion apoyo transversa'!AX82</f>
        <v>0</v>
      </c>
      <c r="N300" s="615">
        <f t="shared" si="141"/>
        <v>0</v>
      </c>
      <c r="O300" s="617" t="s">
        <v>206</v>
      </c>
      <c r="P300" s="277"/>
      <c r="Q300" s="283">
        <f>+'Plan de Accion apoyo transversa'!BD82</f>
        <v>0</v>
      </c>
      <c r="R300" s="373">
        <f>+'Plan de Accion apoyo transversa'!CG82</f>
        <v>0</v>
      </c>
      <c r="S300" s="315">
        <f>IF(R300&gt;100%,100%,R300)</f>
        <v>0</v>
      </c>
      <c r="T300" s="373">
        <f>+'Plan de Accion apoyo transversa'!BH82</f>
        <v>0</v>
      </c>
      <c r="U300" s="373">
        <f t="shared" si="142"/>
        <v>0</v>
      </c>
      <c r="V300" s="275">
        <f>+U300</f>
        <v>0</v>
      </c>
      <c r="W300" s="278"/>
      <c r="X300" s="283">
        <f>+'Plan de Accion apoyo transversa'!BN82</f>
        <v>0</v>
      </c>
      <c r="Y300" s="373" t="str">
        <f>+'Plan de Accion apoyo transversa'!CI82</f>
        <v>No Prog ni Ejec</v>
      </c>
      <c r="Z300" s="276" t="s">
        <v>206</v>
      </c>
      <c r="AA300" s="282">
        <f>+'Plan de Accion apoyo transversa'!BR82</f>
        <v>0</v>
      </c>
      <c r="AB300" s="282">
        <f t="shared" si="143"/>
        <v>0</v>
      </c>
      <c r="AC300" s="281">
        <f t="shared" si="144"/>
        <v>0</v>
      </c>
      <c r="AD300" s="277"/>
      <c r="AE300" s="283">
        <f>+'Plan de Accion apoyo transversa'!BX82</f>
        <v>0</v>
      </c>
      <c r="AF300" s="373" t="str">
        <f>+'Plan de Accion apoyo transversa'!CK82</f>
        <v>No Prog ni Ejec</v>
      </c>
      <c r="AG300" s="276" t="s">
        <v>206</v>
      </c>
      <c r="AH300" s="373">
        <f>+'Plan de Accion apoyo transversa'!CB82</f>
        <v>0</v>
      </c>
      <c r="AI300" s="275">
        <f t="shared" si="145"/>
        <v>0</v>
      </c>
      <c r="AJ300" s="996"/>
      <c r="AL300" s="1012"/>
      <c r="AM300" s="998"/>
      <c r="AN300" s="267"/>
      <c r="AO300" s="1009"/>
      <c r="AP300" s="998"/>
      <c r="AQ300" s="267"/>
      <c r="AR300" s="998"/>
      <c r="AS300" s="998"/>
      <c r="AT300" s="267"/>
      <c r="AU300" s="998"/>
      <c r="AV300" s="998"/>
      <c r="AW300" s="265"/>
      <c r="AX300" s="1016"/>
      <c r="AZ300" s="1012"/>
      <c r="BA300" s="998"/>
      <c r="BB300" s="267"/>
      <c r="BC300" s="1009"/>
      <c r="BD300" s="998"/>
      <c r="BE300" s="267"/>
      <c r="BF300" s="998"/>
      <c r="BG300" s="998"/>
      <c r="BH300" s="267"/>
      <c r="BI300" s="998"/>
      <c r="BJ300" s="998"/>
      <c r="BK300" s="265"/>
      <c r="BL300" s="1016"/>
      <c r="BN300" s="1012"/>
      <c r="BO300" s="998"/>
      <c r="BP300" s="267"/>
      <c r="BQ300" s="1009"/>
      <c r="BR300" s="998"/>
      <c r="BS300" s="267"/>
      <c r="BT300" s="998"/>
      <c r="BU300" s="998"/>
      <c r="BV300" s="267"/>
      <c r="BW300" s="998"/>
      <c r="BX300" s="998"/>
      <c r="BY300" s="265"/>
      <c r="BZ300" s="1016"/>
      <c r="CB300" s="1012"/>
      <c r="CC300" s="998"/>
      <c r="CD300" s="267"/>
      <c r="CE300" s="1009"/>
      <c r="CF300" s="998"/>
      <c r="CG300" s="267"/>
      <c r="CH300" s="998"/>
      <c r="CI300" s="998"/>
      <c r="CJ300" s="267"/>
      <c r="CK300" s="998"/>
      <c r="CL300" s="998"/>
      <c r="CM300" s="265"/>
      <c r="CN300" s="1016"/>
    </row>
    <row r="301" spans="2:92" ht="22.5" customHeight="1" x14ac:dyDescent="0.2">
      <c r="B301" s="969"/>
      <c r="C301" s="973"/>
      <c r="D301" s="943"/>
      <c r="E301" s="956"/>
      <c r="F301" s="949"/>
      <c r="G301" s="378" t="str">
        <f>+'Plan de Accion apoyo transversa'!X83</f>
        <v>Capacitación de Redacción realizada</v>
      </c>
      <c r="H301" s="289" t="str">
        <f>+'Plan de Accion apoyo transversa'!AK83</f>
        <v xml:space="preserve"># Capacitaciones realizadas </v>
      </c>
      <c r="J301" s="283">
        <f>+'Plan de Accion apoyo transversa'!AT83</f>
        <v>0</v>
      </c>
      <c r="K301" s="615" t="str">
        <f>+'Plan de Accion apoyo transversa'!CE83</f>
        <v>No Prog ni Ejec</v>
      </c>
      <c r="L301" s="615" t="s">
        <v>206</v>
      </c>
      <c r="M301" s="615">
        <f>+'Plan de Accion apoyo transversa'!AX83</f>
        <v>0</v>
      </c>
      <c r="N301" s="615">
        <f t="shared" si="141"/>
        <v>0</v>
      </c>
      <c r="O301" s="617" t="s">
        <v>206</v>
      </c>
      <c r="P301" s="277"/>
      <c r="Q301" s="283">
        <f>+'Plan de Accion apoyo transversa'!BD83</f>
        <v>0</v>
      </c>
      <c r="R301" s="373">
        <f>+'Plan de Accion apoyo transversa'!CG83</f>
        <v>0</v>
      </c>
      <c r="S301" s="315">
        <f>IF(R301&gt;100%,100%,R301)</f>
        <v>0</v>
      </c>
      <c r="T301" s="373">
        <f>+'Plan de Accion apoyo transversa'!BH83</f>
        <v>0</v>
      </c>
      <c r="U301" s="373">
        <f t="shared" si="142"/>
        <v>0</v>
      </c>
      <c r="V301" s="275">
        <f>+U301</f>
        <v>0</v>
      </c>
      <c r="W301" s="278"/>
      <c r="X301" s="283">
        <f>+'Plan de Accion apoyo transversa'!BN83</f>
        <v>0</v>
      </c>
      <c r="Y301" s="373" t="str">
        <f>+'Plan de Accion apoyo transversa'!CI83</f>
        <v>No Prog ni Ejec</v>
      </c>
      <c r="Z301" s="276" t="s">
        <v>206</v>
      </c>
      <c r="AA301" s="282">
        <f>+'Plan de Accion apoyo transversa'!BR83</f>
        <v>0</v>
      </c>
      <c r="AB301" s="282">
        <f t="shared" si="143"/>
        <v>0</v>
      </c>
      <c r="AC301" s="281">
        <f t="shared" si="144"/>
        <v>0</v>
      </c>
      <c r="AD301" s="277"/>
      <c r="AE301" s="283">
        <f>+'Plan de Accion apoyo transversa'!BX83</f>
        <v>0</v>
      </c>
      <c r="AF301" s="373" t="str">
        <f>+'Plan de Accion apoyo transversa'!CK83</f>
        <v>No Prog ni Ejec</v>
      </c>
      <c r="AG301" s="276" t="s">
        <v>206</v>
      </c>
      <c r="AH301" s="373">
        <f>+'Plan de Accion apoyo transversa'!CB83</f>
        <v>0</v>
      </c>
      <c r="AI301" s="275">
        <f t="shared" si="145"/>
        <v>0</v>
      </c>
      <c r="AJ301" s="996"/>
      <c r="AL301" s="1012"/>
      <c r="AM301" s="998"/>
      <c r="AN301" s="267"/>
      <c r="AO301" s="1009"/>
      <c r="AP301" s="998"/>
      <c r="AQ301" s="267"/>
      <c r="AR301" s="998"/>
      <c r="AS301" s="998"/>
      <c r="AT301" s="267"/>
      <c r="AU301" s="998"/>
      <c r="AV301" s="998"/>
      <c r="AW301" s="265"/>
      <c r="AX301" s="1016"/>
      <c r="AZ301" s="1012"/>
      <c r="BA301" s="998"/>
      <c r="BB301" s="267"/>
      <c r="BC301" s="1009"/>
      <c r="BD301" s="998"/>
      <c r="BE301" s="267"/>
      <c r="BF301" s="998"/>
      <c r="BG301" s="998"/>
      <c r="BH301" s="267"/>
      <c r="BI301" s="998"/>
      <c r="BJ301" s="998"/>
      <c r="BK301" s="265"/>
      <c r="BL301" s="1016"/>
      <c r="BN301" s="1012"/>
      <c r="BO301" s="998"/>
      <c r="BP301" s="267"/>
      <c r="BQ301" s="1009"/>
      <c r="BR301" s="998"/>
      <c r="BS301" s="267"/>
      <c r="BT301" s="998"/>
      <c r="BU301" s="998"/>
      <c r="BV301" s="267"/>
      <c r="BW301" s="998"/>
      <c r="BX301" s="998"/>
      <c r="BY301" s="265"/>
      <c r="BZ301" s="1016"/>
      <c r="CB301" s="1012"/>
      <c r="CC301" s="998"/>
      <c r="CD301" s="267"/>
      <c r="CE301" s="1009"/>
      <c r="CF301" s="998"/>
      <c r="CG301" s="267"/>
      <c r="CH301" s="998"/>
      <c r="CI301" s="998"/>
      <c r="CJ301" s="267"/>
      <c r="CK301" s="998"/>
      <c r="CL301" s="998"/>
      <c r="CM301" s="265"/>
      <c r="CN301" s="1016"/>
    </row>
    <row r="302" spans="2:92" ht="22.5" customHeight="1" x14ac:dyDescent="0.2">
      <c r="B302" s="969"/>
      <c r="C302" s="973"/>
      <c r="D302" s="943"/>
      <c r="E302" s="956"/>
      <c r="F302" s="949"/>
      <c r="G302" s="378" t="str">
        <f>+'Plan de Accion apoyo transversa'!X84</f>
        <v>Capacitación de Código de Integridad realizada</v>
      </c>
      <c r="H302" s="289" t="str">
        <f>+'Plan de Accion apoyo transversa'!AK84</f>
        <v xml:space="preserve"># Capacitaciones realizadas </v>
      </c>
      <c r="J302" s="283">
        <f>+'Plan de Accion apoyo transversa'!AT84</f>
        <v>0</v>
      </c>
      <c r="K302" s="615" t="str">
        <f>+'Plan de Accion apoyo transversa'!CE84</f>
        <v>No Prog ni Ejec</v>
      </c>
      <c r="L302" s="615" t="s">
        <v>206</v>
      </c>
      <c r="M302" s="615">
        <f>+'Plan de Accion apoyo transversa'!AX84</f>
        <v>0</v>
      </c>
      <c r="N302" s="615">
        <f t="shared" si="141"/>
        <v>0</v>
      </c>
      <c r="O302" s="617" t="s">
        <v>206</v>
      </c>
      <c r="P302" s="277"/>
      <c r="Q302" s="283">
        <f>+'Plan de Accion apoyo transversa'!BD84</f>
        <v>0</v>
      </c>
      <c r="R302" s="373">
        <f>+'Plan de Accion apoyo transversa'!CG84</f>
        <v>0</v>
      </c>
      <c r="S302" s="315">
        <f>IF(R302&gt;100%,100%,R302)</f>
        <v>0</v>
      </c>
      <c r="T302" s="373">
        <f>+'Plan de Accion apoyo transversa'!BH84</f>
        <v>0</v>
      </c>
      <c r="U302" s="373">
        <f t="shared" si="142"/>
        <v>0</v>
      </c>
      <c r="V302" s="275">
        <f>+U302</f>
        <v>0</v>
      </c>
      <c r="W302" s="278"/>
      <c r="X302" s="283">
        <f>+'Plan de Accion apoyo transversa'!BN84</f>
        <v>0</v>
      </c>
      <c r="Y302" s="373" t="str">
        <f>+'Plan de Accion apoyo transversa'!CI84</f>
        <v>No Prog ni Ejec</v>
      </c>
      <c r="Z302" s="276" t="s">
        <v>206</v>
      </c>
      <c r="AA302" s="282">
        <f>+'Plan de Accion apoyo transversa'!BR84</f>
        <v>0</v>
      </c>
      <c r="AB302" s="282">
        <f t="shared" si="143"/>
        <v>0</v>
      </c>
      <c r="AC302" s="281">
        <f t="shared" si="144"/>
        <v>0</v>
      </c>
      <c r="AD302" s="277"/>
      <c r="AE302" s="283">
        <f>+'Plan de Accion apoyo transversa'!BX84</f>
        <v>0</v>
      </c>
      <c r="AF302" s="373" t="str">
        <f>+'Plan de Accion apoyo transversa'!CK84</f>
        <v>No Prog ni Ejec</v>
      </c>
      <c r="AG302" s="276" t="s">
        <v>206</v>
      </c>
      <c r="AH302" s="373">
        <f>+'Plan de Accion apoyo transversa'!CB84</f>
        <v>0</v>
      </c>
      <c r="AI302" s="275">
        <f t="shared" si="145"/>
        <v>0</v>
      </c>
      <c r="AJ302" s="996"/>
      <c r="AL302" s="1012"/>
      <c r="AM302" s="998"/>
      <c r="AN302" s="267"/>
      <c r="AO302" s="1009"/>
      <c r="AP302" s="998"/>
      <c r="AQ302" s="267"/>
      <c r="AR302" s="998"/>
      <c r="AS302" s="998"/>
      <c r="AT302" s="267"/>
      <c r="AU302" s="998"/>
      <c r="AV302" s="998"/>
      <c r="AW302" s="265"/>
      <c r="AX302" s="1016"/>
      <c r="AZ302" s="1012"/>
      <c r="BA302" s="998"/>
      <c r="BB302" s="267"/>
      <c r="BC302" s="1009"/>
      <c r="BD302" s="998"/>
      <c r="BE302" s="267"/>
      <c r="BF302" s="998"/>
      <c r="BG302" s="998"/>
      <c r="BH302" s="267"/>
      <c r="BI302" s="998"/>
      <c r="BJ302" s="998"/>
      <c r="BK302" s="265"/>
      <c r="BL302" s="1016"/>
      <c r="BN302" s="1012"/>
      <c r="BO302" s="998"/>
      <c r="BP302" s="267"/>
      <c r="BQ302" s="1009"/>
      <c r="BR302" s="998"/>
      <c r="BS302" s="267"/>
      <c r="BT302" s="998"/>
      <c r="BU302" s="998"/>
      <c r="BV302" s="267"/>
      <c r="BW302" s="998"/>
      <c r="BX302" s="998"/>
      <c r="BY302" s="265"/>
      <c r="BZ302" s="1016"/>
      <c r="CB302" s="1012"/>
      <c r="CC302" s="998"/>
      <c r="CD302" s="267"/>
      <c r="CE302" s="1009"/>
      <c r="CF302" s="998"/>
      <c r="CG302" s="267"/>
      <c r="CH302" s="998"/>
      <c r="CI302" s="998"/>
      <c r="CJ302" s="267"/>
      <c r="CK302" s="998"/>
      <c r="CL302" s="998"/>
      <c r="CM302" s="265"/>
      <c r="CN302" s="1016"/>
    </row>
    <row r="303" spans="2:92" ht="22.5" customHeight="1" x14ac:dyDescent="0.2">
      <c r="B303" s="969"/>
      <c r="C303" s="973"/>
      <c r="D303" s="943"/>
      <c r="E303" s="956"/>
      <c r="F303" s="949"/>
      <c r="G303" s="378" t="str">
        <f>+'Plan de Accion apoyo transversa'!X85</f>
        <v>Capacitación de Sostenibilidad ambiental realizada.</v>
      </c>
      <c r="H303" s="289" t="str">
        <f>+'Plan de Accion apoyo transversa'!AK85</f>
        <v xml:space="preserve"># Capacitaciones realizadas </v>
      </c>
      <c r="J303" s="283">
        <f>+'Plan de Accion apoyo transversa'!AT85</f>
        <v>0</v>
      </c>
      <c r="K303" s="615" t="str">
        <f>+'Plan de Accion apoyo transversa'!CE85</f>
        <v>No Prog ni Ejec</v>
      </c>
      <c r="L303" s="615" t="s">
        <v>206</v>
      </c>
      <c r="M303" s="615">
        <f>+'Plan de Accion apoyo transversa'!AX85</f>
        <v>0</v>
      </c>
      <c r="N303" s="615">
        <f t="shared" si="141"/>
        <v>0</v>
      </c>
      <c r="O303" s="617" t="s">
        <v>206</v>
      </c>
      <c r="P303" s="277"/>
      <c r="Q303" s="283">
        <f>+'Plan de Accion apoyo transversa'!BD85</f>
        <v>0</v>
      </c>
      <c r="R303" s="373" t="str">
        <f>+'Plan de Accion apoyo transversa'!CG85</f>
        <v>No Prog ni Ejec</v>
      </c>
      <c r="S303" s="315" t="s">
        <v>206</v>
      </c>
      <c r="T303" s="373">
        <f>+'Plan de Accion apoyo transversa'!BH85</f>
        <v>0</v>
      </c>
      <c r="U303" s="373">
        <f t="shared" si="142"/>
        <v>0</v>
      </c>
      <c r="V303" s="275" t="s">
        <v>206</v>
      </c>
      <c r="W303" s="278"/>
      <c r="X303" s="283">
        <f>+'Plan de Accion apoyo transversa'!BN85</f>
        <v>0</v>
      </c>
      <c r="Y303" s="373">
        <f>+'Plan de Accion apoyo transversa'!CI85</f>
        <v>0</v>
      </c>
      <c r="Z303" s="276">
        <f>IF(Y303&gt;100%,100%,Y303)</f>
        <v>0</v>
      </c>
      <c r="AA303" s="282">
        <f>+'Plan de Accion apoyo transversa'!BR85</f>
        <v>0</v>
      </c>
      <c r="AB303" s="282">
        <f t="shared" si="143"/>
        <v>0</v>
      </c>
      <c r="AC303" s="281">
        <f t="shared" si="144"/>
        <v>0</v>
      </c>
      <c r="AD303" s="277"/>
      <c r="AE303" s="283">
        <f>+'Plan de Accion apoyo transversa'!BX85</f>
        <v>0</v>
      </c>
      <c r="AF303" s="373" t="str">
        <f>+'Plan de Accion apoyo transversa'!CK85</f>
        <v>No Prog ni Ejec</v>
      </c>
      <c r="AG303" s="276" t="s">
        <v>206</v>
      </c>
      <c r="AH303" s="373">
        <f>+'Plan de Accion apoyo transversa'!CB85</f>
        <v>0</v>
      </c>
      <c r="AI303" s="275">
        <f t="shared" si="145"/>
        <v>0</v>
      </c>
      <c r="AJ303" s="996"/>
      <c r="AL303" s="1012"/>
      <c r="AM303" s="998"/>
      <c r="AN303" s="267"/>
      <c r="AO303" s="1009"/>
      <c r="AP303" s="998"/>
      <c r="AQ303" s="267"/>
      <c r="AR303" s="998"/>
      <c r="AS303" s="998"/>
      <c r="AT303" s="267"/>
      <c r="AU303" s="998"/>
      <c r="AV303" s="998"/>
      <c r="AW303" s="265"/>
      <c r="AX303" s="1016"/>
      <c r="AZ303" s="1012"/>
      <c r="BA303" s="998"/>
      <c r="BB303" s="267"/>
      <c r="BC303" s="1009"/>
      <c r="BD303" s="998"/>
      <c r="BE303" s="267"/>
      <c r="BF303" s="998"/>
      <c r="BG303" s="998"/>
      <c r="BH303" s="267"/>
      <c r="BI303" s="998"/>
      <c r="BJ303" s="998"/>
      <c r="BK303" s="265"/>
      <c r="BL303" s="1016"/>
      <c r="BN303" s="1012"/>
      <c r="BO303" s="998"/>
      <c r="BP303" s="267"/>
      <c r="BQ303" s="1009"/>
      <c r="BR303" s="998"/>
      <c r="BS303" s="267"/>
      <c r="BT303" s="998"/>
      <c r="BU303" s="998"/>
      <c r="BV303" s="267"/>
      <c r="BW303" s="998"/>
      <c r="BX303" s="998"/>
      <c r="BY303" s="265"/>
      <c r="BZ303" s="1016"/>
      <c r="CB303" s="1012"/>
      <c r="CC303" s="998"/>
      <c r="CD303" s="267"/>
      <c r="CE303" s="1009"/>
      <c r="CF303" s="998"/>
      <c r="CG303" s="267"/>
      <c r="CH303" s="998"/>
      <c r="CI303" s="998"/>
      <c r="CJ303" s="267"/>
      <c r="CK303" s="998"/>
      <c r="CL303" s="998"/>
      <c r="CM303" s="265"/>
      <c r="CN303" s="1016"/>
    </row>
    <row r="304" spans="2:92" ht="22.5" customHeight="1" x14ac:dyDescent="0.2">
      <c r="B304" s="969"/>
      <c r="C304" s="973"/>
      <c r="D304" s="943"/>
      <c r="E304" s="956"/>
      <c r="F304" s="949"/>
      <c r="G304" s="378" t="str">
        <f>+'Plan de Accion apoyo transversa'!X86</f>
        <v>Capacitación Buen gobierno realizada</v>
      </c>
      <c r="H304" s="289" t="str">
        <f>+'Plan de Accion apoyo transversa'!AK86</f>
        <v xml:space="preserve"># Capacitaciones realizadas </v>
      </c>
      <c r="J304" s="283">
        <f>+'Plan de Accion apoyo transversa'!AT86</f>
        <v>0</v>
      </c>
      <c r="K304" s="615" t="str">
        <f>+'Plan de Accion apoyo transversa'!CE86</f>
        <v>No Prog ni Ejec</v>
      </c>
      <c r="L304" s="615" t="s">
        <v>206</v>
      </c>
      <c r="M304" s="615">
        <f>+'Plan de Accion apoyo transversa'!AX86</f>
        <v>0</v>
      </c>
      <c r="N304" s="615">
        <f t="shared" si="141"/>
        <v>0</v>
      </c>
      <c r="O304" s="617" t="s">
        <v>206</v>
      </c>
      <c r="P304" s="277"/>
      <c r="Q304" s="283">
        <f>+'Plan de Accion apoyo transversa'!BD86</f>
        <v>0</v>
      </c>
      <c r="R304" s="373">
        <f>+'Plan de Accion apoyo transversa'!CG86</f>
        <v>0</v>
      </c>
      <c r="S304" s="315">
        <f>IF(R304&gt;100%,100%,R304)</f>
        <v>0</v>
      </c>
      <c r="T304" s="373">
        <f>+'Plan de Accion apoyo transversa'!BH86</f>
        <v>0</v>
      </c>
      <c r="U304" s="373">
        <f t="shared" si="142"/>
        <v>0</v>
      </c>
      <c r="V304" s="275">
        <f>+U304</f>
        <v>0</v>
      </c>
      <c r="W304" s="278"/>
      <c r="X304" s="283">
        <f>+'Plan de Accion apoyo transversa'!BN86</f>
        <v>0</v>
      </c>
      <c r="Y304" s="373" t="str">
        <f>+'Plan de Accion apoyo transversa'!CI86</f>
        <v>No Prog ni Ejec</v>
      </c>
      <c r="Z304" s="276" t="s">
        <v>206</v>
      </c>
      <c r="AA304" s="282">
        <f>+'Plan de Accion apoyo transversa'!BR86</f>
        <v>0</v>
      </c>
      <c r="AB304" s="282">
        <f t="shared" si="143"/>
        <v>0</v>
      </c>
      <c r="AC304" s="281">
        <f t="shared" si="144"/>
        <v>0</v>
      </c>
      <c r="AD304" s="277"/>
      <c r="AE304" s="283">
        <f>+'Plan de Accion apoyo transversa'!BX86</f>
        <v>0</v>
      </c>
      <c r="AF304" s="373" t="str">
        <f>+'Plan de Accion apoyo transversa'!CK86</f>
        <v>No Prog ni Ejec</v>
      </c>
      <c r="AG304" s="276" t="s">
        <v>206</v>
      </c>
      <c r="AH304" s="373">
        <f>+'Plan de Accion apoyo transversa'!CB86</f>
        <v>0</v>
      </c>
      <c r="AI304" s="275">
        <f t="shared" si="145"/>
        <v>0</v>
      </c>
      <c r="AJ304" s="996"/>
      <c r="AL304" s="1012"/>
      <c r="AM304" s="998"/>
      <c r="AN304" s="267"/>
      <c r="AO304" s="1009"/>
      <c r="AP304" s="998"/>
      <c r="AQ304" s="267"/>
      <c r="AR304" s="998"/>
      <c r="AS304" s="998"/>
      <c r="AT304" s="267"/>
      <c r="AU304" s="998"/>
      <c r="AV304" s="998"/>
      <c r="AW304" s="265"/>
      <c r="AX304" s="1016"/>
      <c r="AZ304" s="1012"/>
      <c r="BA304" s="998"/>
      <c r="BB304" s="267"/>
      <c r="BC304" s="1009"/>
      <c r="BD304" s="998"/>
      <c r="BE304" s="267"/>
      <c r="BF304" s="998"/>
      <c r="BG304" s="998"/>
      <c r="BH304" s="267"/>
      <c r="BI304" s="998"/>
      <c r="BJ304" s="998"/>
      <c r="BK304" s="265"/>
      <c r="BL304" s="1016"/>
      <c r="BN304" s="1012"/>
      <c r="BO304" s="998"/>
      <c r="BP304" s="267"/>
      <c r="BQ304" s="1009"/>
      <c r="BR304" s="998"/>
      <c r="BS304" s="267"/>
      <c r="BT304" s="998"/>
      <c r="BU304" s="998"/>
      <c r="BV304" s="267"/>
      <c r="BW304" s="998"/>
      <c r="BX304" s="998"/>
      <c r="BY304" s="265"/>
      <c r="BZ304" s="1016"/>
      <c r="CB304" s="1012"/>
      <c r="CC304" s="998"/>
      <c r="CD304" s="267"/>
      <c r="CE304" s="1009"/>
      <c r="CF304" s="998"/>
      <c r="CG304" s="267"/>
      <c r="CH304" s="998"/>
      <c r="CI304" s="998"/>
      <c r="CJ304" s="267"/>
      <c r="CK304" s="998"/>
      <c r="CL304" s="998"/>
      <c r="CM304" s="265"/>
      <c r="CN304" s="1016"/>
    </row>
    <row r="305" spans="2:92" ht="22.5" customHeight="1" x14ac:dyDescent="0.2">
      <c r="B305" s="969"/>
      <c r="C305" s="973"/>
      <c r="D305" s="943"/>
      <c r="E305" s="956"/>
      <c r="F305" s="949"/>
      <c r="G305" s="378" t="str">
        <f>+'Plan de Accion apoyo transversa'!X87</f>
        <v>Capacitación de Gestión documental realizada.</v>
      </c>
      <c r="H305" s="289" t="str">
        <f>+'Plan de Accion apoyo transversa'!AK87</f>
        <v xml:space="preserve"># Capacitaciones realizadas </v>
      </c>
      <c r="J305" s="283">
        <f>+'Plan de Accion apoyo transversa'!AT87</f>
        <v>0</v>
      </c>
      <c r="K305" s="615" t="str">
        <f>+'Plan de Accion apoyo transversa'!CE87</f>
        <v>No Prog ni Ejec</v>
      </c>
      <c r="L305" s="615" t="s">
        <v>206</v>
      </c>
      <c r="M305" s="615">
        <f>+'Plan de Accion apoyo transversa'!AX87</f>
        <v>0</v>
      </c>
      <c r="N305" s="615">
        <f t="shared" si="141"/>
        <v>0</v>
      </c>
      <c r="O305" s="617" t="s">
        <v>206</v>
      </c>
      <c r="P305" s="277"/>
      <c r="Q305" s="283">
        <f>+'Plan de Accion apoyo transversa'!BD87</f>
        <v>0</v>
      </c>
      <c r="R305" s="373" t="str">
        <f>+'Plan de Accion apoyo transversa'!CG87</f>
        <v>No Prog ni Ejec</v>
      </c>
      <c r="S305" s="315" t="s">
        <v>206</v>
      </c>
      <c r="T305" s="373">
        <f>+'Plan de Accion apoyo transversa'!BH87</f>
        <v>0</v>
      </c>
      <c r="U305" s="373">
        <f t="shared" si="142"/>
        <v>0</v>
      </c>
      <c r="V305" s="275" t="s">
        <v>206</v>
      </c>
      <c r="W305" s="278"/>
      <c r="X305" s="283">
        <f>+'Plan de Accion apoyo transversa'!BN87</f>
        <v>0</v>
      </c>
      <c r="Y305" s="373">
        <f>+'Plan de Accion apoyo transversa'!CI87</f>
        <v>0</v>
      </c>
      <c r="Z305" s="276">
        <f>IF(Y305&gt;100%,100%,Y305)</f>
        <v>0</v>
      </c>
      <c r="AA305" s="282">
        <f>+'Plan de Accion apoyo transversa'!BR87</f>
        <v>0</v>
      </c>
      <c r="AB305" s="282">
        <f t="shared" si="143"/>
        <v>0</v>
      </c>
      <c r="AC305" s="281">
        <f t="shared" si="144"/>
        <v>0</v>
      </c>
      <c r="AD305" s="277"/>
      <c r="AE305" s="283">
        <f>+'Plan de Accion apoyo transversa'!BX87</f>
        <v>0</v>
      </c>
      <c r="AF305" s="373" t="str">
        <f>+'Plan de Accion apoyo transversa'!CK87</f>
        <v>No Prog ni Ejec</v>
      </c>
      <c r="AG305" s="276" t="s">
        <v>206</v>
      </c>
      <c r="AH305" s="373">
        <f>+'Plan de Accion apoyo transversa'!CB87</f>
        <v>0</v>
      </c>
      <c r="AI305" s="275">
        <f t="shared" si="145"/>
        <v>0</v>
      </c>
      <c r="AJ305" s="996"/>
      <c r="AL305" s="1012"/>
      <c r="AM305" s="998"/>
      <c r="AN305" s="267"/>
      <c r="AO305" s="1009"/>
      <c r="AP305" s="998"/>
      <c r="AQ305" s="267"/>
      <c r="AR305" s="998"/>
      <c r="AS305" s="998"/>
      <c r="AT305" s="267"/>
      <c r="AU305" s="998"/>
      <c r="AV305" s="998"/>
      <c r="AW305" s="265"/>
      <c r="AX305" s="1016"/>
      <c r="AZ305" s="1012"/>
      <c r="BA305" s="998"/>
      <c r="BB305" s="267"/>
      <c r="BC305" s="1009"/>
      <c r="BD305" s="998"/>
      <c r="BE305" s="267"/>
      <c r="BF305" s="998"/>
      <c r="BG305" s="998"/>
      <c r="BH305" s="267"/>
      <c r="BI305" s="998"/>
      <c r="BJ305" s="998"/>
      <c r="BK305" s="265"/>
      <c r="BL305" s="1016"/>
      <c r="BN305" s="1012"/>
      <c r="BO305" s="998"/>
      <c r="BP305" s="267"/>
      <c r="BQ305" s="1009"/>
      <c r="BR305" s="998"/>
      <c r="BS305" s="267"/>
      <c r="BT305" s="998"/>
      <c r="BU305" s="998"/>
      <c r="BV305" s="267"/>
      <c r="BW305" s="998"/>
      <c r="BX305" s="998"/>
      <c r="BY305" s="265"/>
      <c r="BZ305" s="1016"/>
      <c r="CB305" s="1012"/>
      <c r="CC305" s="998"/>
      <c r="CD305" s="267"/>
      <c r="CE305" s="1009"/>
      <c r="CF305" s="998"/>
      <c r="CG305" s="267"/>
      <c r="CH305" s="998"/>
      <c r="CI305" s="998"/>
      <c r="CJ305" s="267"/>
      <c r="CK305" s="998"/>
      <c r="CL305" s="998"/>
      <c r="CM305" s="265"/>
      <c r="CN305" s="1016"/>
    </row>
    <row r="306" spans="2:92" ht="22.5" customHeight="1" x14ac:dyDescent="0.2">
      <c r="B306" s="969"/>
      <c r="C306" s="973"/>
      <c r="D306" s="943"/>
      <c r="E306" s="956"/>
      <c r="F306" s="949"/>
      <c r="G306" s="378" t="str">
        <f>+'Plan de Accion apoyo transversa'!X88</f>
        <v>Capacitación de Bilingüismo realizada</v>
      </c>
      <c r="H306" s="289" t="str">
        <f>+'Plan de Accion apoyo transversa'!AK88</f>
        <v xml:space="preserve"># Capacitaciones realizadas </v>
      </c>
      <c r="J306" s="283">
        <f>+'Plan de Accion apoyo transversa'!AT88</f>
        <v>0</v>
      </c>
      <c r="K306" s="615" t="str">
        <f>+'Plan de Accion apoyo transversa'!CE88</f>
        <v>No Prog ni Ejec</v>
      </c>
      <c r="L306" s="615" t="s">
        <v>206</v>
      </c>
      <c r="M306" s="615">
        <f>+'Plan de Accion apoyo transversa'!AX88</f>
        <v>0</v>
      </c>
      <c r="N306" s="615">
        <f t="shared" si="141"/>
        <v>0</v>
      </c>
      <c r="O306" s="617" t="s">
        <v>206</v>
      </c>
      <c r="P306" s="277"/>
      <c r="Q306" s="283">
        <f>+'Plan de Accion apoyo transversa'!BD88</f>
        <v>0</v>
      </c>
      <c r="R306" s="373" t="str">
        <f>+'Plan de Accion apoyo transversa'!CG88</f>
        <v>No Prog ni Ejec</v>
      </c>
      <c r="S306" s="315" t="s">
        <v>206</v>
      </c>
      <c r="T306" s="373">
        <f>+'Plan de Accion apoyo transversa'!BH88</f>
        <v>0</v>
      </c>
      <c r="U306" s="373">
        <f t="shared" si="142"/>
        <v>0</v>
      </c>
      <c r="V306" s="275" t="s">
        <v>206</v>
      </c>
      <c r="W306" s="278"/>
      <c r="X306" s="283">
        <f>+'Plan de Accion apoyo transversa'!BN88</f>
        <v>0</v>
      </c>
      <c r="Y306" s="373" t="str">
        <f>+'Plan de Accion apoyo transversa'!CI88</f>
        <v>No Prog ni Ejec</v>
      </c>
      <c r="Z306" s="276" t="s">
        <v>206</v>
      </c>
      <c r="AA306" s="282">
        <f>+'Plan de Accion apoyo transversa'!BR88</f>
        <v>0</v>
      </c>
      <c r="AB306" s="282">
        <f t="shared" si="143"/>
        <v>0</v>
      </c>
      <c r="AC306" s="281" t="s">
        <v>206</v>
      </c>
      <c r="AD306" s="277"/>
      <c r="AE306" s="283">
        <f>+'Plan de Accion apoyo transversa'!BX88</f>
        <v>0</v>
      </c>
      <c r="AF306" s="373">
        <f>+'Plan de Accion apoyo transversa'!CK88</f>
        <v>0</v>
      </c>
      <c r="AG306" s="276">
        <f>IF(AF306&gt;100%,100%,AF306)</f>
        <v>0</v>
      </c>
      <c r="AH306" s="373">
        <f>+'Plan de Accion apoyo transversa'!CB88</f>
        <v>0</v>
      </c>
      <c r="AI306" s="275">
        <f t="shared" si="145"/>
        <v>0</v>
      </c>
      <c r="AJ306" s="996"/>
      <c r="AL306" s="1012"/>
      <c r="AM306" s="998"/>
      <c r="AN306" s="267"/>
      <c r="AO306" s="1009"/>
      <c r="AP306" s="998"/>
      <c r="AQ306" s="267"/>
      <c r="AR306" s="998"/>
      <c r="AS306" s="998"/>
      <c r="AT306" s="267"/>
      <c r="AU306" s="998"/>
      <c r="AV306" s="998"/>
      <c r="AW306" s="265"/>
      <c r="AX306" s="1016"/>
      <c r="AZ306" s="1012"/>
      <c r="BA306" s="998"/>
      <c r="BB306" s="267"/>
      <c r="BC306" s="1009"/>
      <c r="BD306" s="998"/>
      <c r="BE306" s="267"/>
      <c r="BF306" s="998"/>
      <c r="BG306" s="998"/>
      <c r="BH306" s="267"/>
      <c r="BI306" s="998"/>
      <c r="BJ306" s="998"/>
      <c r="BK306" s="265"/>
      <c r="BL306" s="1016"/>
      <c r="BN306" s="1012"/>
      <c r="BO306" s="998"/>
      <c r="BP306" s="267"/>
      <c r="BQ306" s="1009"/>
      <c r="BR306" s="998"/>
      <c r="BS306" s="267"/>
      <c r="BT306" s="998"/>
      <c r="BU306" s="998"/>
      <c r="BV306" s="267"/>
      <c r="BW306" s="998"/>
      <c r="BX306" s="998"/>
      <c r="BY306" s="265"/>
      <c r="BZ306" s="1016"/>
      <c r="CB306" s="1012"/>
      <c r="CC306" s="998"/>
      <c r="CD306" s="267"/>
      <c r="CE306" s="1009"/>
      <c r="CF306" s="998"/>
      <c r="CG306" s="267"/>
      <c r="CH306" s="998"/>
      <c r="CI306" s="998"/>
      <c r="CJ306" s="267"/>
      <c r="CK306" s="998"/>
      <c r="CL306" s="998"/>
      <c r="CM306" s="265"/>
      <c r="CN306" s="1016"/>
    </row>
    <row r="307" spans="2:92" ht="22.5" customHeight="1" x14ac:dyDescent="0.2">
      <c r="B307" s="969"/>
      <c r="C307" s="973"/>
      <c r="D307" s="943"/>
      <c r="E307" s="956"/>
      <c r="F307" s="949"/>
      <c r="G307" s="378" t="str">
        <f>+'Plan de Accion apoyo transversa'!X89</f>
        <v>Capacitación de Acceso a la información realizada</v>
      </c>
      <c r="H307" s="289" t="str">
        <f>+'Plan de Accion apoyo transversa'!AK89</f>
        <v xml:space="preserve"># Capacitaciones realizadas </v>
      </c>
      <c r="J307" s="283">
        <f>+'Plan de Accion apoyo transversa'!AT89</f>
        <v>0</v>
      </c>
      <c r="K307" s="615" t="str">
        <f>+'Plan de Accion apoyo transversa'!CE89</f>
        <v>No Prog ni Ejec</v>
      </c>
      <c r="L307" s="615" t="s">
        <v>206</v>
      </c>
      <c r="M307" s="615">
        <f>+'Plan de Accion apoyo transversa'!AX89</f>
        <v>0</v>
      </c>
      <c r="N307" s="615">
        <f t="shared" si="141"/>
        <v>0</v>
      </c>
      <c r="O307" s="617" t="s">
        <v>206</v>
      </c>
      <c r="P307" s="277"/>
      <c r="Q307" s="283">
        <f>+'Plan de Accion apoyo transversa'!BD89</f>
        <v>0</v>
      </c>
      <c r="R307" s="373" t="str">
        <f>+'Plan de Accion apoyo transversa'!CG89</f>
        <v>No Prog ni Ejec</v>
      </c>
      <c r="S307" s="315" t="s">
        <v>206</v>
      </c>
      <c r="T307" s="373">
        <f>+'Plan de Accion apoyo transversa'!BH89</f>
        <v>0</v>
      </c>
      <c r="U307" s="373">
        <f t="shared" si="142"/>
        <v>0</v>
      </c>
      <c r="V307" s="275" t="s">
        <v>206</v>
      </c>
      <c r="W307" s="278"/>
      <c r="X307" s="283">
        <f>+'Plan de Accion apoyo transversa'!BN89</f>
        <v>0</v>
      </c>
      <c r="Y307" s="373" t="str">
        <f>+'Plan de Accion apoyo transversa'!CI89</f>
        <v>No Prog ni Ejec</v>
      </c>
      <c r="Z307" s="276" t="s">
        <v>206</v>
      </c>
      <c r="AA307" s="282">
        <f>+'Plan de Accion apoyo transversa'!BR89</f>
        <v>0</v>
      </c>
      <c r="AB307" s="282">
        <f t="shared" si="143"/>
        <v>0</v>
      </c>
      <c r="AC307" s="281" t="s">
        <v>206</v>
      </c>
      <c r="AD307" s="277"/>
      <c r="AE307" s="283">
        <f>+'Plan de Accion apoyo transversa'!BX89</f>
        <v>0</v>
      </c>
      <c r="AF307" s="373">
        <f>+'Plan de Accion apoyo transversa'!CK89</f>
        <v>0</v>
      </c>
      <c r="AG307" s="276">
        <f>IF(AF307&gt;100%,100%,AF307)</f>
        <v>0</v>
      </c>
      <c r="AH307" s="373">
        <f>+'Plan de Accion apoyo transversa'!CB89</f>
        <v>0</v>
      </c>
      <c r="AI307" s="275">
        <f t="shared" si="145"/>
        <v>0</v>
      </c>
      <c r="AJ307" s="996"/>
      <c r="AL307" s="1012"/>
      <c r="AM307" s="998"/>
      <c r="AN307" s="267"/>
      <c r="AO307" s="1009"/>
      <c r="AP307" s="998"/>
      <c r="AQ307" s="267"/>
      <c r="AR307" s="998"/>
      <c r="AS307" s="998"/>
      <c r="AT307" s="267"/>
      <c r="AU307" s="998"/>
      <c r="AV307" s="998"/>
      <c r="AW307" s="265"/>
      <c r="AX307" s="1016"/>
      <c r="AZ307" s="1012"/>
      <c r="BA307" s="998"/>
      <c r="BB307" s="267"/>
      <c r="BC307" s="1009"/>
      <c r="BD307" s="998"/>
      <c r="BE307" s="267"/>
      <c r="BF307" s="998"/>
      <c r="BG307" s="998"/>
      <c r="BH307" s="267"/>
      <c r="BI307" s="998"/>
      <c r="BJ307" s="998"/>
      <c r="BK307" s="265"/>
      <c r="BL307" s="1016"/>
      <c r="BN307" s="1012"/>
      <c r="BO307" s="998"/>
      <c r="BP307" s="267"/>
      <c r="BQ307" s="1009"/>
      <c r="BR307" s="998"/>
      <c r="BS307" s="267"/>
      <c r="BT307" s="998"/>
      <c r="BU307" s="998"/>
      <c r="BV307" s="267"/>
      <c r="BW307" s="998"/>
      <c r="BX307" s="998"/>
      <c r="BY307" s="265"/>
      <c r="BZ307" s="1016"/>
      <c r="CB307" s="1012"/>
      <c r="CC307" s="998"/>
      <c r="CD307" s="267"/>
      <c r="CE307" s="1009"/>
      <c r="CF307" s="998"/>
      <c r="CG307" s="267"/>
      <c r="CH307" s="998"/>
      <c r="CI307" s="998"/>
      <c r="CJ307" s="267"/>
      <c r="CK307" s="998"/>
      <c r="CL307" s="998"/>
      <c r="CM307" s="265"/>
      <c r="CN307" s="1016"/>
    </row>
    <row r="308" spans="2:92" ht="22.5" customHeight="1" x14ac:dyDescent="0.2">
      <c r="B308" s="969"/>
      <c r="C308" s="973"/>
      <c r="D308" s="943"/>
      <c r="E308" s="956"/>
      <c r="F308" s="949"/>
      <c r="G308" s="378" t="str">
        <f>+'Plan de Accion apoyo transversa'!X90</f>
        <v>Capacitación de Desarrollo territorial y nacional realizada</v>
      </c>
      <c r="H308" s="289" t="str">
        <f>+'Plan de Accion apoyo transversa'!AK90</f>
        <v xml:space="preserve"># Capacitaciones realizadas </v>
      </c>
      <c r="J308" s="283">
        <f>+'Plan de Accion apoyo transversa'!AT90</f>
        <v>0</v>
      </c>
      <c r="K308" s="615" t="str">
        <f>+'Plan de Accion apoyo transversa'!CE90</f>
        <v>No Prog ni Ejec</v>
      </c>
      <c r="L308" s="615" t="s">
        <v>206</v>
      </c>
      <c r="M308" s="615">
        <f>+'Plan de Accion apoyo transversa'!AX90</f>
        <v>0</v>
      </c>
      <c r="N308" s="615">
        <f t="shared" si="141"/>
        <v>0</v>
      </c>
      <c r="O308" s="617" t="s">
        <v>206</v>
      </c>
      <c r="P308" s="277"/>
      <c r="Q308" s="283">
        <f>+'Plan de Accion apoyo transversa'!BD90</f>
        <v>0</v>
      </c>
      <c r="R308" s="373" t="str">
        <f>+'Plan de Accion apoyo transversa'!CG90</f>
        <v>No Prog ni Ejec</v>
      </c>
      <c r="S308" s="315" t="s">
        <v>206</v>
      </c>
      <c r="T308" s="373">
        <f>+'Plan de Accion apoyo transversa'!BH90</f>
        <v>0</v>
      </c>
      <c r="U308" s="373">
        <f t="shared" si="142"/>
        <v>0</v>
      </c>
      <c r="V308" s="275" t="s">
        <v>206</v>
      </c>
      <c r="W308" s="278"/>
      <c r="X308" s="283">
        <f>+'Plan de Accion apoyo transversa'!BN90</f>
        <v>0</v>
      </c>
      <c r="Y308" s="373">
        <f>+'Plan de Accion apoyo transversa'!CI90</f>
        <v>0</v>
      </c>
      <c r="Z308" s="276">
        <f>IF(Y308&gt;100%,100%,Y308)</f>
        <v>0</v>
      </c>
      <c r="AA308" s="282">
        <f>+'Plan de Accion apoyo transversa'!BR90</f>
        <v>0</v>
      </c>
      <c r="AB308" s="282">
        <f t="shared" si="143"/>
        <v>0</v>
      </c>
      <c r="AC308" s="281">
        <f t="shared" si="144"/>
        <v>0</v>
      </c>
      <c r="AD308" s="277"/>
      <c r="AE308" s="283">
        <f>+'Plan de Accion apoyo transversa'!BX90</f>
        <v>0</v>
      </c>
      <c r="AF308" s="373" t="str">
        <f>+'Plan de Accion apoyo transversa'!CK90</f>
        <v>No Prog ni Ejec</v>
      </c>
      <c r="AG308" s="276" t="s">
        <v>206</v>
      </c>
      <c r="AH308" s="373">
        <f>+'Plan de Accion apoyo transversa'!CB90</f>
        <v>0</v>
      </c>
      <c r="AI308" s="275">
        <f t="shared" si="145"/>
        <v>0</v>
      </c>
      <c r="AJ308" s="996"/>
      <c r="AL308" s="1012"/>
      <c r="AM308" s="998"/>
      <c r="AN308" s="267"/>
      <c r="AO308" s="1009"/>
      <c r="AP308" s="998"/>
      <c r="AQ308" s="267"/>
      <c r="AR308" s="998"/>
      <c r="AS308" s="998"/>
      <c r="AT308" s="267"/>
      <c r="AU308" s="998"/>
      <c r="AV308" s="998"/>
      <c r="AW308" s="265"/>
      <c r="AX308" s="1016"/>
      <c r="AZ308" s="1012"/>
      <c r="BA308" s="998"/>
      <c r="BB308" s="267"/>
      <c r="BC308" s="1009"/>
      <c r="BD308" s="998"/>
      <c r="BE308" s="267"/>
      <c r="BF308" s="998"/>
      <c r="BG308" s="998"/>
      <c r="BH308" s="267"/>
      <c r="BI308" s="998"/>
      <c r="BJ308" s="998"/>
      <c r="BK308" s="265"/>
      <c r="BL308" s="1016"/>
      <c r="BN308" s="1012"/>
      <c r="BO308" s="998"/>
      <c r="BP308" s="267"/>
      <c r="BQ308" s="1009"/>
      <c r="BR308" s="998"/>
      <c r="BS308" s="267"/>
      <c r="BT308" s="998"/>
      <c r="BU308" s="998"/>
      <c r="BV308" s="267"/>
      <c r="BW308" s="998"/>
      <c r="BX308" s="998"/>
      <c r="BY308" s="265"/>
      <c r="BZ308" s="1016"/>
      <c r="CB308" s="1012"/>
      <c r="CC308" s="998"/>
      <c r="CD308" s="267"/>
      <c r="CE308" s="1009"/>
      <c r="CF308" s="998"/>
      <c r="CG308" s="267"/>
      <c r="CH308" s="998"/>
      <c r="CI308" s="998"/>
      <c r="CJ308" s="267"/>
      <c r="CK308" s="998"/>
      <c r="CL308" s="998"/>
      <c r="CM308" s="265"/>
      <c r="CN308" s="1016"/>
    </row>
    <row r="309" spans="2:92" ht="22.5" customHeight="1" x14ac:dyDescent="0.2">
      <c r="B309" s="969"/>
      <c r="C309" s="973"/>
      <c r="D309" s="943"/>
      <c r="E309" s="956"/>
      <c r="F309" s="949"/>
      <c r="G309" s="378" t="str">
        <f>+'Plan de Accion apoyo transversa'!X91</f>
        <v>Inducción realizada</v>
      </c>
      <c r="H309" s="289" t="str">
        <f>+'Plan de Accion apoyo transversa'!AK91</f>
        <v xml:space="preserve"># Inducciones  realizadas </v>
      </c>
      <c r="J309" s="283">
        <f>+'Plan de Accion apoyo transversa'!AT91</f>
        <v>1</v>
      </c>
      <c r="K309" s="615">
        <f>+'Plan de Accion apoyo transversa'!CE91</f>
        <v>1</v>
      </c>
      <c r="L309" s="615">
        <f>IF(K309&gt;100%,100%,K309)</f>
        <v>1</v>
      </c>
      <c r="M309" s="615">
        <f>+'Plan de Accion apoyo transversa'!AX91</f>
        <v>0.25</v>
      </c>
      <c r="N309" s="615">
        <f t="shared" si="141"/>
        <v>0.25</v>
      </c>
      <c r="O309" s="617">
        <f>+N309</f>
        <v>0.25</v>
      </c>
      <c r="P309" s="277"/>
      <c r="Q309" s="283">
        <f>+'Plan de Accion apoyo transversa'!BD91</f>
        <v>0</v>
      </c>
      <c r="R309" s="373">
        <f>+'Plan de Accion apoyo transversa'!CG91</f>
        <v>0</v>
      </c>
      <c r="S309" s="315">
        <f>IF(R309&gt;100%,100%,R309)</f>
        <v>0</v>
      </c>
      <c r="T309" s="373">
        <f>+'Plan de Accion apoyo transversa'!BH91</f>
        <v>0.25</v>
      </c>
      <c r="U309" s="373">
        <f t="shared" si="142"/>
        <v>0.25</v>
      </c>
      <c r="V309" s="275">
        <f>+U309</f>
        <v>0.25</v>
      </c>
      <c r="W309" s="278"/>
      <c r="X309" s="283">
        <f>+'Plan de Accion apoyo transversa'!BN91</f>
        <v>0</v>
      </c>
      <c r="Y309" s="373">
        <f>+'Plan de Accion apoyo transversa'!CI91</f>
        <v>0</v>
      </c>
      <c r="Z309" s="276">
        <f>IF(Y309&gt;100%,100%,Y309)</f>
        <v>0</v>
      </c>
      <c r="AA309" s="282">
        <f>+'Plan de Accion apoyo transversa'!BR91</f>
        <v>0.25</v>
      </c>
      <c r="AB309" s="282">
        <f t="shared" si="143"/>
        <v>0.25</v>
      </c>
      <c r="AC309" s="281">
        <f t="shared" si="144"/>
        <v>0.25</v>
      </c>
      <c r="AD309" s="277"/>
      <c r="AE309" s="283">
        <f>+'Plan de Accion apoyo transversa'!BX91</f>
        <v>0</v>
      </c>
      <c r="AF309" s="373">
        <f>+'Plan de Accion apoyo transversa'!CK91</f>
        <v>0</v>
      </c>
      <c r="AG309" s="276">
        <f>IF(AF309&gt;100%,100%,AF309)</f>
        <v>0</v>
      </c>
      <c r="AH309" s="373">
        <f>+'Plan de Accion apoyo transversa'!CB91</f>
        <v>0.25</v>
      </c>
      <c r="AI309" s="275">
        <f t="shared" si="145"/>
        <v>0.25</v>
      </c>
      <c r="AJ309" s="996"/>
      <c r="AL309" s="1012"/>
      <c r="AM309" s="998"/>
      <c r="AN309" s="267"/>
      <c r="AO309" s="1009"/>
      <c r="AP309" s="998"/>
      <c r="AQ309" s="267"/>
      <c r="AR309" s="998"/>
      <c r="AS309" s="998"/>
      <c r="AT309" s="267"/>
      <c r="AU309" s="998"/>
      <c r="AV309" s="998"/>
      <c r="AW309" s="265"/>
      <c r="AX309" s="1016"/>
      <c r="AZ309" s="1012"/>
      <c r="BA309" s="998"/>
      <c r="BB309" s="267"/>
      <c r="BC309" s="1009"/>
      <c r="BD309" s="998"/>
      <c r="BE309" s="267"/>
      <c r="BF309" s="998"/>
      <c r="BG309" s="998"/>
      <c r="BH309" s="267"/>
      <c r="BI309" s="998"/>
      <c r="BJ309" s="998"/>
      <c r="BK309" s="265"/>
      <c r="BL309" s="1016"/>
      <c r="BN309" s="1012"/>
      <c r="BO309" s="998"/>
      <c r="BP309" s="267"/>
      <c r="BQ309" s="1009"/>
      <c r="BR309" s="998"/>
      <c r="BS309" s="267"/>
      <c r="BT309" s="998"/>
      <c r="BU309" s="998"/>
      <c r="BV309" s="267"/>
      <c r="BW309" s="998"/>
      <c r="BX309" s="998"/>
      <c r="BY309" s="265"/>
      <c r="BZ309" s="1016"/>
      <c r="CB309" s="1012"/>
      <c r="CC309" s="998"/>
      <c r="CD309" s="267"/>
      <c r="CE309" s="1009"/>
      <c r="CF309" s="998"/>
      <c r="CG309" s="267"/>
      <c r="CH309" s="998"/>
      <c r="CI309" s="998"/>
      <c r="CJ309" s="267"/>
      <c r="CK309" s="998"/>
      <c r="CL309" s="998"/>
      <c r="CM309" s="265"/>
      <c r="CN309" s="1016"/>
    </row>
    <row r="310" spans="2:92" ht="22.5" customHeight="1" x14ac:dyDescent="0.2">
      <c r="B310" s="969"/>
      <c r="C310" s="973"/>
      <c r="D310" s="943"/>
      <c r="E310" s="956"/>
      <c r="F310" s="950"/>
      <c r="G310" s="378" t="str">
        <f>+'Plan de Accion apoyo transversa'!X92</f>
        <v>Reinducción realizada</v>
      </c>
      <c r="H310" s="289" t="str">
        <f>+'Plan de Accion apoyo transversa'!AK92</f>
        <v xml:space="preserve"># Reinducciones realizadas </v>
      </c>
      <c r="J310" s="283">
        <f>+'Plan de Accion apoyo transversa'!AT92</f>
        <v>0</v>
      </c>
      <c r="K310" s="615" t="str">
        <f>+'Plan de Accion apoyo transversa'!CE92</f>
        <v>No Prog ni Ejec</v>
      </c>
      <c r="L310" s="615" t="s">
        <v>206</v>
      </c>
      <c r="M310" s="615">
        <f>+'Plan de Accion apoyo transversa'!AX92</f>
        <v>0</v>
      </c>
      <c r="N310" s="615">
        <f t="shared" si="141"/>
        <v>0</v>
      </c>
      <c r="O310" s="617" t="s">
        <v>206</v>
      </c>
      <c r="P310" s="277"/>
      <c r="Q310" s="283">
        <f>+'Plan de Accion apoyo transversa'!BD92</f>
        <v>0</v>
      </c>
      <c r="R310" s="373" t="str">
        <f>+'Plan de Accion apoyo transversa'!CG92</f>
        <v>No Prog ni Ejec</v>
      </c>
      <c r="S310" s="315" t="s">
        <v>206</v>
      </c>
      <c r="T310" s="373">
        <f>+'Plan de Accion apoyo transversa'!BH92</f>
        <v>0</v>
      </c>
      <c r="U310" s="373">
        <f t="shared" si="142"/>
        <v>0</v>
      </c>
      <c r="V310" s="275" t="s">
        <v>206</v>
      </c>
      <c r="W310" s="278"/>
      <c r="X310" s="283">
        <f>+'Plan de Accion apoyo transversa'!BN92</f>
        <v>0</v>
      </c>
      <c r="Y310" s="373">
        <f>+'Plan de Accion apoyo transversa'!CI92</f>
        <v>0</v>
      </c>
      <c r="Z310" s="276">
        <f>IF(Y310&gt;100%,100%,Y310)</f>
        <v>0</v>
      </c>
      <c r="AA310" s="282">
        <f>+'Plan de Accion apoyo transversa'!BR92</f>
        <v>0</v>
      </c>
      <c r="AB310" s="282">
        <f t="shared" si="143"/>
        <v>0</v>
      </c>
      <c r="AC310" s="281">
        <f t="shared" si="144"/>
        <v>0</v>
      </c>
      <c r="AD310" s="277"/>
      <c r="AE310" s="283">
        <f>+'Plan de Accion apoyo transversa'!BX92</f>
        <v>0</v>
      </c>
      <c r="AF310" s="373" t="str">
        <f>+'Plan de Accion apoyo transversa'!CK92</f>
        <v>No Prog ni Ejec</v>
      </c>
      <c r="AG310" s="276" t="s">
        <v>206</v>
      </c>
      <c r="AH310" s="373">
        <f>+'Plan de Accion apoyo transversa'!CB92</f>
        <v>0</v>
      </c>
      <c r="AI310" s="275">
        <f t="shared" si="145"/>
        <v>0</v>
      </c>
      <c r="AJ310" s="996"/>
      <c r="AL310" s="1012"/>
      <c r="AM310" s="998"/>
      <c r="AN310" s="267"/>
      <c r="AO310" s="1009"/>
      <c r="AP310" s="998"/>
      <c r="AQ310" s="267"/>
      <c r="AR310" s="998"/>
      <c r="AS310" s="998"/>
      <c r="AT310" s="267"/>
      <c r="AU310" s="998"/>
      <c r="AV310" s="998"/>
      <c r="AW310" s="265"/>
      <c r="AX310" s="1016"/>
      <c r="AZ310" s="1012"/>
      <c r="BA310" s="998"/>
      <c r="BB310" s="267"/>
      <c r="BC310" s="1009"/>
      <c r="BD310" s="998"/>
      <c r="BE310" s="267"/>
      <c r="BF310" s="998"/>
      <c r="BG310" s="998"/>
      <c r="BH310" s="267"/>
      <c r="BI310" s="998"/>
      <c r="BJ310" s="998"/>
      <c r="BK310" s="265"/>
      <c r="BL310" s="1016"/>
      <c r="BN310" s="1012"/>
      <c r="BO310" s="998"/>
      <c r="BP310" s="267"/>
      <c r="BQ310" s="1009"/>
      <c r="BR310" s="998"/>
      <c r="BS310" s="267"/>
      <c r="BT310" s="998"/>
      <c r="BU310" s="998"/>
      <c r="BV310" s="267"/>
      <c r="BW310" s="998"/>
      <c r="BX310" s="998"/>
      <c r="BY310" s="265"/>
      <c r="BZ310" s="1016"/>
      <c r="CB310" s="1012"/>
      <c r="CC310" s="998"/>
      <c r="CD310" s="267"/>
      <c r="CE310" s="1009"/>
      <c r="CF310" s="998"/>
      <c r="CG310" s="267"/>
      <c r="CH310" s="998"/>
      <c r="CI310" s="998"/>
      <c r="CJ310" s="267"/>
      <c r="CK310" s="998"/>
      <c r="CL310" s="998"/>
      <c r="CM310" s="265"/>
      <c r="CN310" s="1016"/>
    </row>
    <row r="311" spans="2:92" ht="39" customHeight="1" x14ac:dyDescent="0.2">
      <c r="B311" s="969"/>
      <c r="C311" s="973"/>
      <c r="D311" s="943"/>
      <c r="E311" s="956"/>
      <c r="F311" s="948" t="s">
        <v>1295</v>
      </c>
      <c r="G311" s="378" t="str">
        <f>+'Plan de Accion apoyo transversa'!X93</f>
        <v>Olimpiada deportiva de Microfútbol</v>
      </c>
      <c r="H311" s="289" t="str">
        <f>+'Plan de Accion apoyo transversa'!AK93</f>
        <v># Actividades de bienestar realizadas</v>
      </c>
      <c r="J311" s="283">
        <f>+'Plan de Accion apoyo transversa'!AT93</f>
        <v>0</v>
      </c>
      <c r="K311" s="615" t="str">
        <f>+'Plan de Accion apoyo transversa'!CE93</f>
        <v>No Prog ni Ejec</v>
      </c>
      <c r="L311" s="615" t="s">
        <v>206</v>
      </c>
      <c r="M311" s="615">
        <f>+'Plan de Accion apoyo transversa'!AX93</f>
        <v>0</v>
      </c>
      <c r="N311" s="615">
        <f t="shared" si="141"/>
        <v>0</v>
      </c>
      <c r="O311" s="617" t="s">
        <v>206</v>
      </c>
      <c r="P311" s="277"/>
      <c r="Q311" s="283">
        <f>+'Plan de Accion apoyo transversa'!BD93</f>
        <v>0</v>
      </c>
      <c r="R311" s="373">
        <f>+'Plan de Accion apoyo transversa'!CG93</f>
        <v>0</v>
      </c>
      <c r="S311" s="315">
        <f>IF(R311&gt;100%,100%,R311)</f>
        <v>0</v>
      </c>
      <c r="T311" s="373">
        <f>+'Plan de Accion apoyo transversa'!BH93</f>
        <v>0</v>
      </c>
      <c r="U311" s="373">
        <f t="shared" ref="U311:U333" si="146">IF(T311&gt;100%,100%,T311)</f>
        <v>0</v>
      </c>
      <c r="V311" s="275">
        <f>+U311</f>
        <v>0</v>
      </c>
      <c r="W311" s="278"/>
      <c r="X311" s="283">
        <f>+'Plan de Accion apoyo transversa'!BN93</f>
        <v>0</v>
      </c>
      <c r="Y311" s="373" t="str">
        <f>+'Plan de Accion apoyo transversa'!CI93</f>
        <v>No Prog ni Ejec</v>
      </c>
      <c r="Z311" s="276" t="s">
        <v>206</v>
      </c>
      <c r="AA311" s="282">
        <f>+'Plan de Accion apoyo transversa'!BR93</f>
        <v>0</v>
      </c>
      <c r="AB311" s="282">
        <f t="shared" ref="AB311:AB333" si="147">IF(AA311&gt;100%,100%,AA311)</f>
        <v>0</v>
      </c>
      <c r="AC311" s="281">
        <f t="shared" ref="AC311:AC334" si="148">+AB311</f>
        <v>0</v>
      </c>
      <c r="AD311" s="277"/>
      <c r="AE311" s="283">
        <f>+'Plan de Accion apoyo transversa'!BX93</f>
        <v>0</v>
      </c>
      <c r="AF311" s="373" t="str">
        <f>+'Plan de Accion apoyo transversa'!CK93</f>
        <v>No Prog ni Ejec</v>
      </c>
      <c r="AG311" s="276" t="s">
        <v>206</v>
      </c>
      <c r="AH311" s="373">
        <f>+'Plan de Accion apoyo transversa'!CB93</f>
        <v>0</v>
      </c>
      <c r="AI311" s="275">
        <f t="shared" ref="AI311:AI333" si="149">IF(AH311&gt;100%,100%,AH311)</f>
        <v>0</v>
      </c>
      <c r="AJ311" s="996"/>
      <c r="AL311" s="1012"/>
      <c r="AM311" s="998"/>
      <c r="AN311" s="267"/>
      <c r="AO311" s="1009"/>
      <c r="AP311" s="998"/>
      <c r="AQ311" s="267"/>
      <c r="AR311" s="998"/>
      <c r="AS311" s="998"/>
      <c r="AT311" s="267"/>
      <c r="AU311" s="998"/>
      <c r="AV311" s="998"/>
      <c r="AW311" s="265"/>
      <c r="AX311" s="1016"/>
      <c r="AZ311" s="1012"/>
      <c r="BA311" s="998"/>
      <c r="BB311" s="267"/>
      <c r="BC311" s="1009"/>
      <c r="BD311" s="998"/>
      <c r="BE311" s="267"/>
      <c r="BF311" s="998"/>
      <c r="BG311" s="998"/>
      <c r="BH311" s="267"/>
      <c r="BI311" s="998"/>
      <c r="BJ311" s="998"/>
      <c r="BK311" s="265"/>
      <c r="BL311" s="1016"/>
      <c r="BN311" s="1012"/>
      <c r="BO311" s="998"/>
      <c r="BP311" s="267"/>
      <c r="BQ311" s="1009"/>
      <c r="BR311" s="998"/>
      <c r="BS311" s="267"/>
      <c r="BT311" s="998"/>
      <c r="BU311" s="998"/>
      <c r="BV311" s="267"/>
      <c r="BW311" s="998"/>
      <c r="BX311" s="998"/>
      <c r="BY311" s="265"/>
      <c r="BZ311" s="1016"/>
      <c r="CB311" s="1012"/>
      <c r="CC311" s="998"/>
      <c r="CD311" s="267"/>
      <c r="CE311" s="1009"/>
      <c r="CF311" s="998"/>
      <c r="CG311" s="267"/>
      <c r="CH311" s="998"/>
      <c r="CI311" s="998"/>
      <c r="CJ311" s="267"/>
      <c r="CK311" s="998"/>
      <c r="CL311" s="998"/>
      <c r="CM311" s="265"/>
      <c r="CN311" s="1016"/>
    </row>
    <row r="312" spans="2:92" ht="39" customHeight="1" x14ac:dyDescent="0.2">
      <c r="B312" s="969"/>
      <c r="C312" s="973"/>
      <c r="D312" s="943"/>
      <c r="E312" s="956"/>
      <c r="F312" s="949"/>
      <c r="G312" s="378" t="str">
        <f>+'Plan de Accion apoyo transversa'!X94</f>
        <v>Olimpiada deportiva de Voleibol</v>
      </c>
      <c r="H312" s="289" t="str">
        <f>+'Plan de Accion apoyo transversa'!AK94</f>
        <v># Actividades de bienestar realizadas</v>
      </c>
      <c r="J312" s="283">
        <f>+'Plan de Accion apoyo transversa'!AT94</f>
        <v>0</v>
      </c>
      <c r="K312" s="615" t="str">
        <f>+'Plan de Accion apoyo transversa'!CE94</f>
        <v>No Prog ni Ejec</v>
      </c>
      <c r="L312" s="615" t="s">
        <v>206</v>
      </c>
      <c r="M312" s="615">
        <f>+'Plan de Accion apoyo transversa'!AX94</f>
        <v>0</v>
      </c>
      <c r="N312" s="615">
        <f t="shared" si="141"/>
        <v>0</v>
      </c>
      <c r="O312" s="617" t="s">
        <v>206</v>
      </c>
      <c r="P312" s="277"/>
      <c r="Q312" s="283">
        <f>+'Plan de Accion apoyo transversa'!BD94</f>
        <v>0</v>
      </c>
      <c r="R312" s="373">
        <f>+'Plan de Accion apoyo transversa'!CG94</f>
        <v>0</v>
      </c>
      <c r="S312" s="315">
        <f>IF(R312&gt;100%,100%,R312)</f>
        <v>0</v>
      </c>
      <c r="T312" s="373">
        <f>+'Plan de Accion apoyo transversa'!BH94</f>
        <v>0</v>
      </c>
      <c r="U312" s="373">
        <f t="shared" si="146"/>
        <v>0</v>
      </c>
      <c r="V312" s="275">
        <f>+U312</f>
        <v>0</v>
      </c>
      <c r="W312" s="278"/>
      <c r="X312" s="283">
        <f>+'Plan de Accion apoyo transversa'!BN94</f>
        <v>0</v>
      </c>
      <c r="Y312" s="373" t="str">
        <f>+'Plan de Accion apoyo transversa'!CI94</f>
        <v>No Prog ni Ejec</v>
      </c>
      <c r="Z312" s="276" t="s">
        <v>206</v>
      </c>
      <c r="AA312" s="282">
        <f>+'Plan de Accion apoyo transversa'!BR94</f>
        <v>0</v>
      </c>
      <c r="AB312" s="282">
        <f t="shared" si="147"/>
        <v>0</v>
      </c>
      <c r="AC312" s="281">
        <f t="shared" si="148"/>
        <v>0</v>
      </c>
      <c r="AD312" s="277"/>
      <c r="AE312" s="283">
        <f>+'Plan de Accion apoyo transversa'!BX94</f>
        <v>0</v>
      </c>
      <c r="AF312" s="373" t="str">
        <f>+'Plan de Accion apoyo transversa'!CK94</f>
        <v>No Prog ni Ejec</v>
      </c>
      <c r="AG312" s="276" t="s">
        <v>206</v>
      </c>
      <c r="AH312" s="373">
        <f>+'Plan de Accion apoyo transversa'!CB94</f>
        <v>0</v>
      </c>
      <c r="AI312" s="275">
        <f t="shared" si="149"/>
        <v>0</v>
      </c>
      <c r="AJ312" s="996"/>
      <c r="AL312" s="1012"/>
      <c r="AM312" s="998"/>
      <c r="AN312" s="267"/>
      <c r="AO312" s="1009"/>
      <c r="AP312" s="998"/>
      <c r="AQ312" s="267"/>
      <c r="AR312" s="998"/>
      <c r="AS312" s="998"/>
      <c r="AT312" s="267"/>
      <c r="AU312" s="998"/>
      <c r="AV312" s="998"/>
      <c r="AW312" s="265"/>
      <c r="AX312" s="1016"/>
      <c r="AZ312" s="1012"/>
      <c r="BA312" s="998"/>
      <c r="BB312" s="267"/>
      <c r="BC312" s="1009"/>
      <c r="BD312" s="998"/>
      <c r="BE312" s="267"/>
      <c r="BF312" s="998"/>
      <c r="BG312" s="998"/>
      <c r="BH312" s="267"/>
      <c r="BI312" s="998"/>
      <c r="BJ312" s="998"/>
      <c r="BK312" s="265"/>
      <c r="BL312" s="1016"/>
      <c r="BN312" s="1012"/>
      <c r="BO312" s="998"/>
      <c r="BP312" s="267"/>
      <c r="BQ312" s="1009"/>
      <c r="BR312" s="998"/>
      <c r="BS312" s="267"/>
      <c r="BT312" s="998"/>
      <c r="BU312" s="998"/>
      <c r="BV312" s="267"/>
      <c r="BW312" s="998"/>
      <c r="BX312" s="998"/>
      <c r="BY312" s="265"/>
      <c r="BZ312" s="1016"/>
      <c r="CB312" s="1012"/>
      <c r="CC312" s="998"/>
      <c r="CD312" s="267"/>
      <c r="CE312" s="1009"/>
      <c r="CF312" s="998"/>
      <c r="CG312" s="267"/>
      <c r="CH312" s="998"/>
      <c r="CI312" s="998"/>
      <c r="CJ312" s="267"/>
      <c r="CK312" s="998"/>
      <c r="CL312" s="998"/>
      <c r="CM312" s="265"/>
      <c r="CN312" s="1016"/>
    </row>
    <row r="313" spans="2:92" ht="39" customHeight="1" x14ac:dyDescent="0.2">
      <c r="B313" s="969"/>
      <c r="C313" s="973"/>
      <c r="D313" s="943"/>
      <c r="E313" s="956"/>
      <c r="F313" s="949"/>
      <c r="G313" s="378" t="str">
        <f>+'Plan de Accion apoyo transversa'!X95</f>
        <v>Olimpiada deportiva de Tenis de mesa</v>
      </c>
      <c r="H313" s="289" t="str">
        <f>+'Plan de Accion apoyo transversa'!AK95</f>
        <v># Actividades de bienestar realizadas</v>
      </c>
      <c r="J313" s="283">
        <f>+'Plan de Accion apoyo transversa'!AT95</f>
        <v>0</v>
      </c>
      <c r="K313" s="615" t="str">
        <f>+'Plan de Accion apoyo transversa'!CE95</f>
        <v>No Prog ni Ejec</v>
      </c>
      <c r="L313" s="615" t="s">
        <v>206</v>
      </c>
      <c r="M313" s="615">
        <f>+'Plan de Accion apoyo transversa'!AX95</f>
        <v>0</v>
      </c>
      <c r="N313" s="615">
        <f t="shared" si="141"/>
        <v>0</v>
      </c>
      <c r="O313" s="617" t="s">
        <v>206</v>
      </c>
      <c r="P313" s="277"/>
      <c r="Q313" s="283">
        <f>+'Plan de Accion apoyo transversa'!BD95</f>
        <v>0</v>
      </c>
      <c r="R313" s="373" t="str">
        <f>+'Plan de Accion apoyo transversa'!CG95</f>
        <v>No Prog ni Ejec</v>
      </c>
      <c r="S313" s="315" t="s">
        <v>206</v>
      </c>
      <c r="T313" s="373">
        <f>+'Plan de Accion apoyo transversa'!BH95</f>
        <v>0</v>
      </c>
      <c r="U313" s="373">
        <f t="shared" si="146"/>
        <v>0</v>
      </c>
      <c r="V313" s="275" t="s">
        <v>206</v>
      </c>
      <c r="W313" s="278"/>
      <c r="X313" s="283">
        <f>+'Plan de Accion apoyo transversa'!BN95</f>
        <v>0</v>
      </c>
      <c r="Y313" s="373">
        <f>+'Plan de Accion apoyo transversa'!CI95</f>
        <v>0</v>
      </c>
      <c r="Z313" s="276">
        <f>IF(Y313&gt;100%,100%,Y313)</f>
        <v>0</v>
      </c>
      <c r="AA313" s="282">
        <f>+'Plan de Accion apoyo transversa'!BR95</f>
        <v>0</v>
      </c>
      <c r="AB313" s="282">
        <f t="shared" si="147"/>
        <v>0</v>
      </c>
      <c r="AC313" s="281">
        <f t="shared" si="148"/>
        <v>0</v>
      </c>
      <c r="AD313" s="277"/>
      <c r="AE313" s="283">
        <f>+'Plan de Accion apoyo transversa'!BX95</f>
        <v>0</v>
      </c>
      <c r="AF313" s="373" t="str">
        <f>+'Plan de Accion apoyo transversa'!CK95</f>
        <v>No Prog ni Ejec</v>
      </c>
      <c r="AG313" s="276" t="s">
        <v>206</v>
      </c>
      <c r="AH313" s="373">
        <f>+'Plan de Accion apoyo transversa'!CB95</f>
        <v>0</v>
      </c>
      <c r="AI313" s="275">
        <f t="shared" si="149"/>
        <v>0</v>
      </c>
      <c r="AJ313" s="996"/>
      <c r="AL313" s="1012"/>
      <c r="AM313" s="998"/>
      <c r="AN313" s="267"/>
      <c r="AO313" s="1009"/>
      <c r="AP313" s="998"/>
      <c r="AQ313" s="267"/>
      <c r="AR313" s="998"/>
      <c r="AS313" s="998"/>
      <c r="AT313" s="267"/>
      <c r="AU313" s="998"/>
      <c r="AV313" s="998"/>
      <c r="AW313" s="265"/>
      <c r="AX313" s="1016"/>
      <c r="AZ313" s="1012"/>
      <c r="BA313" s="998"/>
      <c r="BB313" s="267"/>
      <c r="BC313" s="1009"/>
      <c r="BD313" s="998"/>
      <c r="BE313" s="267"/>
      <c r="BF313" s="998"/>
      <c r="BG313" s="998"/>
      <c r="BH313" s="267"/>
      <c r="BI313" s="998"/>
      <c r="BJ313" s="998"/>
      <c r="BK313" s="265"/>
      <c r="BL313" s="1016"/>
      <c r="BN313" s="1012"/>
      <c r="BO313" s="998"/>
      <c r="BP313" s="267"/>
      <c r="BQ313" s="1009"/>
      <c r="BR313" s="998"/>
      <c r="BS313" s="267"/>
      <c r="BT313" s="998"/>
      <c r="BU313" s="998"/>
      <c r="BV313" s="267"/>
      <c r="BW313" s="998"/>
      <c r="BX313" s="998"/>
      <c r="BY313" s="265"/>
      <c r="BZ313" s="1016"/>
      <c r="CB313" s="1012"/>
      <c r="CC313" s="998"/>
      <c r="CD313" s="267"/>
      <c r="CE313" s="1009"/>
      <c r="CF313" s="998"/>
      <c r="CG313" s="267"/>
      <c r="CH313" s="998"/>
      <c r="CI313" s="998"/>
      <c r="CJ313" s="267"/>
      <c r="CK313" s="998"/>
      <c r="CL313" s="998"/>
      <c r="CM313" s="265"/>
      <c r="CN313" s="1016"/>
    </row>
    <row r="314" spans="2:92" ht="39" customHeight="1" x14ac:dyDescent="0.2">
      <c r="B314" s="969"/>
      <c r="C314" s="973"/>
      <c r="D314" s="943"/>
      <c r="E314" s="956"/>
      <c r="F314" s="949"/>
      <c r="G314" s="378" t="str">
        <f>+'Plan de Accion apoyo transversa'!X96</f>
        <v>Olimpiada deportiva de Bolos</v>
      </c>
      <c r="H314" s="289" t="str">
        <f>+'Plan de Accion apoyo transversa'!AK96</f>
        <v># Actividades de bienestar realizadas</v>
      </c>
      <c r="J314" s="283">
        <f>+'Plan de Accion apoyo transversa'!AT96</f>
        <v>0</v>
      </c>
      <c r="K314" s="615" t="str">
        <f>+'Plan de Accion apoyo transversa'!CE96</f>
        <v>No Prog ni Ejec</v>
      </c>
      <c r="L314" s="615" t="s">
        <v>206</v>
      </c>
      <c r="M314" s="615">
        <f>+'Plan de Accion apoyo transversa'!AX96</f>
        <v>0</v>
      </c>
      <c r="N314" s="615">
        <f t="shared" si="141"/>
        <v>0</v>
      </c>
      <c r="O314" s="617" t="s">
        <v>206</v>
      </c>
      <c r="P314" s="277"/>
      <c r="Q314" s="283">
        <f>+'Plan de Accion apoyo transversa'!BD96</f>
        <v>0</v>
      </c>
      <c r="R314" s="373" t="str">
        <f>+'Plan de Accion apoyo transversa'!CG96</f>
        <v>No Prog ni Ejec</v>
      </c>
      <c r="S314" s="315" t="s">
        <v>206</v>
      </c>
      <c r="T314" s="373">
        <f>+'Plan de Accion apoyo transversa'!BH96</f>
        <v>0</v>
      </c>
      <c r="U314" s="373">
        <f t="shared" si="146"/>
        <v>0</v>
      </c>
      <c r="V314" s="275" t="s">
        <v>206</v>
      </c>
      <c r="W314" s="278"/>
      <c r="X314" s="283">
        <f>+'Plan de Accion apoyo transversa'!BN96</f>
        <v>0</v>
      </c>
      <c r="Y314" s="373">
        <f>+'Plan de Accion apoyo transversa'!CI96</f>
        <v>0</v>
      </c>
      <c r="Z314" s="276">
        <f>IF(Y314&gt;100%,100%,Y314)</f>
        <v>0</v>
      </c>
      <c r="AA314" s="282">
        <f>+'Plan de Accion apoyo transversa'!BR96</f>
        <v>0</v>
      </c>
      <c r="AB314" s="282">
        <f t="shared" si="147"/>
        <v>0</v>
      </c>
      <c r="AC314" s="281">
        <f t="shared" si="148"/>
        <v>0</v>
      </c>
      <c r="AD314" s="277"/>
      <c r="AE314" s="283">
        <f>+'Plan de Accion apoyo transversa'!BX96</f>
        <v>0</v>
      </c>
      <c r="AF314" s="373" t="str">
        <f>+'Plan de Accion apoyo transversa'!CK96</f>
        <v>No Prog ni Ejec</v>
      </c>
      <c r="AG314" s="276" t="s">
        <v>206</v>
      </c>
      <c r="AH314" s="373">
        <f>+'Plan de Accion apoyo transversa'!CB96</f>
        <v>0</v>
      </c>
      <c r="AI314" s="275">
        <f t="shared" si="149"/>
        <v>0</v>
      </c>
      <c r="AJ314" s="996"/>
      <c r="AL314" s="1012"/>
      <c r="AM314" s="998"/>
      <c r="AN314" s="267"/>
      <c r="AO314" s="1009"/>
      <c r="AP314" s="998"/>
      <c r="AQ314" s="267"/>
      <c r="AR314" s="998"/>
      <c r="AS314" s="998"/>
      <c r="AT314" s="267"/>
      <c r="AU314" s="998"/>
      <c r="AV314" s="998"/>
      <c r="AW314" s="265"/>
      <c r="AX314" s="1016"/>
      <c r="AZ314" s="1012"/>
      <c r="BA314" s="998"/>
      <c r="BB314" s="267"/>
      <c r="BC314" s="1009"/>
      <c r="BD314" s="998"/>
      <c r="BE314" s="267"/>
      <c r="BF314" s="998"/>
      <c r="BG314" s="998"/>
      <c r="BH314" s="267"/>
      <c r="BI314" s="998"/>
      <c r="BJ314" s="998"/>
      <c r="BK314" s="265"/>
      <c r="BL314" s="1016"/>
      <c r="BN314" s="1012"/>
      <c r="BO314" s="998"/>
      <c r="BP314" s="267"/>
      <c r="BQ314" s="1009"/>
      <c r="BR314" s="998"/>
      <c r="BS314" s="267"/>
      <c r="BT314" s="998"/>
      <c r="BU314" s="998"/>
      <c r="BV314" s="267"/>
      <c r="BW314" s="998"/>
      <c r="BX314" s="998"/>
      <c r="BY314" s="265"/>
      <c r="BZ314" s="1016"/>
      <c r="CB314" s="1012"/>
      <c r="CC314" s="998"/>
      <c r="CD314" s="267"/>
      <c r="CE314" s="1009"/>
      <c r="CF314" s="998"/>
      <c r="CG314" s="267"/>
      <c r="CH314" s="998"/>
      <c r="CI314" s="998"/>
      <c r="CJ314" s="267"/>
      <c r="CK314" s="998"/>
      <c r="CL314" s="998"/>
      <c r="CM314" s="265"/>
      <c r="CN314" s="1016"/>
    </row>
    <row r="315" spans="2:92" ht="39" customHeight="1" x14ac:dyDescent="0.2">
      <c r="B315" s="969"/>
      <c r="C315" s="973"/>
      <c r="D315" s="943"/>
      <c r="E315" s="956"/>
      <c r="F315" s="949"/>
      <c r="G315" s="378" t="str">
        <f>+'Plan de Accion apoyo transversa'!X97</f>
        <v>Olimpiada deportiva de Billar</v>
      </c>
      <c r="H315" s="289" t="str">
        <f>+'Plan de Accion apoyo transversa'!AK97</f>
        <v># Actividades de bienestar realizadas</v>
      </c>
      <c r="J315" s="283">
        <f>+'Plan de Accion apoyo transversa'!AT97</f>
        <v>0</v>
      </c>
      <c r="K315" s="615" t="str">
        <f>+'Plan de Accion apoyo transversa'!CE97</f>
        <v>No Prog ni Ejec</v>
      </c>
      <c r="L315" s="615" t="s">
        <v>206</v>
      </c>
      <c r="M315" s="615">
        <f>+'Plan de Accion apoyo transversa'!AX97</f>
        <v>0</v>
      </c>
      <c r="N315" s="615">
        <f t="shared" si="141"/>
        <v>0</v>
      </c>
      <c r="O315" s="617" t="s">
        <v>206</v>
      </c>
      <c r="P315" s="277"/>
      <c r="Q315" s="283">
        <f>+'Plan de Accion apoyo transversa'!BD97</f>
        <v>0</v>
      </c>
      <c r="R315" s="373" t="str">
        <f>+'Plan de Accion apoyo transversa'!CG97</f>
        <v>No Prog ni Ejec</v>
      </c>
      <c r="S315" s="315" t="s">
        <v>206</v>
      </c>
      <c r="T315" s="373">
        <f>+'Plan de Accion apoyo transversa'!BH97</f>
        <v>0</v>
      </c>
      <c r="U315" s="373">
        <f t="shared" si="146"/>
        <v>0</v>
      </c>
      <c r="V315" s="275" t="s">
        <v>206</v>
      </c>
      <c r="W315" s="278"/>
      <c r="X315" s="283">
        <f>+'Plan de Accion apoyo transversa'!BN97</f>
        <v>0</v>
      </c>
      <c r="Y315" s="373" t="str">
        <f>+'Plan de Accion apoyo transversa'!CI97</f>
        <v>No Prog ni Ejec</v>
      </c>
      <c r="Z315" s="276" t="s">
        <v>206</v>
      </c>
      <c r="AA315" s="282">
        <f>+'Plan de Accion apoyo transversa'!BR97</f>
        <v>0</v>
      </c>
      <c r="AB315" s="282">
        <f t="shared" si="147"/>
        <v>0</v>
      </c>
      <c r="AC315" s="281" t="s">
        <v>206</v>
      </c>
      <c r="AD315" s="277"/>
      <c r="AE315" s="283">
        <f>+'Plan de Accion apoyo transversa'!BX97</f>
        <v>0</v>
      </c>
      <c r="AF315" s="373">
        <f>+'Plan de Accion apoyo transversa'!CK97</f>
        <v>0</v>
      </c>
      <c r="AG315" s="276">
        <f>IF(AF315&gt;100%,100%,AF315)</f>
        <v>0</v>
      </c>
      <c r="AH315" s="373">
        <f>+'Plan de Accion apoyo transversa'!CB97</f>
        <v>0</v>
      </c>
      <c r="AI315" s="275">
        <f t="shared" si="149"/>
        <v>0</v>
      </c>
      <c r="AJ315" s="996"/>
      <c r="AL315" s="1012"/>
      <c r="AM315" s="998"/>
      <c r="AN315" s="267"/>
      <c r="AO315" s="1009"/>
      <c r="AP315" s="998"/>
      <c r="AQ315" s="267"/>
      <c r="AR315" s="998"/>
      <c r="AS315" s="998"/>
      <c r="AT315" s="267"/>
      <c r="AU315" s="998"/>
      <c r="AV315" s="998"/>
      <c r="AW315" s="265"/>
      <c r="AX315" s="1016"/>
      <c r="AZ315" s="1012"/>
      <c r="BA315" s="998"/>
      <c r="BB315" s="267"/>
      <c r="BC315" s="1009"/>
      <c r="BD315" s="998"/>
      <c r="BE315" s="267"/>
      <c r="BF315" s="998"/>
      <c r="BG315" s="998"/>
      <c r="BH315" s="267"/>
      <c r="BI315" s="998"/>
      <c r="BJ315" s="998"/>
      <c r="BK315" s="265"/>
      <c r="BL315" s="1016"/>
      <c r="BN315" s="1012"/>
      <c r="BO315" s="998"/>
      <c r="BP315" s="267"/>
      <c r="BQ315" s="1009"/>
      <c r="BR315" s="998"/>
      <c r="BS315" s="267"/>
      <c r="BT315" s="998"/>
      <c r="BU315" s="998"/>
      <c r="BV315" s="267"/>
      <c r="BW315" s="998"/>
      <c r="BX315" s="998"/>
      <c r="BY315" s="265"/>
      <c r="BZ315" s="1016"/>
      <c r="CB315" s="1012"/>
      <c r="CC315" s="998"/>
      <c r="CD315" s="267"/>
      <c r="CE315" s="1009"/>
      <c r="CF315" s="998"/>
      <c r="CG315" s="267"/>
      <c r="CH315" s="998"/>
      <c r="CI315" s="998"/>
      <c r="CJ315" s="267"/>
      <c r="CK315" s="998"/>
      <c r="CL315" s="998"/>
      <c r="CM315" s="265"/>
      <c r="CN315" s="1016"/>
    </row>
    <row r="316" spans="2:92" ht="39" customHeight="1" x14ac:dyDescent="0.2">
      <c r="B316" s="969"/>
      <c r="C316" s="973"/>
      <c r="D316" s="943"/>
      <c r="E316" s="956"/>
      <c r="F316" s="949"/>
      <c r="G316" s="378" t="str">
        <f>+'Plan de Accion apoyo transversa'!X98</f>
        <v>Caminata ecológica realizada</v>
      </c>
      <c r="H316" s="289" t="str">
        <f>+'Plan de Accion apoyo transversa'!AK98</f>
        <v># Actividades de bienestar realizadas</v>
      </c>
      <c r="J316" s="283">
        <f>+'Plan de Accion apoyo transversa'!AT98</f>
        <v>0</v>
      </c>
      <c r="K316" s="615" t="str">
        <f>+'Plan de Accion apoyo transversa'!CE98</f>
        <v>No Prog ni Ejec</v>
      </c>
      <c r="L316" s="615" t="s">
        <v>206</v>
      </c>
      <c r="M316" s="615">
        <f>+'Plan de Accion apoyo transversa'!AX98</f>
        <v>0</v>
      </c>
      <c r="N316" s="615">
        <f t="shared" si="141"/>
        <v>0</v>
      </c>
      <c r="O316" s="617" t="s">
        <v>206</v>
      </c>
      <c r="P316" s="277"/>
      <c r="Q316" s="283">
        <f>+'Plan de Accion apoyo transversa'!BD98</f>
        <v>0</v>
      </c>
      <c r="R316" s="373" t="str">
        <f>+'Plan de Accion apoyo transversa'!CG98</f>
        <v>No Prog ni Ejec</v>
      </c>
      <c r="S316" s="315" t="s">
        <v>206</v>
      </c>
      <c r="T316" s="373">
        <f>+'Plan de Accion apoyo transversa'!BH98</f>
        <v>0</v>
      </c>
      <c r="U316" s="373">
        <f t="shared" si="146"/>
        <v>0</v>
      </c>
      <c r="V316" s="275" t="s">
        <v>206</v>
      </c>
      <c r="W316" s="278"/>
      <c r="X316" s="283">
        <f>+'Plan de Accion apoyo transversa'!BN98</f>
        <v>0</v>
      </c>
      <c r="Y316" s="373">
        <f>+'Plan de Accion apoyo transversa'!CI98</f>
        <v>0</v>
      </c>
      <c r="Z316" s="276">
        <f>IF(Y316&gt;100%,100%,Y316)</f>
        <v>0</v>
      </c>
      <c r="AA316" s="282">
        <f>+'Plan de Accion apoyo transversa'!BR98</f>
        <v>0</v>
      </c>
      <c r="AB316" s="282">
        <f t="shared" si="147"/>
        <v>0</v>
      </c>
      <c r="AC316" s="281">
        <f t="shared" si="148"/>
        <v>0</v>
      </c>
      <c r="AD316" s="277"/>
      <c r="AE316" s="283">
        <f>+'Plan de Accion apoyo transversa'!BX98</f>
        <v>0</v>
      </c>
      <c r="AF316" s="373" t="str">
        <f>+'Plan de Accion apoyo transversa'!CK98</f>
        <v>No Prog ni Ejec</v>
      </c>
      <c r="AG316" s="276" t="s">
        <v>206</v>
      </c>
      <c r="AH316" s="373">
        <f>+'Plan de Accion apoyo transversa'!CB98</f>
        <v>0</v>
      </c>
      <c r="AI316" s="275">
        <f t="shared" si="149"/>
        <v>0</v>
      </c>
      <c r="AJ316" s="996"/>
      <c r="AL316" s="1012"/>
      <c r="AM316" s="998"/>
      <c r="AN316" s="267"/>
      <c r="AO316" s="1009"/>
      <c r="AP316" s="998"/>
      <c r="AQ316" s="267"/>
      <c r="AR316" s="998"/>
      <c r="AS316" s="998"/>
      <c r="AT316" s="267"/>
      <c r="AU316" s="998"/>
      <c r="AV316" s="998"/>
      <c r="AW316" s="265"/>
      <c r="AX316" s="1016"/>
      <c r="AZ316" s="1012"/>
      <c r="BA316" s="998"/>
      <c r="BB316" s="267"/>
      <c r="BC316" s="1009"/>
      <c r="BD316" s="998"/>
      <c r="BE316" s="267"/>
      <c r="BF316" s="998"/>
      <c r="BG316" s="998"/>
      <c r="BH316" s="267"/>
      <c r="BI316" s="998"/>
      <c r="BJ316" s="998"/>
      <c r="BK316" s="265"/>
      <c r="BL316" s="1016"/>
      <c r="BN316" s="1012"/>
      <c r="BO316" s="998"/>
      <c r="BP316" s="267"/>
      <c r="BQ316" s="1009"/>
      <c r="BR316" s="998"/>
      <c r="BS316" s="267"/>
      <c r="BT316" s="998"/>
      <c r="BU316" s="998"/>
      <c r="BV316" s="267"/>
      <c r="BW316" s="998"/>
      <c r="BX316" s="998"/>
      <c r="BY316" s="265"/>
      <c r="BZ316" s="1016"/>
      <c r="CB316" s="1012"/>
      <c r="CC316" s="998"/>
      <c r="CD316" s="267"/>
      <c r="CE316" s="1009"/>
      <c r="CF316" s="998"/>
      <c r="CG316" s="267"/>
      <c r="CH316" s="998"/>
      <c r="CI316" s="998"/>
      <c r="CJ316" s="267"/>
      <c r="CK316" s="998"/>
      <c r="CL316" s="998"/>
      <c r="CM316" s="265"/>
      <c r="CN316" s="1016"/>
    </row>
    <row r="317" spans="2:92" ht="39" customHeight="1" x14ac:dyDescent="0.2">
      <c r="B317" s="969"/>
      <c r="C317" s="973"/>
      <c r="D317" s="943"/>
      <c r="E317" s="956"/>
      <c r="F317" s="949"/>
      <c r="G317" s="378" t="str">
        <f>+'Plan de Accion apoyo transversa'!X99</f>
        <v>Vacaciones recreativas realizadas</v>
      </c>
      <c r="H317" s="289" t="str">
        <f>+'Plan de Accion apoyo transversa'!AK99</f>
        <v># Actividades de bienestar realizadas</v>
      </c>
      <c r="J317" s="283">
        <f>+'Plan de Accion apoyo transversa'!AT99</f>
        <v>0</v>
      </c>
      <c r="K317" s="615" t="str">
        <f>+'Plan de Accion apoyo transversa'!CE99</f>
        <v>No Prog ni Ejec</v>
      </c>
      <c r="L317" s="615" t="s">
        <v>206</v>
      </c>
      <c r="M317" s="615">
        <f>+'Plan de Accion apoyo transversa'!AX99</f>
        <v>0</v>
      </c>
      <c r="N317" s="615">
        <f>IF(M317&gt;100%,100%,M317)</f>
        <v>0</v>
      </c>
      <c r="O317" s="617" t="s">
        <v>206</v>
      </c>
      <c r="P317" s="277"/>
      <c r="Q317" s="283">
        <f>+'Plan de Accion apoyo transversa'!BD99</f>
        <v>0</v>
      </c>
      <c r="R317" s="373" t="str">
        <f>+'Plan de Accion apoyo transversa'!CG99</f>
        <v>No Prog ni Ejec</v>
      </c>
      <c r="S317" s="315" t="s">
        <v>206</v>
      </c>
      <c r="T317" s="373">
        <f>+'Plan de Accion apoyo transversa'!BH99</f>
        <v>0</v>
      </c>
      <c r="U317" s="373">
        <f t="shared" si="146"/>
        <v>0</v>
      </c>
      <c r="V317" s="275" t="s">
        <v>206</v>
      </c>
      <c r="W317" s="278"/>
      <c r="X317" s="283">
        <f>+'Plan de Accion apoyo transversa'!BN99</f>
        <v>0</v>
      </c>
      <c r="Y317" s="373" t="str">
        <f>+'Plan de Accion apoyo transversa'!CI99</f>
        <v>No Prog ni Ejec</v>
      </c>
      <c r="Z317" s="276" t="s">
        <v>206</v>
      </c>
      <c r="AA317" s="282">
        <f>+'Plan de Accion apoyo transversa'!BR99</f>
        <v>0</v>
      </c>
      <c r="AB317" s="282">
        <f t="shared" si="147"/>
        <v>0</v>
      </c>
      <c r="AC317" s="281" t="s">
        <v>206</v>
      </c>
      <c r="AD317" s="277"/>
      <c r="AE317" s="283">
        <f>+'Plan de Accion apoyo transversa'!BX99</f>
        <v>0</v>
      </c>
      <c r="AF317" s="373">
        <f>+'Plan de Accion apoyo transversa'!CK99</f>
        <v>0</v>
      </c>
      <c r="AG317" s="276">
        <f>IF(AF317&gt;100%,100%,AF317)</f>
        <v>0</v>
      </c>
      <c r="AH317" s="373">
        <f>+'Plan de Accion apoyo transversa'!CB99</f>
        <v>0</v>
      </c>
      <c r="AI317" s="275">
        <f t="shared" si="149"/>
        <v>0</v>
      </c>
      <c r="AJ317" s="996"/>
      <c r="AL317" s="1012"/>
      <c r="AM317" s="998"/>
      <c r="AN317" s="267"/>
      <c r="AO317" s="1009"/>
      <c r="AP317" s="998"/>
      <c r="AQ317" s="267"/>
      <c r="AR317" s="998"/>
      <c r="AS317" s="998"/>
      <c r="AT317" s="267"/>
      <c r="AU317" s="998"/>
      <c r="AV317" s="998"/>
      <c r="AW317" s="265"/>
      <c r="AX317" s="1016"/>
      <c r="AZ317" s="1012"/>
      <c r="BA317" s="998"/>
      <c r="BB317" s="267"/>
      <c r="BC317" s="1009"/>
      <c r="BD317" s="998"/>
      <c r="BE317" s="267"/>
      <c r="BF317" s="998"/>
      <c r="BG317" s="998"/>
      <c r="BH317" s="267"/>
      <c r="BI317" s="998"/>
      <c r="BJ317" s="998"/>
      <c r="BK317" s="265"/>
      <c r="BL317" s="1016"/>
      <c r="BN317" s="1012"/>
      <c r="BO317" s="998"/>
      <c r="BP317" s="267"/>
      <c r="BQ317" s="1009"/>
      <c r="BR317" s="998"/>
      <c r="BS317" s="267"/>
      <c r="BT317" s="998"/>
      <c r="BU317" s="998"/>
      <c r="BV317" s="267"/>
      <c r="BW317" s="998"/>
      <c r="BX317" s="998"/>
      <c r="BY317" s="265"/>
      <c r="BZ317" s="1016"/>
      <c r="CB317" s="1012"/>
      <c r="CC317" s="998"/>
      <c r="CD317" s="267"/>
      <c r="CE317" s="1009"/>
      <c r="CF317" s="998"/>
      <c r="CG317" s="267"/>
      <c r="CH317" s="998"/>
      <c r="CI317" s="998"/>
      <c r="CJ317" s="267"/>
      <c r="CK317" s="998"/>
      <c r="CL317" s="998"/>
      <c r="CM317" s="265"/>
      <c r="CN317" s="1016"/>
    </row>
    <row r="318" spans="2:92" ht="28.5" x14ac:dyDescent="0.2">
      <c r="B318" s="970"/>
      <c r="C318" s="973"/>
      <c r="D318" s="943"/>
      <c r="E318" s="956"/>
      <c r="F318" s="949"/>
      <c r="G318" s="378" t="str">
        <f>+'Plan de Accion apoyo transversa'!X100</f>
        <v>Actividad día del niño realizada</v>
      </c>
      <c r="H318" s="289" t="str">
        <f>+'Plan de Accion apoyo transversa'!AK100</f>
        <v># Actividades de bienestar realizadas</v>
      </c>
      <c r="J318" s="283">
        <f>+'Plan de Accion apoyo transversa'!AT100</f>
        <v>0</v>
      </c>
      <c r="K318" s="615" t="str">
        <f>+'Plan de Accion apoyo transversa'!CE100</f>
        <v>No Prog ni Ejec</v>
      </c>
      <c r="L318" s="615" t="s">
        <v>206</v>
      </c>
      <c r="M318" s="615">
        <f>+'Plan de Accion apoyo transversa'!AX100</f>
        <v>0</v>
      </c>
      <c r="N318" s="615">
        <f t="shared" si="141"/>
        <v>0</v>
      </c>
      <c r="O318" s="617" t="s">
        <v>206</v>
      </c>
      <c r="P318" s="277"/>
      <c r="Q318" s="283">
        <f>+'Plan de Accion apoyo transversa'!BD100</f>
        <v>0</v>
      </c>
      <c r="R318" s="373" t="str">
        <f>+'Plan de Accion apoyo transversa'!CG100</f>
        <v>No Prog ni Ejec</v>
      </c>
      <c r="S318" s="315" t="s">
        <v>206</v>
      </c>
      <c r="T318" s="373">
        <f>+'Plan de Accion apoyo transversa'!BH100</f>
        <v>0</v>
      </c>
      <c r="U318" s="373">
        <f t="shared" si="146"/>
        <v>0</v>
      </c>
      <c r="V318" s="275" t="s">
        <v>206</v>
      </c>
      <c r="W318" s="278"/>
      <c r="X318" s="283">
        <f>+'Plan de Accion apoyo transversa'!BN100</f>
        <v>0</v>
      </c>
      <c r="Y318" s="373" t="str">
        <f>+'Plan de Accion apoyo transversa'!CI100</f>
        <v>No Prog ni Ejec</v>
      </c>
      <c r="Z318" s="276" t="s">
        <v>206</v>
      </c>
      <c r="AA318" s="282">
        <f>+'Plan de Accion apoyo transversa'!BR100</f>
        <v>0</v>
      </c>
      <c r="AB318" s="282">
        <f t="shared" si="147"/>
        <v>0</v>
      </c>
      <c r="AC318" s="281" t="s">
        <v>206</v>
      </c>
      <c r="AD318" s="277"/>
      <c r="AE318" s="283">
        <f>+'Plan de Accion apoyo transversa'!BX100</f>
        <v>0</v>
      </c>
      <c r="AF318" s="373">
        <f>+'Plan de Accion apoyo transversa'!CK100</f>
        <v>0</v>
      </c>
      <c r="AG318" s="276">
        <f>IF(AF318&gt;100%,100%,AF318)</f>
        <v>0</v>
      </c>
      <c r="AH318" s="373">
        <f>+'Plan de Accion apoyo transversa'!CB100</f>
        <v>0</v>
      </c>
      <c r="AI318" s="275">
        <f t="shared" si="149"/>
        <v>0</v>
      </c>
      <c r="AJ318" s="996"/>
      <c r="AL318" s="1012"/>
      <c r="AM318" s="998"/>
      <c r="AN318" s="267"/>
      <c r="AO318" s="1009"/>
      <c r="AP318" s="998"/>
      <c r="AQ318" s="267"/>
      <c r="AR318" s="998"/>
      <c r="AS318" s="998"/>
      <c r="AT318" s="267"/>
      <c r="AU318" s="998"/>
      <c r="AV318" s="998"/>
      <c r="AW318" s="265"/>
      <c r="AX318" s="1016"/>
      <c r="AZ318" s="1012"/>
      <c r="BA318" s="998"/>
      <c r="BB318" s="267"/>
      <c r="BC318" s="1009"/>
      <c r="BD318" s="998"/>
      <c r="BE318" s="267"/>
      <c r="BF318" s="998"/>
      <c r="BG318" s="998"/>
      <c r="BH318" s="267"/>
      <c r="BI318" s="998"/>
      <c r="BJ318" s="998"/>
      <c r="BK318" s="265"/>
      <c r="BL318" s="1016"/>
      <c r="BN318" s="1012"/>
      <c r="BO318" s="998"/>
      <c r="BP318" s="267"/>
      <c r="BQ318" s="1009"/>
      <c r="BR318" s="998"/>
      <c r="BS318" s="267"/>
      <c r="BT318" s="998"/>
      <c r="BU318" s="998"/>
      <c r="BV318" s="267"/>
      <c r="BW318" s="998"/>
      <c r="BX318" s="998"/>
      <c r="BY318" s="265"/>
      <c r="BZ318" s="1016"/>
      <c r="CB318" s="1012"/>
      <c r="CC318" s="998"/>
      <c r="CD318" s="267"/>
      <c r="CE318" s="1009"/>
      <c r="CF318" s="998"/>
      <c r="CG318" s="267"/>
      <c r="CH318" s="998"/>
      <c r="CI318" s="998"/>
      <c r="CJ318" s="267"/>
      <c r="CK318" s="998"/>
      <c r="CL318" s="998"/>
      <c r="CM318" s="265"/>
      <c r="CN318" s="1016"/>
    </row>
    <row r="319" spans="2:92" ht="57" customHeight="1" x14ac:dyDescent="0.2">
      <c r="B319" s="970"/>
      <c r="C319" s="973"/>
      <c r="D319" s="943"/>
      <c r="E319" s="956"/>
      <c r="F319" s="949"/>
      <c r="G319" s="378" t="str">
        <f>+'Plan de Accion apoyo transversa'!X101</f>
        <v>Actividad cultural y artística de Cine realizada</v>
      </c>
      <c r="H319" s="289" t="str">
        <f>+'Plan de Accion apoyo transversa'!AK101</f>
        <v># Actividades de bienestar realizadas</v>
      </c>
      <c r="J319" s="283">
        <f>+'Plan de Accion apoyo transversa'!AT101</f>
        <v>0</v>
      </c>
      <c r="K319" s="615" t="str">
        <f>+'Plan de Accion apoyo transversa'!CE101</f>
        <v>No Prog ni Ejec</v>
      </c>
      <c r="L319" s="615" t="s">
        <v>206</v>
      </c>
      <c r="M319" s="615">
        <f>+'Plan de Accion apoyo transversa'!AX101</f>
        <v>0</v>
      </c>
      <c r="N319" s="615">
        <f t="shared" si="141"/>
        <v>0</v>
      </c>
      <c r="O319" s="617" t="s">
        <v>206</v>
      </c>
      <c r="P319" s="277"/>
      <c r="Q319" s="283">
        <f>+'Plan de Accion apoyo transversa'!BD101</f>
        <v>0</v>
      </c>
      <c r="R319" s="373" t="str">
        <f>+'Plan de Accion apoyo transversa'!CG101</f>
        <v>No Prog ni Ejec</v>
      </c>
      <c r="S319" s="315" t="s">
        <v>206</v>
      </c>
      <c r="T319" s="373">
        <f>+'Plan de Accion apoyo transversa'!BH101</f>
        <v>0</v>
      </c>
      <c r="U319" s="373">
        <f t="shared" si="146"/>
        <v>0</v>
      </c>
      <c r="V319" s="275" t="s">
        <v>206</v>
      </c>
      <c r="W319" s="278"/>
      <c r="X319" s="283">
        <f>+'Plan de Accion apoyo transversa'!BN101</f>
        <v>0</v>
      </c>
      <c r="Y319" s="373">
        <f>+'Plan de Accion apoyo transversa'!CI101</f>
        <v>0</v>
      </c>
      <c r="Z319" s="276">
        <f>IF(Y319&gt;100%,100%,Y319)</f>
        <v>0</v>
      </c>
      <c r="AA319" s="282">
        <f>+'Plan de Accion apoyo transversa'!BR101</f>
        <v>0</v>
      </c>
      <c r="AB319" s="282">
        <f t="shared" si="147"/>
        <v>0</v>
      </c>
      <c r="AC319" s="281">
        <f t="shared" si="148"/>
        <v>0</v>
      </c>
      <c r="AD319" s="277"/>
      <c r="AE319" s="283">
        <f>+'Plan de Accion apoyo transversa'!BX101</f>
        <v>0</v>
      </c>
      <c r="AF319" s="373" t="str">
        <f>+'Plan de Accion apoyo transversa'!CK101</f>
        <v>No Prog ni Ejec</v>
      </c>
      <c r="AG319" s="276" t="s">
        <v>206</v>
      </c>
      <c r="AH319" s="373">
        <f>+'Plan de Accion apoyo transversa'!CB101</f>
        <v>0</v>
      </c>
      <c r="AI319" s="275">
        <f t="shared" si="149"/>
        <v>0</v>
      </c>
      <c r="AJ319" s="996"/>
      <c r="AL319" s="1012"/>
      <c r="AM319" s="998"/>
      <c r="AN319" s="267"/>
      <c r="AO319" s="1009"/>
      <c r="AP319" s="998"/>
      <c r="AQ319" s="267"/>
      <c r="AR319" s="998"/>
      <c r="AS319" s="998"/>
      <c r="AT319" s="267"/>
      <c r="AU319" s="998"/>
      <c r="AV319" s="998"/>
      <c r="AW319" s="265"/>
      <c r="AX319" s="1016"/>
      <c r="AZ319" s="1012"/>
      <c r="BA319" s="998"/>
      <c r="BB319" s="267"/>
      <c r="BC319" s="1009"/>
      <c r="BD319" s="998"/>
      <c r="BE319" s="267"/>
      <c r="BF319" s="998"/>
      <c r="BG319" s="998"/>
      <c r="BH319" s="267"/>
      <c r="BI319" s="998"/>
      <c r="BJ319" s="998"/>
      <c r="BK319" s="265"/>
      <c r="BL319" s="1016"/>
      <c r="BN319" s="1012"/>
      <c r="BO319" s="998"/>
      <c r="BP319" s="267"/>
      <c r="BQ319" s="1009"/>
      <c r="BR319" s="998"/>
      <c r="BS319" s="267"/>
      <c r="BT319" s="998"/>
      <c r="BU319" s="998"/>
      <c r="BV319" s="267"/>
      <c r="BW319" s="998"/>
      <c r="BX319" s="998"/>
      <c r="BY319" s="265"/>
      <c r="BZ319" s="1016"/>
      <c r="CB319" s="1012"/>
      <c r="CC319" s="998"/>
      <c r="CD319" s="267"/>
      <c r="CE319" s="1009"/>
      <c r="CF319" s="998"/>
      <c r="CG319" s="267"/>
      <c r="CH319" s="998"/>
      <c r="CI319" s="998"/>
      <c r="CJ319" s="267"/>
      <c r="CK319" s="998"/>
      <c r="CL319" s="998"/>
      <c r="CM319" s="265"/>
      <c r="CN319" s="1016"/>
    </row>
    <row r="320" spans="2:92" ht="28.5" x14ac:dyDescent="0.2">
      <c r="B320" s="970"/>
      <c r="C320" s="973"/>
      <c r="D320" s="943"/>
      <c r="E320" s="956"/>
      <c r="F320" s="949"/>
      <c r="G320" s="378" t="str">
        <f>+'Plan de Accion apoyo transversa'!X102</f>
        <v>Actividad cultural y artística de Taller de cocina realizada</v>
      </c>
      <c r="H320" s="289" t="str">
        <f>+'Plan de Accion apoyo transversa'!AK102</f>
        <v># Actividades de bienestar realizadas</v>
      </c>
      <c r="J320" s="283">
        <f>+'Plan de Accion apoyo transversa'!AT102</f>
        <v>0</v>
      </c>
      <c r="K320" s="615" t="str">
        <f>+'Plan de Accion apoyo transversa'!CE102</f>
        <v>No Prog ni Ejec</v>
      </c>
      <c r="L320" s="615" t="s">
        <v>206</v>
      </c>
      <c r="M320" s="615">
        <f>+'Plan de Accion apoyo transversa'!AX102</f>
        <v>0</v>
      </c>
      <c r="N320" s="615">
        <f t="shared" si="141"/>
        <v>0</v>
      </c>
      <c r="O320" s="617" t="s">
        <v>206</v>
      </c>
      <c r="P320" s="277"/>
      <c r="Q320" s="283">
        <f>+'Plan de Accion apoyo transversa'!BD102</f>
        <v>0</v>
      </c>
      <c r="R320" s="373">
        <f>+'Plan de Accion apoyo transversa'!CG102</f>
        <v>0</v>
      </c>
      <c r="S320" s="315">
        <f>IF(R320&gt;100%,100%,R320)</f>
        <v>0</v>
      </c>
      <c r="T320" s="373">
        <f>+'Plan de Accion apoyo transversa'!BH102</f>
        <v>0</v>
      </c>
      <c r="U320" s="373">
        <f t="shared" si="146"/>
        <v>0</v>
      </c>
      <c r="V320" s="275">
        <f>+U320</f>
        <v>0</v>
      </c>
      <c r="W320" s="278"/>
      <c r="X320" s="283">
        <f>+'Plan de Accion apoyo transversa'!BN102</f>
        <v>0</v>
      </c>
      <c r="Y320" s="373" t="str">
        <f>+'Plan de Accion apoyo transversa'!CI102</f>
        <v>No Prog ni Ejec</v>
      </c>
      <c r="Z320" s="276" t="s">
        <v>206</v>
      </c>
      <c r="AA320" s="282">
        <f>+'Plan de Accion apoyo transversa'!BR102</f>
        <v>0</v>
      </c>
      <c r="AB320" s="282">
        <f t="shared" si="147"/>
        <v>0</v>
      </c>
      <c r="AC320" s="281">
        <f t="shared" si="148"/>
        <v>0</v>
      </c>
      <c r="AD320" s="277"/>
      <c r="AE320" s="283">
        <f>+'Plan de Accion apoyo transversa'!BX102</f>
        <v>0</v>
      </c>
      <c r="AF320" s="373">
        <f>+'Plan de Accion apoyo transversa'!CK102</f>
        <v>0</v>
      </c>
      <c r="AG320" s="276">
        <f>IF(AF320&gt;100%,100%,AF320)</f>
        <v>0</v>
      </c>
      <c r="AH320" s="373">
        <f>+'Plan de Accion apoyo transversa'!CB102</f>
        <v>0</v>
      </c>
      <c r="AI320" s="275">
        <f t="shared" si="149"/>
        <v>0</v>
      </c>
      <c r="AJ320" s="996"/>
      <c r="AL320" s="1012"/>
      <c r="AM320" s="998"/>
      <c r="AN320" s="267"/>
      <c r="AO320" s="1009"/>
      <c r="AP320" s="998"/>
      <c r="AQ320" s="267"/>
      <c r="AR320" s="998"/>
      <c r="AS320" s="998"/>
      <c r="AT320" s="267"/>
      <c r="AU320" s="998"/>
      <c r="AV320" s="998"/>
      <c r="AW320" s="265"/>
      <c r="AX320" s="1016"/>
      <c r="AZ320" s="1012"/>
      <c r="BA320" s="998"/>
      <c r="BB320" s="267"/>
      <c r="BC320" s="1009"/>
      <c r="BD320" s="998"/>
      <c r="BE320" s="267"/>
      <c r="BF320" s="998"/>
      <c r="BG320" s="998"/>
      <c r="BH320" s="267"/>
      <c r="BI320" s="998"/>
      <c r="BJ320" s="998"/>
      <c r="BK320" s="265"/>
      <c r="BL320" s="1016"/>
      <c r="BN320" s="1012"/>
      <c r="BO320" s="998"/>
      <c r="BP320" s="267"/>
      <c r="BQ320" s="1009"/>
      <c r="BR320" s="998"/>
      <c r="BS320" s="267"/>
      <c r="BT320" s="998"/>
      <c r="BU320" s="998"/>
      <c r="BV320" s="267"/>
      <c r="BW320" s="998"/>
      <c r="BX320" s="998"/>
      <c r="BY320" s="265"/>
      <c r="BZ320" s="1016"/>
      <c r="CB320" s="1012"/>
      <c r="CC320" s="998"/>
      <c r="CD320" s="267"/>
      <c r="CE320" s="1009"/>
      <c r="CF320" s="998"/>
      <c r="CG320" s="267"/>
      <c r="CH320" s="998"/>
      <c r="CI320" s="998"/>
      <c r="CJ320" s="267"/>
      <c r="CK320" s="998"/>
      <c r="CL320" s="998"/>
      <c r="CM320" s="265"/>
      <c r="CN320" s="1016"/>
    </row>
    <row r="321" spans="2:92" ht="28.5" x14ac:dyDescent="0.2">
      <c r="B321" s="970"/>
      <c r="C321" s="973"/>
      <c r="D321" s="943"/>
      <c r="E321" s="956"/>
      <c r="F321" s="949"/>
      <c r="G321" s="378" t="str">
        <f>+'Plan de Accion apoyo transversa'!X103</f>
        <v>Actividad social de Dia de la familia realizada</v>
      </c>
      <c r="H321" s="289" t="str">
        <f>+'Plan de Accion apoyo transversa'!AK103</f>
        <v># Actividades de bienestar realizadas</v>
      </c>
      <c r="J321" s="283">
        <f>+'Plan de Accion apoyo transversa'!AT103</f>
        <v>0</v>
      </c>
      <c r="K321" s="615" t="str">
        <f>+'Plan de Accion apoyo transversa'!CE103</f>
        <v>No Prog ni Ejec</v>
      </c>
      <c r="L321" s="615" t="s">
        <v>206</v>
      </c>
      <c r="M321" s="615">
        <f>+'Plan de Accion apoyo transversa'!AX103</f>
        <v>0</v>
      </c>
      <c r="N321" s="615">
        <f t="shared" si="141"/>
        <v>0</v>
      </c>
      <c r="O321" s="617" t="s">
        <v>206</v>
      </c>
      <c r="P321" s="277"/>
      <c r="Q321" s="283">
        <f>+'Plan de Accion apoyo transversa'!BD103</f>
        <v>0</v>
      </c>
      <c r="R321" s="373">
        <f>+'Plan de Accion apoyo transversa'!CG103</f>
        <v>0</v>
      </c>
      <c r="S321" s="315">
        <f>IF(R321&gt;100%,100%,R321)</f>
        <v>0</v>
      </c>
      <c r="T321" s="373">
        <f>+'Plan de Accion apoyo transversa'!BH103</f>
        <v>0</v>
      </c>
      <c r="U321" s="373">
        <f t="shared" si="146"/>
        <v>0</v>
      </c>
      <c r="V321" s="275">
        <f>+U321</f>
        <v>0</v>
      </c>
      <c r="W321" s="278"/>
      <c r="X321" s="283">
        <f>+'Plan de Accion apoyo transversa'!BN103</f>
        <v>0</v>
      </c>
      <c r="Y321" s="373">
        <f>+'Plan de Accion apoyo transversa'!CI103</f>
        <v>0</v>
      </c>
      <c r="Z321" s="276">
        <f>IF(Y321&gt;100%,100%,Y321)</f>
        <v>0</v>
      </c>
      <c r="AA321" s="282">
        <f>+'Plan de Accion apoyo transversa'!BR103</f>
        <v>0</v>
      </c>
      <c r="AB321" s="282">
        <f t="shared" si="147"/>
        <v>0</v>
      </c>
      <c r="AC321" s="281">
        <f t="shared" si="148"/>
        <v>0</v>
      </c>
      <c r="AD321" s="277"/>
      <c r="AE321" s="283">
        <f>+'Plan de Accion apoyo transversa'!BX103</f>
        <v>0</v>
      </c>
      <c r="AF321" s="373" t="str">
        <f>+'Plan de Accion apoyo transversa'!CK103</f>
        <v>No Prog ni Ejec</v>
      </c>
      <c r="AG321" s="276" t="s">
        <v>206</v>
      </c>
      <c r="AH321" s="373">
        <f>+'Plan de Accion apoyo transversa'!CB103</f>
        <v>0</v>
      </c>
      <c r="AI321" s="275">
        <f t="shared" si="149"/>
        <v>0</v>
      </c>
      <c r="AJ321" s="996"/>
      <c r="AL321" s="1012"/>
      <c r="AM321" s="998"/>
      <c r="AN321" s="267"/>
      <c r="AO321" s="1009"/>
      <c r="AP321" s="998"/>
      <c r="AQ321" s="267"/>
      <c r="AR321" s="998"/>
      <c r="AS321" s="998"/>
      <c r="AT321" s="267"/>
      <c r="AU321" s="998"/>
      <c r="AV321" s="998"/>
      <c r="AW321" s="265"/>
      <c r="AX321" s="1016"/>
      <c r="AZ321" s="1012"/>
      <c r="BA321" s="998"/>
      <c r="BB321" s="267"/>
      <c r="BC321" s="1009"/>
      <c r="BD321" s="998"/>
      <c r="BE321" s="267"/>
      <c r="BF321" s="998"/>
      <c r="BG321" s="998"/>
      <c r="BH321" s="267"/>
      <c r="BI321" s="998"/>
      <c r="BJ321" s="998"/>
      <c r="BK321" s="265"/>
      <c r="BL321" s="1016"/>
      <c r="BN321" s="1012"/>
      <c r="BO321" s="998"/>
      <c r="BP321" s="267"/>
      <c r="BQ321" s="1009"/>
      <c r="BR321" s="998"/>
      <c r="BS321" s="267"/>
      <c r="BT321" s="998"/>
      <c r="BU321" s="998"/>
      <c r="BV321" s="267"/>
      <c r="BW321" s="998"/>
      <c r="BX321" s="998"/>
      <c r="BY321" s="265"/>
      <c r="BZ321" s="1016"/>
      <c r="CB321" s="1012"/>
      <c r="CC321" s="998"/>
      <c r="CD321" s="267"/>
      <c r="CE321" s="1009"/>
      <c r="CF321" s="998"/>
      <c r="CG321" s="267"/>
      <c r="CH321" s="998"/>
      <c r="CI321" s="998"/>
      <c r="CJ321" s="267"/>
      <c r="CK321" s="998"/>
      <c r="CL321" s="998"/>
      <c r="CM321" s="265"/>
      <c r="CN321" s="1016"/>
    </row>
    <row r="322" spans="2:92" ht="57" customHeight="1" x14ac:dyDescent="0.2">
      <c r="B322" s="970"/>
      <c r="C322" s="973"/>
      <c r="D322" s="943"/>
      <c r="E322" s="956"/>
      <c r="F322" s="949"/>
      <c r="G322" s="378" t="str">
        <f>+'Plan de Accion apoyo transversa'!X104</f>
        <v>Actividad social de Dia Internacional de la Mujer realizada</v>
      </c>
      <c r="H322" s="289" t="str">
        <f>+'Plan de Accion apoyo transversa'!AK104</f>
        <v># Actividades de bienestar realizadas</v>
      </c>
      <c r="J322" s="283">
        <f>+'Plan de Accion apoyo transversa'!AT104</f>
        <v>1</v>
      </c>
      <c r="K322" s="615">
        <f>+'Plan de Accion apoyo transversa'!CE104</f>
        <v>1</v>
      </c>
      <c r="L322" s="615">
        <f>IF(K322&gt;100%,100%,K322)</f>
        <v>1</v>
      </c>
      <c r="M322" s="615">
        <f>+'Plan de Accion apoyo transversa'!AX104</f>
        <v>1</v>
      </c>
      <c r="N322" s="615">
        <f t="shared" si="141"/>
        <v>1</v>
      </c>
      <c r="O322" s="617">
        <f>+N322</f>
        <v>1</v>
      </c>
      <c r="P322" s="277"/>
      <c r="Q322" s="283">
        <f>+'Plan de Accion apoyo transversa'!BD104</f>
        <v>0</v>
      </c>
      <c r="R322" s="373" t="str">
        <f>+'Plan de Accion apoyo transversa'!CG104</f>
        <v>No Prog ni Ejec</v>
      </c>
      <c r="S322" s="315" t="s">
        <v>206</v>
      </c>
      <c r="T322" s="373">
        <f>+'Plan de Accion apoyo transversa'!BH104</f>
        <v>1</v>
      </c>
      <c r="U322" s="373">
        <f t="shared" si="146"/>
        <v>1</v>
      </c>
      <c r="V322" s="275">
        <f>+U322</f>
        <v>1</v>
      </c>
      <c r="W322" s="278"/>
      <c r="X322" s="283">
        <f>+'Plan de Accion apoyo transversa'!BN104</f>
        <v>0</v>
      </c>
      <c r="Y322" s="373" t="str">
        <f>+'Plan de Accion apoyo transversa'!CI104</f>
        <v>No Prog ni Ejec</v>
      </c>
      <c r="Z322" s="276" t="s">
        <v>206</v>
      </c>
      <c r="AA322" s="282">
        <f>+'Plan de Accion apoyo transversa'!BR104</f>
        <v>1</v>
      </c>
      <c r="AB322" s="282">
        <f t="shared" si="147"/>
        <v>1</v>
      </c>
      <c r="AC322" s="281">
        <f t="shared" si="148"/>
        <v>1</v>
      </c>
      <c r="AD322" s="277"/>
      <c r="AE322" s="283">
        <f>+'Plan de Accion apoyo transversa'!BX104</f>
        <v>0</v>
      </c>
      <c r="AF322" s="373" t="str">
        <f>+'Plan de Accion apoyo transversa'!CK104</f>
        <v>No Prog ni Ejec</v>
      </c>
      <c r="AG322" s="276" t="s">
        <v>206</v>
      </c>
      <c r="AH322" s="373">
        <f>+'Plan de Accion apoyo transversa'!CB104</f>
        <v>1</v>
      </c>
      <c r="AI322" s="275">
        <f t="shared" si="149"/>
        <v>1</v>
      </c>
      <c r="AJ322" s="996"/>
      <c r="AL322" s="1012"/>
      <c r="AM322" s="998"/>
      <c r="AN322" s="267"/>
      <c r="AO322" s="1009"/>
      <c r="AP322" s="998"/>
      <c r="AQ322" s="267"/>
      <c r="AR322" s="998"/>
      <c r="AS322" s="998"/>
      <c r="AT322" s="267"/>
      <c r="AU322" s="998"/>
      <c r="AV322" s="998"/>
      <c r="AW322" s="265"/>
      <c r="AX322" s="1016"/>
      <c r="AZ322" s="1012"/>
      <c r="BA322" s="998"/>
      <c r="BB322" s="267"/>
      <c r="BC322" s="1009"/>
      <c r="BD322" s="998"/>
      <c r="BE322" s="267"/>
      <c r="BF322" s="998"/>
      <c r="BG322" s="998"/>
      <c r="BH322" s="267"/>
      <c r="BI322" s="998"/>
      <c r="BJ322" s="998"/>
      <c r="BK322" s="265"/>
      <c r="BL322" s="1016"/>
      <c r="BN322" s="1012"/>
      <c r="BO322" s="998"/>
      <c r="BP322" s="267"/>
      <c r="BQ322" s="1009"/>
      <c r="BR322" s="998"/>
      <c r="BS322" s="267"/>
      <c r="BT322" s="998"/>
      <c r="BU322" s="998"/>
      <c r="BV322" s="267"/>
      <c r="BW322" s="998"/>
      <c r="BX322" s="998"/>
      <c r="BY322" s="265"/>
      <c r="BZ322" s="1016"/>
      <c r="CB322" s="1012"/>
      <c r="CC322" s="998"/>
      <c r="CD322" s="267"/>
      <c r="CE322" s="1009"/>
      <c r="CF322" s="998"/>
      <c r="CG322" s="267"/>
      <c r="CH322" s="998"/>
      <c r="CI322" s="998"/>
      <c r="CJ322" s="267"/>
      <c r="CK322" s="998"/>
      <c r="CL322" s="998"/>
      <c r="CM322" s="265"/>
      <c r="CN322" s="1016"/>
    </row>
    <row r="323" spans="2:92" ht="57" x14ac:dyDescent="0.2">
      <c r="B323" s="970"/>
      <c r="C323" s="973"/>
      <c r="D323" s="943"/>
      <c r="E323" s="956"/>
      <c r="F323" s="949"/>
      <c r="G323" s="378" t="str">
        <f>+'Plan de Accion apoyo transversa'!X105</f>
        <v>Actividades de navidad (novenas del 16 al 20 de diciembre de 2019) realizadas</v>
      </c>
      <c r="H323" s="289" t="str">
        <f>+'Plan de Accion apoyo transversa'!AK105</f>
        <v># Actividades de bienestar realizadas</v>
      </c>
      <c r="J323" s="283">
        <f>+'Plan de Accion apoyo transversa'!AT105</f>
        <v>0</v>
      </c>
      <c r="K323" s="615" t="str">
        <f>+'Plan de Accion apoyo transversa'!CE105</f>
        <v>No Prog ni Ejec</v>
      </c>
      <c r="L323" s="615" t="s">
        <v>206</v>
      </c>
      <c r="M323" s="615">
        <f>+'Plan de Accion apoyo transversa'!AX105</f>
        <v>0</v>
      </c>
      <c r="N323" s="615">
        <f t="shared" si="141"/>
        <v>0</v>
      </c>
      <c r="O323" s="617" t="s">
        <v>206</v>
      </c>
      <c r="P323" s="277"/>
      <c r="Q323" s="283">
        <f>+'Plan de Accion apoyo transversa'!BD105</f>
        <v>0</v>
      </c>
      <c r="R323" s="373" t="str">
        <f>+'Plan de Accion apoyo transversa'!CG105</f>
        <v>No Prog ni Ejec</v>
      </c>
      <c r="S323" s="315" t="s">
        <v>206</v>
      </c>
      <c r="T323" s="373">
        <f>+'Plan de Accion apoyo transversa'!BH105</f>
        <v>0</v>
      </c>
      <c r="U323" s="373">
        <f t="shared" si="146"/>
        <v>0</v>
      </c>
      <c r="V323" s="275" t="s">
        <v>206</v>
      </c>
      <c r="W323" s="278"/>
      <c r="X323" s="283">
        <f>+'Plan de Accion apoyo transversa'!BN105</f>
        <v>0</v>
      </c>
      <c r="Y323" s="373" t="str">
        <f>+'Plan de Accion apoyo transversa'!CI105</f>
        <v>No Prog ni Ejec</v>
      </c>
      <c r="Z323" s="276" t="s">
        <v>206</v>
      </c>
      <c r="AA323" s="282">
        <f>+'Plan de Accion apoyo transversa'!BR105</f>
        <v>0</v>
      </c>
      <c r="AB323" s="282">
        <f t="shared" si="147"/>
        <v>0</v>
      </c>
      <c r="AC323" s="281" t="s">
        <v>206</v>
      </c>
      <c r="AD323" s="277"/>
      <c r="AE323" s="283">
        <f>+'Plan de Accion apoyo transversa'!BX105</f>
        <v>0</v>
      </c>
      <c r="AF323" s="373">
        <f>+'Plan de Accion apoyo transversa'!CK105</f>
        <v>0</v>
      </c>
      <c r="AG323" s="276">
        <f>IF(AF323&gt;100%,100%,AF323)</f>
        <v>0</v>
      </c>
      <c r="AH323" s="373">
        <f>+'Plan de Accion apoyo transversa'!CB105</f>
        <v>0</v>
      </c>
      <c r="AI323" s="275">
        <f t="shared" si="149"/>
        <v>0</v>
      </c>
      <c r="AJ323" s="996"/>
      <c r="AL323" s="1012"/>
      <c r="AM323" s="998"/>
      <c r="AN323" s="267"/>
      <c r="AO323" s="1009"/>
      <c r="AP323" s="998"/>
      <c r="AQ323" s="267"/>
      <c r="AR323" s="998"/>
      <c r="AS323" s="998"/>
      <c r="AT323" s="267"/>
      <c r="AU323" s="998"/>
      <c r="AV323" s="998"/>
      <c r="AW323" s="265"/>
      <c r="AX323" s="1016"/>
      <c r="AZ323" s="1012"/>
      <c r="BA323" s="998"/>
      <c r="BB323" s="267"/>
      <c r="BC323" s="1009"/>
      <c r="BD323" s="998"/>
      <c r="BE323" s="267"/>
      <c r="BF323" s="998"/>
      <c r="BG323" s="998"/>
      <c r="BH323" s="267"/>
      <c r="BI323" s="998"/>
      <c r="BJ323" s="998"/>
      <c r="BK323" s="265"/>
      <c r="BL323" s="1016"/>
      <c r="BN323" s="1012"/>
      <c r="BO323" s="998"/>
      <c r="BP323" s="267"/>
      <c r="BQ323" s="1009"/>
      <c r="BR323" s="998"/>
      <c r="BS323" s="267"/>
      <c r="BT323" s="998"/>
      <c r="BU323" s="998"/>
      <c r="BV323" s="267"/>
      <c r="BW323" s="998"/>
      <c r="BX323" s="998"/>
      <c r="BY323" s="265"/>
      <c r="BZ323" s="1016"/>
      <c r="CB323" s="1012"/>
      <c r="CC323" s="998"/>
      <c r="CD323" s="267"/>
      <c r="CE323" s="1009"/>
      <c r="CF323" s="998"/>
      <c r="CG323" s="267"/>
      <c r="CH323" s="998"/>
      <c r="CI323" s="998"/>
      <c r="CJ323" s="267"/>
      <c r="CK323" s="998"/>
      <c r="CL323" s="998"/>
      <c r="CM323" s="265"/>
      <c r="CN323" s="1016"/>
    </row>
    <row r="324" spans="2:92" ht="28.5" x14ac:dyDescent="0.2">
      <c r="B324" s="970"/>
      <c r="C324" s="973"/>
      <c r="D324" s="943"/>
      <c r="E324" s="956"/>
      <c r="F324" s="949"/>
      <c r="G324" s="378" t="str">
        <f>+'Plan de Accion apoyo transversa'!X106</f>
        <v>Actividad social de Dia del servidor público realizada</v>
      </c>
      <c r="H324" s="289" t="str">
        <f>+'Plan de Accion apoyo transversa'!AK106</f>
        <v># Actividades de bienestar realizadas</v>
      </c>
      <c r="J324" s="283">
        <f>+'Plan de Accion apoyo transversa'!AT106</f>
        <v>0</v>
      </c>
      <c r="K324" s="615" t="str">
        <f>+'Plan de Accion apoyo transversa'!CE106</f>
        <v>No Prog ni Ejec</v>
      </c>
      <c r="L324" s="615" t="s">
        <v>206</v>
      </c>
      <c r="M324" s="615">
        <f>+'Plan de Accion apoyo transversa'!AX106</f>
        <v>0</v>
      </c>
      <c r="N324" s="615">
        <f t="shared" si="141"/>
        <v>0</v>
      </c>
      <c r="O324" s="617" t="s">
        <v>206</v>
      </c>
      <c r="P324" s="277"/>
      <c r="Q324" s="283">
        <f>+'Plan de Accion apoyo transversa'!BD106</f>
        <v>0</v>
      </c>
      <c r="R324" s="373">
        <f>+'Plan de Accion apoyo transversa'!CG106</f>
        <v>0</v>
      </c>
      <c r="S324" s="315">
        <f>IF(R324&gt;100%,100%,R324)</f>
        <v>0</v>
      </c>
      <c r="T324" s="373">
        <f>+'Plan de Accion apoyo transversa'!BH106</f>
        <v>0</v>
      </c>
      <c r="U324" s="373">
        <f t="shared" si="146"/>
        <v>0</v>
      </c>
      <c r="V324" s="275">
        <f>+U324</f>
        <v>0</v>
      </c>
      <c r="W324" s="278"/>
      <c r="X324" s="283">
        <f>+'Plan de Accion apoyo transversa'!BN106</f>
        <v>0</v>
      </c>
      <c r="Y324" s="373">
        <f>+'Plan de Accion apoyo transversa'!CI106</f>
        <v>0</v>
      </c>
      <c r="Z324" s="276">
        <f>IF(Y324&gt;100%,100%,Y324)</f>
        <v>0</v>
      </c>
      <c r="AA324" s="282">
        <f>+'Plan de Accion apoyo transversa'!BR106</f>
        <v>0</v>
      </c>
      <c r="AB324" s="282">
        <f t="shared" si="147"/>
        <v>0</v>
      </c>
      <c r="AC324" s="281">
        <f t="shared" si="148"/>
        <v>0</v>
      </c>
      <c r="AD324" s="277"/>
      <c r="AE324" s="283">
        <f>+'Plan de Accion apoyo transversa'!BX106</f>
        <v>0</v>
      </c>
      <c r="AF324" s="373" t="str">
        <f>+'Plan de Accion apoyo transversa'!CK106</f>
        <v>No Prog ni Ejec</v>
      </c>
      <c r="AG324" s="276" t="s">
        <v>206</v>
      </c>
      <c r="AH324" s="373">
        <f>+'Plan de Accion apoyo transversa'!CB106</f>
        <v>0</v>
      </c>
      <c r="AI324" s="275">
        <f t="shared" si="149"/>
        <v>0</v>
      </c>
      <c r="AJ324" s="996"/>
      <c r="AL324" s="1012"/>
      <c r="AM324" s="998"/>
      <c r="AN324" s="267"/>
      <c r="AO324" s="1009"/>
      <c r="AP324" s="998"/>
      <c r="AQ324" s="267"/>
      <c r="AR324" s="998"/>
      <c r="AS324" s="998"/>
      <c r="AT324" s="267"/>
      <c r="AU324" s="998"/>
      <c r="AV324" s="998"/>
      <c r="AW324" s="265"/>
      <c r="AX324" s="1016"/>
      <c r="AZ324" s="1012"/>
      <c r="BA324" s="998"/>
      <c r="BB324" s="267"/>
      <c r="BC324" s="1009"/>
      <c r="BD324" s="998"/>
      <c r="BE324" s="267"/>
      <c r="BF324" s="998"/>
      <c r="BG324" s="998"/>
      <c r="BH324" s="267"/>
      <c r="BI324" s="998"/>
      <c r="BJ324" s="998"/>
      <c r="BK324" s="265"/>
      <c r="BL324" s="1016"/>
      <c r="BN324" s="1012"/>
      <c r="BO324" s="998"/>
      <c r="BP324" s="267"/>
      <c r="BQ324" s="1009"/>
      <c r="BR324" s="998"/>
      <c r="BS324" s="267"/>
      <c r="BT324" s="998"/>
      <c r="BU324" s="998"/>
      <c r="BV324" s="267"/>
      <c r="BW324" s="998"/>
      <c r="BX324" s="998"/>
      <c r="BY324" s="265"/>
      <c r="BZ324" s="1016"/>
      <c r="CB324" s="1012"/>
      <c r="CC324" s="998"/>
      <c r="CD324" s="267"/>
      <c r="CE324" s="1009"/>
      <c r="CF324" s="998"/>
      <c r="CG324" s="267"/>
      <c r="CH324" s="998"/>
      <c r="CI324" s="998"/>
      <c r="CJ324" s="267"/>
      <c r="CK324" s="998"/>
      <c r="CL324" s="998"/>
      <c r="CM324" s="265"/>
      <c r="CN324" s="1016"/>
    </row>
    <row r="325" spans="2:92" ht="28.5" x14ac:dyDescent="0.2">
      <c r="B325" s="970"/>
      <c r="C325" s="973"/>
      <c r="D325" s="943"/>
      <c r="E325" s="956"/>
      <c r="F325" s="949"/>
      <c r="G325" s="378" t="str">
        <f>+'Plan de Accion apoyo transversa'!X107</f>
        <v>Plan prepensionados realizado</v>
      </c>
      <c r="H325" s="289" t="str">
        <f>+'Plan de Accion apoyo transversa'!AK107</f>
        <v># Actividades de bienestar realizadas</v>
      </c>
      <c r="J325" s="283">
        <f>+'Plan de Accion apoyo transversa'!AT107</f>
        <v>0</v>
      </c>
      <c r="K325" s="615" t="str">
        <f>+'Plan de Accion apoyo transversa'!CE107</f>
        <v>No Prog ni Ejec</v>
      </c>
      <c r="L325" s="615" t="s">
        <v>206</v>
      </c>
      <c r="M325" s="615">
        <f>+'Plan de Accion apoyo transversa'!AX107</f>
        <v>0</v>
      </c>
      <c r="N325" s="615">
        <f t="shared" si="141"/>
        <v>0</v>
      </c>
      <c r="O325" s="617" t="s">
        <v>206</v>
      </c>
      <c r="P325" s="277"/>
      <c r="Q325" s="283">
        <f>+'Plan de Accion apoyo transversa'!BD107</f>
        <v>0</v>
      </c>
      <c r="R325" s="373" t="str">
        <f>+'Plan de Accion apoyo transversa'!CG107</f>
        <v>No Prog ni Ejec</v>
      </c>
      <c r="S325" s="315" t="s">
        <v>206</v>
      </c>
      <c r="T325" s="373">
        <f>+'Plan de Accion apoyo transversa'!BH107</f>
        <v>0</v>
      </c>
      <c r="U325" s="373">
        <f t="shared" si="146"/>
        <v>0</v>
      </c>
      <c r="V325" s="275" t="s">
        <v>206</v>
      </c>
      <c r="W325" s="278"/>
      <c r="X325" s="283">
        <f>+'Plan de Accion apoyo transversa'!BN107</f>
        <v>0</v>
      </c>
      <c r="Y325" s="373">
        <f>+'Plan de Accion apoyo transversa'!CI107</f>
        <v>0</v>
      </c>
      <c r="Z325" s="276">
        <f>IF(Y325&gt;100%,100%,Y325)</f>
        <v>0</v>
      </c>
      <c r="AA325" s="282">
        <f>+'Plan de Accion apoyo transversa'!BR107</f>
        <v>0</v>
      </c>
      <c r="AB325" s="282">
        <f t="shared" si="147"/>
        <v>0</v>
      </c>
      <c r="AC325" s="281">
        <f t="shared" si="148"/>
        <v>0</v>
      </c>
      <c r="AD325" s="277"/>
      <c r="AE325" s="283">
        <f>+'Plan de Accion apoyo transversa'!BX107</f>
        <v>0</v>
      </c>
      <c r="AF325" s="373" t="str">
        <f>+'Plan de Accion apoyo transversa'!CK107</f>
        <v>No Prog ni Ejec</v>
      </c>
      <c r="AG325" s="276" t="s">
        <v>206</v>
      </c>
      <c r="AH325" s="373">
        <f>+'Plan de Accion apoyo transversa'!CB107</f>
        <v>0</v>
      </c>
      <c r="AI325" s="275">
        <f t="shared" si="149"/>
        <v>0</v>
      </c>
      <c r="AJ325" s="996"/>
      <c r="AL325" s="1012"/>
      <c r="AM325" s="998"/>
      <c r="AN325" s="267"/>
      <c r="AO325" s="1009"/>
      <c r="AP325" s="998"/>
      <c r="AQ325" s="267"/>
      <c r="AR325" s="998"/>
      <c r="AS325" s="998"/>
      <c r="AT325" s="267"/>
      <c r="AU325" s="998"/>
      <c r="AV325" s="998"/>
      <c r="AW325" s="265"/>
      <c r="AX325" s="1016"/>
      <c r="AZ325" s="1012"/>
      <c r="BA325" s="998"/>
      <c r="BB325" s="267"/>
      <c r="BC325" s="1009"/>
      <c r="BD325" s="998"/>
      <c r="BE325" s="267"/>
      <c r="BF325" s="998"/>
      <c r="BG325" s="998"/>
      <c r="BH325" s="267"/>
      <c r="BI325" s="998"/>
      <c r="BJ325" s="998"/>
      <c r="BK325" s="265"/>
      <c r="BL325" s="1016"/>
      <c r="BN325" s="1012"/>
      <c r="BO325" s="998"/>
      <c r="BP325" s="267"/>
      <c r="BQ325" s="1009"/>
      <c r="BR325" s="998"/>
      <c r="BS325" s="267"/>
      <c r="BT325" s="998"/>
      <c r="BU325" s="998"/>
      <c r="BV325" s="267"/>
      <c r="BW325" s="998"/>
      <c r="BX325" s="998"/>
      <c r="BY325" s="265"/>
      <c r="BZ325" s="1016"/>
      <c r="CB325" s="1012"/>
      <c r="CC325" s="998"/>
      <c r="CD325" s="267"/>
      <c r="CE325" s="1009"/>
      <c r="CF325" s="998"/>
      <c r="CG325" s="267"/>
      <c r="CH325" s="998"/>
      <c r="CI325" s="998"/>
      <c r="CJ325" s="267"/>
      <c r="CK325" s="998"/>
      <c r="CL325" s="998"/>
      <c r="CM325" s="265"/>
      <c r="CN325" s="1016"/>
    </row>
    <row r="326" spans="2:92" ht="28.5" x14ac:dyDescent="0.2">
      <c r="B326" s="970"/>
      <c r="C326" s="973"/>
      <c r="D326" s="943"/>
      <c r="E326" s="956"/>
      <c r="F326" s="949"/>
      <c r="G326" s="378" t="str">
        <f>+'Plan de Accion apoyo transversa'!X108</f>
        <v>Medición del clima laboral realizada</v>
      </c>
      <c r="H326" s="289" t="str">
        <f>+'Plan de Accion apoyo transversa'!AK108</f>
        <v># Actividades de bienestar realizadas</v>
      </c>
      <c r="J326" s="283">
        <f>+'Plan de Accion apoyo transversa'!AT108</f>
        <v>0</v>
      </c>
      <c r="K326" s="615" t="str">
        <f>+'Plan de Accion apoyo transversa'!CE108</f>
        <v>No Prog ni Ejec</v>
      </c>
      <c r="L326" s="615" t="s">
        <v>206</v>
      </c>
      <c r="M326" s="615">
        <f>+'Plan de Accion apoyo transversa'!AX108</f>
        <v>0</v>
      </c>
      <c r="N326" s="615">
        <f t="shared" si="141"/>
        <v>0</v>
      </c>
      <c r="O326" s="617" t="s">
        <v>206</v>
      </c>
      <c r="P326" s="277"/>
      <c r="Q326" s="283">
        <f>+'Plan de Accion apoyo transversa'!BD108</f>
        <v>0</v>
      </c>
      <c r="R326" s="373" t="str">
        <f>+'Plan de Accion apoyo transversa'!CG108</f>
        <v>No Prog ni Ejec</v>
      </c>
      <c r="S326" s="315" t="s">
        <v>206</v>
      </c>
      <c r="T326" s="373">
        <f>+'Plan de Accion apoyo transversa'!BH108</f>
        <v>0</v>
      </c>
      <c r="U326" s="373">
        <f t="shared" si="146"/>
        <v>0</v>
      </c>
      <c r="V326" s="275" t="s">
        <v>206</v>
      </c>
      <c r="W326" s="278"/>
      <c r="X326" s="283">
        <f>+'Plan de Accion apoyo transversa'!BN108</f>
        <v>0</v>
      </c>
      <c r="Y326" s="373">
        <f>+'Plan de Accion apoyo transversa'!CI108</f>
        <v>0</v>
      </c>
      <c r="Z326" s="276">
        <f>IF(Y326&gt;100%,100%,Y326)</f>
        <v>0</v>
      </c>
      <c r="AA326" s="282">
        <f>+'Plan de Accion apoyo transversa'!BR108</f>
        <v>0</v>
      </c>
      <c r="AB326" s="282">
        <f t="shared" si="147"/>
        <v>0</v>
      </c>
      <c r="AC326" s="281">
        <f t="shared" si="148"/>
        <v>0</v>
      </c>
      <c r="AD326" s="277"/>
      <c r="AE326" s="283">
        <f>+'Plan de Accion apoyo transversa'!BX108</f>
        <v>0</v>
      </c>
      <c r="AF326" s="373" t="str">
        <f>+'Plan de Accion apoyo transversa'!CK108</f>
        <v>No Prog ni Ejec</v>
      </c>
      <c r="AG326" s="276" t="s">
        <v>206</v>
      </c>
      <c r="AH326" s="373">
        <f>+'Plan de Accion apoyo transversa'!CB108</f>
        <v>0</v>
      </c>
      <c r="AI326" s="275">
        <f t="shared" si="149"/>
        <v>0</v>
      </c>
      <c r="AJ326" s="996"/>
      <c r="AL326" s="1012"/>
      <c r="AM326" s="998"/>
      <c r="AN326" s="267"/>
      <c r="AO326" s="1009"/>
      <c r="AP326" s="998"/>
      <c r="AQ326" s="267"/>
      <c r="AR326" s="998"/>
      <c r="AS326" s="998"/>
      <c r="AT326" s="267"/>
      <c r="AU326" s="998"/>
      <c r="AV326" s="998"/>
      <c r="AW326" s="265"/>
      <c r="AX326" s="1016"/>
      <c r="AZ326" s="1012"/>
      <c r="BA326" s="998"/>
      <c r="BB326" s="267"/>
      <c r="BC326" s="1009"/>
      <c r="BD326" s="998"/>
      <c r="BE326" s="267"/>
      <c r="BF326" s="998"/>
      <c r="BG326" s="998"/>
      <c r="BH326" s="267"/>
      <c r="BI326" s="998"/>
      <c r="BJ326" s="998"/>
      <c r="BK326" s="265"/>
      <c r="BL326" s="1016"/>
      <c r="BN326" s="1012"/>
      <c r="BO326" s="998"/>
      <c r="BP326" s="267"/>
      <c r="BQ326" s="1009"/>
      <c r="BR326" s="998"/>
      <c r="BS326" s="267"/>
      <c r="BT326" s="998"/>
      <c r="BU326" s="998"/>
      <c r="BV326" s="267"/>
      <c r="BW326" s="998"/>
      <c r="BX326" s="998"/>
      <c r="BY326" s="265"/>
      <c r="BZ326" s="1016"/>
      <c r="CB326" s="1012"/>
      <c r="CC326" s="998"/>
      <c r="CD326" s="267"/>
      <c r="CE326" s="1009"/>
      <c r="CF326" s="998"/>
      <c r="CG326" s="267"/>
      <c r="CH326" s="998"/>
      <c r="CI326" s="998"/>
      <c r="CJ326" s="267"/>
      <c r="CK326" s="998"/>
      <c r="CL326" s="998"/>
      <c r="CM326" s="265"/>
      <c r="CN326" s="1016"/>
    </row>
    <row r="327" spans="2:92" ht="28.5" x14ac:dyDescent="0.2">
      <c r="B327" s="970"/>
      <c r="C327" s="973"/>
      <c r="D327" s="943"/>
      <c r="E327" s="956"/>
      <c r="F327" s="949"/>
      <c r="G327" s="378" t="str">
        <f>+'Plan de Accion apoyo transversa'!X109</f>
        <v>Jornada de salud sobre: Salud visual realizada</v>
      </c>
      <c r="H327" s="289" t="str">
        <f>+'Plan de Accion apoyo transversa'!AK109</f>
        <v># Actividades de bienestar realizadas</v>
      </c>
      <c r="J327" s="283">
        <f>+'Plan de Accion apoyo transversa'!AT109</f>
        <v>0</v>
      </c>
      <c r="K327" s="615" t="str">
        <f>+'Plan de Accion apoyo transversa'!CE109</f>
        <v>No Prog ni Ejec</v>
      </c>
      <c r="L327" s="615" t="s">
        <v>206</v>
      </c>
      <c r="M327" s="615">
        <f>+'Plan de Accion apoyo transversa'!AX109</f>
        <v>0</v>
      </c>
      <c r="N327" s="615">
        <f t="shared" si="141"/>
        <v>0</v>
      </c>
      <c r="O327" s="617" t="s">
        <v>206</v>
      </c>
      <c r="P327" s="277"/>
      <c r="Q327" s="283">
        <f>+'Plan de Accion apoyo transversa'!BD109</f>
        <v>0</v>
      </c>
      <c r="R327" s="373">
        <f>+'Plan de Accion apoyo transversa'!CG109</f>
        <v>0</v>
      </c>
      <c r="S327" s="315">
        <f>IF(R327&gt;100%,100%,R327)</f>
        <v>0</v>
      </c>
      <c r="T327" s="373">
        <f>+'Plan de Accion apoyo transversa'!BH109</f>
        <v>0</v>
      </c>
      <c r="U327" s="373">
        <f t="shared" si="146"/>
        <v>0</v>
      </c>
      <c r="V327" s="275">
        <f>+U327</f>
        <v>0</v>
      </c>
      <c r="W327" s="278"/>
      <c r="X327" s="283">
        <f>+'Plan de Accion apoyo transversa'!BN109</f>
        <v>0</v>
      </c>
      <c r="Y327" s="373" t="str">
        <f>+'Plan de Accion apoyo transversa'!CI109</f>
        <v>No Prog ni Ejec</v>
      </c>
      <c r="Z327" s="276" t="s">
        <v>206</v>
      </c>
      <c r="AA327" s="282">
        <f>+'Plan de Accion apoyo transversa'!BR109</f>
        <v>0</v>
      </c>
      <c r="AB327" s="282">
        <f t="shared" si="147"/>
        <v>0</v>
      </c>
      <c r="AC327" s="281">
        <f t="shared" si="148"/>
        <v>0</v>
      </c>
      <c r="AD327" s="277"/>
      <c r="AE327" s="283">
        <f>+'Plan de Accion apoyo transversa'!BX109</f>
        <v>0</v>
      </c>
      <c r="AF327" s="373">
        <f>+'Plan de Accion apoyo transversa'!CK109</f>
        <v>0</v>
      </c>
      <c r="AG327" s="276">
        <f t="shared" ref="AG327:AG341" si="150">IF(AF327&gt;100%,100%,AF327)</f>
        <v>0</v>
      </c>
      <c r="AH327" s="373">
        <f>+'Plan de Accion apoyo transversa'!CB109</f>
        <v>0</v>
      </c>
      <c r="AI327" s="275">
        <f t="shared" si="149"/>
        <v>0</v>
      </c>
      <c r="AJ327" s="996"/>
      <c r="AL327" s="1012"/>
      <c r="AM327" s="998"/>
      <c r="AN327" s="267"/>
      <c r="AO327" s="1009"/>
      <c r="AP327" s="998"/>
      <c r="AQ327" s="267"/>
      <c r="AR327" s="998"/>
      <c r="AS327" s="998"/>
      <c r="AT327" s="267"/>
      <c r="AU327" s="998"/>
      <c r="AV327" s="998"/>
      <c r="AW327" s="265"/>
      <c r="AX327" s="1016"/>
      <c r="AZ327" s="1012"/>
      <c r="BA327" s="998"/>
      <c r="BB327" s="267"/>
      <c r="BC327" s="1009"/>
      <c r="BD327" s="998"/>
      <c r="BE327" s="267"/>
      <c r="BF327" s="998"/>
      <c r="BG327" s="998"/>
      <c r="BH327" s="267"/>
      <c r="BI327" s="998"/>
      <c r="BJ327" s="998"/>
      <c r="BK327" s="265"/>
      <c r="BL327" s="1016"/>
      <c r="BN327" s="1012"/>
      <c r="BO327" s="998"/>
      <c r="BP327" s="267"/>
      <c r="BQ327" s="1009"/>
      <c r="BR327" s="998"/>
      <c r="BS327" s="267"/>
      <c r="BT327" s="998"/>
      <c r="BU327" s="998"/>
      <c r="BV327" s="267"/>
      <c r="BW327" s="998"/>
      <c r="BX327" s="998"/>
      <c r="BY327" s="265"/>
      <c r="BZ327" s="1016"/>
      <c r="CB327" s="1012"/>
      <c r="CC327" s="998"/>
      <c r="CD327" s="267"/>
      <c r="CE327" s="1009"/>
      <c r="CF327" s="998"/>
      <c r="CG327" s="267"/>
      <c r="CH327" s="998"/>
      <c r="CI327" s="998"/>
      <c r="CJ327" s="267"/>
      <c r="CK327" s="998"/>
      <c r="CL327" s="998"/>
      <c r="CM327" s="265"/>
      <c r="CN327" s="1016"/>
    </row>
    <row r="328" spans="2:92" ht="28.5" x14ac:dyDescent="0.2">
      <c r="B328" s="970"/>
      <c r="C328" s="973"/>
      <c r="D328" s="943"/>
      <c r="E328" s="956"/>
      <c r="F328" s="949"/>
      <c r="G328" s="378" t="str">
        <f>+'Plan de Accion apoyo transversa'!X110</f>
        <v>Jornada de salud sobre: Salud Oral realizada</v>
      </c>
      <c r="H328" s="289" t="str">
        <f>+'Plan de Accion apoyo transversa'!AK110</f>
        <v># Actividades de bienestar realizadas</v>
      </c>
      <c r="J328" s="283">
        <f>+'Plan de Accion apoyo transversa'!AT110</f>
        <v>0</v>
      </c>
      <c r="K328" s="615" t="str">
        <f>+'Plan de Accion apoyo transversa'!CE110</f>
        <v>No Prog ni Ejec</v>
      </c>
      <c r="L328" s="615" t="s">
        <v>206</v>
      </c>
      <c r="M328" s="615">
        <f>+'Plan de Accion apoyo transversa'!AX110</f>
        <v>0</v>
      </c>
      <c r="N328" s="615">
        <f t="shared" si="141"/>
        <v>0</v>
      </c>
      <c r="O328" s="617" t="s">
        <v>206</v>
      </c>
      <c r="P328" s="277"/>
      <c r="Q328" s="283">
        <f>+'Plan de Accion apoyo transversa'!BD110</f>
        <v>0</v>
      </c>
      <c r="R328" s="373">
        <f>+'Plan de Accion apoyo transversa'!CG110</f>
        <v>0</v>
      </c>
      <c r="S328" s="315">
        <f>IF(R328&gt;100%,100%,R328)</f>
        <v>0</v>
      </c>
      <c r="T328" s="373">
        <f>+'Plan de Accion apoyo transversa'!BH110</f>
        <v>0</v>
      </c>
      <c r="U328" s="373">
        <f t="shared" si="146"/>
        <v>0</v>
      </c>
      <c r="V328" s="275">
        <f>+U328</f>
        <v>0</v>
      </c>
      <c r="W328" s="278"/>
      <c r="X328" s="283">
        <f>+'Plan de Accion apoyo transversa'!BN110</f>
        <v>0</v>
      </c>
      <c r="Y328" s="373" t="str">
        <f>+'Plan de Accion apoyo transversa'!CI110</f>
        <v>No Prog ni Ejec</v>
      </c>
      <c r="Z328" s="276" t="s">
        <v>206</v>
      </c>
      <c r="AA328" s="282">
        <f>+'Plan de Accion apoyo transversa'!BR110</f>
        <v>0</v>
      </c>
      <c r="AB328" s="282">
        <f t="shared" si="147"/>
        <v>0</v>
      </c>
      <c r="AC328" s="281">
        <f t="shared" si="148"/>
        <v>0</v>
      </c>
      <c r="AD328" s="277"/>
      <c r="AE328" s="283">
        <f>+'Plan de Accion apoyo transversa'!BX110</f>
        <v>0</v>
      </c>
      <c r="AF328" s="373">
        <f>+'Plan de Accion apoyo transversa'!CK110</f>
        <v>0</v>
      </c>
      <c r="AG328" s="276">
        <f t="shared" si="150"/>
        <v>0</v>
      </c>
      <c r="AH328" s="373">
        <f>+'Plan de Accion apoyo transversa'!CB110</f>
        <v>0</v>
      </c>
      <c r="AI328" s="275">
        <f t="shared" si="149"/>
        <v>0</v>
      </c>
      <c r="AJ328" s="996"/>
      <c r="AL328" s="1012"/>
      <c r="AM328" s="998"/>
      <c r="AN328" s="267"/>
      <c r="AO328" s="1009"/>
      <c r="AP328" s="998"/>
      <c r="AQ328" s="267"/>
      <c r="AR328" s="998"/>
      <c r="AS328" s="998"/>
      <c r="AT328" s="267"/>
      <c r="AU328" s="998"/>
      <c r="AV328" s="998"/>
      <c r="AW328" s="265"/>
      <c r="AX328" s="1016"/>
      <c r="AZ328" s="1012"/>
      <c r="BA328" s="998"/>
      <c r="BB328" s="267"/>
      <c r="BC328" s="1009"/>
      <c r="BD328" s="998"/>
      <c r="BE328" s="267"/>
      <c r="BF328" s="998"/>
      <c r="BG328" s="998"/>
      <c r="BH328" s="267"/>
      <c r="BI328" s="998"/>
      <c r="BJ328" s="998"/>
      <c r="BK328" s="265"/>
      <c r="BL328" s="1016"/>
      <c r="BN328" s="1012"/>
      <c r="BO328" s="998"/>
      <c r="BP328" s="267"/>
      <c r="BQ328" s="1009"/>
      <c r="BR328" s="998"/>
      <c r="BS328" s="267"/>
      <c r="BT328" s="998"/>
      <c r="BU328" s="998"/>
      <c r="BV328" s="267"/>
      <c r="BW328" s="998"/>
      <c r="BX328" s="998"/>
      <c r="BY328" s="265"/>
      <c r="BZ328" s="1016"/>
      <c r="CB328" s="1012"/>
      <c r="CC328" s="998"/>
      <c r="CD328" s="267"/>
      <c r="CE328" s="1009"/>
      <c r="CF328" s="998"/>
      <c r="CG328" s="267"/>
      <c r="CH328" s="998"/>
      <c r="CI328" s="998"/>
      <c r="CJ328" s="267"/>
      <c r="CK328" s="998"/>
      <c r="CL328" s="998"/>
      <c r="CM328" s="265"/>
      <c r="CN328" s="1016"/>
    </row>
    <row r="329" spans="2:92" ht="42.75" x14ac:dyDescent="0.2">
      <c r="B329" s="970"/>
      <c r="C329" s="973"/>
      <c r="D329" s="943"/>
      <c r="E329" s="956"/>
      <c r="F329" s="949"/>
      <c r="G329" s="378" t="str">
        <f>+'Plan de Accion apoyo transversa'!X111</f>
        <v>Jornada de salud sobre: Prevención cardiovascular realizada</v>
      </c>
      <c r="H329" s="289" t="str">
        <f>+'Plan de Accion apoyo transversa'!AK111</f>
        <v># Actividades de bienestar realizadas</v>
      </c>
      <c r="J329" s="283">
        <f>+'Plan de Accion apoyo transversa'!AT111</f>
        <v>0</v>
      </c>
      <c r="K329" s="615" t="str">
        <f>+'Plan de Accion apoyo transversa'!CE111</f>
        <v>No Prog ni Ejec</v>
      </c>
      <c r="L329" s="615" t="s">
        <v>206</v>
      </c>
      <c r="M329" s="615">
        <f>+'Plan de Accion apoyo transversa'!AX111</f>
        <v>0</v>
      </c>
      <c r="N329" s="615">
        <f t="shared" si="141"/>
        <v>0</v>
      </c>
      <c r="O329" s="617" t="s">
        <v>206</v>
      </c>
      <c r="P329" s="277"/>
      <c r="Q329" s="283">
        <f>+'Plan de Accion apoyo transversa'!BD111</f>
        <v>0</v>
      </c>
      <c r="R329" s="373">
        <f>+'Plan de Accion apoyo transversa'!CG111</f>
        <v>0</v>
      </c>
      <c r="S329" s="315">
        <f>IF(R329&gt;100%,100%,R329)</f>
        <v>0</v>
      </c>
      <c r="T329" s="373">
        <f>+'Plan de Accion apoyo transversa'!BH111</f>
        <v>0</v>
      </c>
      <c r="U329" s="373">
        <f t="shared" si="146"/>
        <v>0</v>
      </c>
      <c r="V329" s="275">
        <f>+U329</f>
        <v>0</v>
      </c>
      <c r="W329" s="278"/>
      <c r="X329" s="283">
        <f>+'Plan de Accion apoyo transversa'!BN111</f>
        <v>0</v>
      </c>
      <c r="Y329" s="373" t="str">
        <f>+'Plan de Accion apoyo transversa'!CI111</f>
        <v>No Prog ni Ejec</v>
      </c>
      <c r="Z329" s="276" t="s">
        <v>206</v>
      </c>
      <c r="AA329" s="282">
        <f>+'Plan de Accion apoyo transversa'!BR111</f>
        <v>0</v>
      </c>
      <c r="AB329" s="282">
        <f t="shared" si="147"/>
        <v>0</v>
      </c>
      <c r="AC329" s="281">
        <f t="shared" si="148"/>
        <v>0</v>
      </c>
      <c r="AD329" s="277"/>
      <c r="AE329" s="283">
        <f>+'Plan de Accion apoyo transversa'!BX111</f>
        <v>0</v>
      </c>
      <c r="AF329" s="373">
        <f>+'Plan de Accion apoyo transversa'!CK111</f>
        <v>0</v>
      </c>
      <c r="AG329" s="276">
        <f t="shared" si="150"/>
        <v>0</v>
      </c>
      <c r="AH329" s="373">
        <f>+'Plan de Accion apoyo transversa'!CB111</f>
        <v>0</v>
      </c>
      <c r="AI329" s="275">
        <f t="shared" si="149"/>
        <v>0</v>
      </c>
      <c r="AJ329" s="996"/>
      <c r="AL329" s="1012"/>
      <c r="AM329" s="998"/>
      <c r="AN329" s="267"/>
      <c r="AO329" s="1009"/>
      <c r="AP329" s="998"/>
      <c r="AQ329" s="267"/>
      <c r="AR329" s="998"/>
      <c r="AS329" s="998"/>
      <c r="AT329" s="267"/>
      <c r="AU329" s="998"/>
      <c r="AV329" s="998"/>
      <c r="AW329" s="265"/>
      <c r="AX329" s="1016"/>
      <c r="AZ329" s="1012"/>
      <c r="BA329" s="998"/>
      <c r="BB329" s="267"/>
      <c r="BC329" s="1009"/>
      <c r="BD329" s="998"/>
      <c r="BE329" s="267"/>
      <c r="BF329" s="998"/>
      <c r="BG329" s="998"/>
      <c r="BH329" s="267"/>
      <c r="BI329" s="998"/>
      <c r="BJ329" s="998"/>
      <c r="BK329" s="265"/>
      <c r="BL329" s="1016"/>
      <c r="BN329" s="1012"/>
      <c r="BO329" s="998"/>
      <c r="BP329" s="267"/>
      <c r="BQ329" s="1009"/>
      <c r="BR329" s="998"/>
      <c r="BS329" s="267"/>
      <c r="BT329" s="998"/>
      <c r="BU329" s="998"/>
      <c r="BV329" s="267"/>
      <c r="BW329" s="998"/>
      <c r="BX329" s="998"/>
      <c r="BY329" s="265"/>
      <c r="BZ329" s="1016"/>
      <c r="CB329" s="1012"/>
      <c r="CC329" s="998"/>
      <c r="CD329" s="267"/>
      <c r="CE329" s="1009"/>
      <c r="CF329" s="998"/>
      <c r="CG329" s="267"/>
      <c r="CH329" s="998"/>
      <c r="CI329" s="998"/>
      <c r="CJ329" s="267"/>
      <c r="CK329" s="998"/>
      <c r="CL329" s="998"/>
      <c r="CM329" s="265"/>
      <c r="CN329" s="1016"/>
    </row>
    <row r="330" spans="2:92" ht="57" customHeight="1" x14ac:dyDescent="0.2">
      <c r="B330" s="970"/>
      <c r="C330" s="973"/>
      <c r="D330" s="943"/>
      <c r="E330" s="956"/>
      <c r="F330" s="949"/>
      <c r="G330" s="378" t="str">
        <f>+'Plan de Accion apoyo transversa'!X112</f>
        <v>Jornada de salud sobre: Prevención del cáncer realizada</v>
      </c>
      <c r="H330" s="289" t="str">
        <f>+'Plan de Accion apoyo transversa'!AK112</f>
        <v># Actividades de bienestar realizadas</v>
      </c>
      <c r="J330" s="283">
        <f>+'Plan de Accion apoyo transversa'!AT112</f>
        <v>0</v>
      </c>
      <c r="K330" s="615" t="str">
        <f>+'Plan de Accion apoyo transversa'!CE112</f>
        <v>No Prog ni Ejec</v>
      </c>
      <c r="L330" s="615" t="s">
        <v>206</v>
      </c>
      <c r="M330" s="615">
        <f>+'Plan de Accion apoyo transversa'!AX112</f>
        <v>0</v>
      </c>
      <c r="N330" s="615">
        <f t="shared" si="141"/>
        <v>0</v>
      </c>
      <c r="O330" s="617" t="s">
        <v>206</v>
      </c>
      <c r="P330" s="277"/>
      <c r="Q330" s="283">
        <f>+'Plan de Accion apoyo transversa'!BD112</f>
        <v>0</v>
      </c>
      <c r="R330" s="373">
        <f>+'Plan de Accion apoyo transversa'!CG112</f>
        <v>0</v>
      </c>
      <c r="S330" s="315">
        <f>IF(R330&gt;100%,100%,R330)</f>
        <v>0</v>
      </c>
      <c r="T330" s="373">
        <f>+'Plan de Accion apoyo transversa'!BH112</f>
        <v>0</v>
      </c>
      <c r="U330" s="373">
        <f t="shared" si="146"/>
        <v>0</v>
      </c>
      <c r="V330" s="275">
        <f>+U330</f>
        <v>0</v>
      </c>
      <c r="W330" s="278"/>
      <c r="X330" s="283">
        <f>+'Plan de Accion apoyo transversa'!BN112</f>
        <v>0</v>
      </c>
      <c r="Y330" s="373" t="str">
        <f>+'Plan de Accion apoyo transversa'!CI112</f>
        <v>No Prog ni Ejec</v>
      </c>
      <c r="Z330" s="276" t="s">
        <v>206</v>
      </c>
      <c r="AA330" s="282">
        <f>+'Plan de Accion apoyo transversa'!BR112</f>
        <v>0</v>
      </c>
      <c r="AB330" s="282">
        <f t="shared" si="147"/>
        <v>0</v>
      </c>
      <c r="AC330" s="281">
        <f t="shared" si="148"/>
        <v>0</v>
      </c>
      <c r="AD330" s="277"/>
      <c r="AE330" s="283">
        <f>+'Plan de Accion apoyo transversa'!BX112</f>
        <v>0</v>
      </c>
      <c r="AF330" s="373">
        <f>+'Plan de Accion apoyo transversa'!CK112</f>
        <v>0</v>
      </c>
      <c r="AG330" s="276">
        <f t="shared" si="150"/>
        <v>0</v>
      </c>
      <c r="AH330" s="373">
        <f>+'Plan de Accion apoyo transversa'!CB112</f>
        <v>0</v>
      </c>
      <c r="AI330" s="275">
        <f t="shared" si="149"/>
        <v>0</v>
      </c>
      <c r="AJ330" s="996"/>
      <c r="AL330" s="1012"/>
      <c r="AM330" s="998"/>
      <c r="AN330" s="267"/>
      <c r="AO330" s="1009"/>
      <c r="AP330" s="998"/>
      <c r="AQ330" s="267"/>
      <c r="AR330" s="998"/>
      <c r="AS330" s="998"/>
      <c r="AT330" s="267"/>
      <c r="AU330" s="998"/>
      <c r="AV330" s="998"/>
      <c r="AW330" s="265"/>
      <c r="AX330" s="1016"/>
      <c r="AZ330" s="1012"/>
      <c r="BA330" s="998"/>
      <c r="BB330" s="267"/>
      <c r="BC330" s="1009"/>
      <c r="BD330" s="998"/>
      <c r="BE330" s="267"/>
      <c r="BF330" s="998"/>
      <c r="BG330" s="998"/>
      <c r="BH330" s="267"/>
      <c r="BI330" s="998"/>
      <c r="BJ330" s="998"/>
      <c r="BK330" s="265"/>
      <c r="BL330" s="1016"/>
      <c r="BN330" s="1012"/>
      <c r="BO330" s="998"/>
      <c r="BP330" s="267"/>
      <c r="BQ330" s="1009"/>
      <c r="BR330" s="998"/>
      <c r="BS330" s="267"/>
      <c r="BT330" s="998"/>
      <c r="BU330" s="998"/>
      <c r="BV330" s="267"/>
      <c r="BW330" s="998"/>
      <c r="BX330" s="998"/>
      <c r="BY330" s="265"/>
      <c r="BZ330" s="1016"/>
      <c r="CB330" s="1012"/>
      <c r="CC330" s="998"/>
      <c r="CD330" s="267"/>
      <c r="CE330" s="1009"/>
      <c r="CF330" s="998"/>
      <c r="CG330" s="267"/>
      <c r="CH330" s="998"/>
      <c r="CI330" s="998"/>
      <c r="CJ330" s="267"/>
      <c r="CK330" s="998"/>
      <c r="CL330" s="998"/>
      <c r="CM330" s="265"/>
      <c r="CN330" s="1016"/>
    </row>
    <row r="331" spans="2:92" ht="29.25" thickBot="1" x14ac:dyDescent="0.25">
      <c r="B331" s="970"/>
      <c r="C331" s="973"/>
      <c r="D331" s="943"/>
      <c r="E331" s="956"/>
      <c r="F331" s="949"/>
      <c r="G331" s="378" t="str">
        <f>+'Plan de Accion apoyo transversa'!X113</f>
        <v>Jornada de salud sobre: Pausas activas realizadas</v>
      </c>
      <c r="H331" s="289" t="str">
        <f>+'Plan de Accion apoyo transversa'!AK113</f>
        <v># Actividades de bienestar realizadas</v>
      </c>
      <c r="J331" s="283">
        <f>+'Plan de Accion apoyo transversa'!AT113</f>
        <v>3</v>
      </c>
      <c r="K331" s="615">
        <f>+'Plan de Accion apoyo transversa'!CE113</f>
        <v>0.25</v>
      </c>
      <c r="L331" s="615">
        <f>IF(K331&gt;100%,100%,K331)</f>
        <v>0.25</v>
      </c>
      <c r="M331" s="615">
        <f>+'Plan de Accion apoyo transversa'!AX113</f>
        <v>6.25E-2</v>
      </c>
      <c r="N331" s="615">
        <f t="shared" si="141"/>
        <v>6.25E-2</v>
      </c>
      <c r="O331" s="617">
        <f>+N331</f>
        <v>6.25E-2</v>
      </c>
      <c r="P331" s="277"/>
      <c r="Q331" s="283">
        <f>+'Plan de Accion apoyo transversa'!BD113</f>
        <v>0</v>
      </c>
      <c r="R331" s="373">
        <f>+'Plan de Accion apoyo transversa'!CG113</f>
        <v>0</v>
      </c>
      <c r="S331" s="315">
        <f>IF(R331&gt;100%,100%,R331)</f>
        <v>0</v>
      </c>
      <c r="T331" s="373">
        <f>+'Plan de Accion apoyo transversa'!BH113</f>
        <v>6.25E-2</v>
      </c>
      <c r="U331" s="373">
        <f t="shared" si="146"/>
        <v>6.25E-2</v>
      </c>
      <c r="V331" s="275">
        <f>+U331</f>
        <v>6.25E-2</v>
      </c>
      <c r="W331" s="278"/>
      <c r="X331" s="283">
        <f>+'Plan de Accion apoyo transversa'!BN113</f>
        <v>0</v>
      </c>
      <c r="Y331" s="373">
        <f>+'Plan de Accion apoyo transversa'!CI113</f>
        <v>0</v>
      </c>
      <c r="Z331" s="276">
        <f>IF(Y331&gt;100%,100%,Y331)</f>
        <v>0</v>
      </c>
      <c r="AA331" s="282">
        <f>+'Plan de Accion apoyo transversa'!BR113</f>
        <v>6.25E-2</v>
      </c>
      <c r="AB331" s="282">
        <f t="shared" si="147"/>
        <v>6.25E-2</v>
      </c>
      <c r="AC331" s="281">
        <f t="shared" si="148"/>
        <v>6.25E-2</v>
      </c>
      <c r="AD331" s="277"/>
      <c r="AE331" s="283">
        <f>+'Plan de Accion apoyo transversa'!BX113</f>
        <v>0</v>
      </c>
      <c r="AF331" s="373">
        <f>+'Plan de Accion apoyo transversa'!CK113</f>
        <v>0</v>
      </c>
      <c r="AG331" s="276">
        <f t="shared" si="150"/>
        <v>0</v>
      </c>
      <c r="AH331" s="373">
        <f>+'Plan de Accion apoyo transversa'!CB113</f>
        <v>6.25E-2</v>
      </c>
      <c r="AI331" s="275">
        <f t="shared" si="149"/>
        <v>6.25E-2</v>
      </c>
      <c r="AJ331" s="997"/>
      <c r="AL331" s="1013"/>
      <c r="AM331" s="999"/>
      <c r="AN331" s="267"/>
      <c r="AO331" s="1010"/>
      <c r="AP331" s="999"/>
      <c r="AQ331" s="267"/>
      <c r="AR331" s="999"/>
      <c r="AS331" s="999"/>
      <c r="AT331" s="267"/>
      <c r="AU331" s="999"/>
      <c r="AV331" s="999"/>
      <c r="AW331" s="265"/>
      <c r="AX331" s="1017"/>
      <c r="AZ331" s="1013"/>
      <c r="BA331" s="999"/>
      <c r="BB331" s="267"/>
      <c r="BC331" s="1010"/>
      <c r="BD331" s="999"/>
      <c r="BE331" s="267"/>
      <c r="BF331" s="999"/>
      <c r="BG331" s="999"/>
      <c r="BH331" s="267"/>
      <c r="BI331" s="999"/>
      <c r="BJ331" s="999"/>
      <c r="BK331" s="265"/>
      <c r="BL331" s="1017"/>
      <c r="BN331" s="1013"/>
      <c r="BO331" s="999"/>
      <c r="BP331" s="267"/>
      <c r="BQ331" s="1010"/>
      <c r="BR331" s="999"/>
      <c r="BS331" s="267"/>
      <c r="BT331" s="999"/>
      <c r="BU331" s="999"/>
      <c r="BV331" s="267"/>
      <c r="BW331" s="999"/>
      <c r="BX331" s="999"/>
      <c r="BY331" s="265"/>
      <c r="BZ331" s="1017"/>
      <c r="CB331" s="1013"/>
      <c r="CC331" s="999"/>
      <c r="CD331" s="267"/>
      <c r="CE331" s="1010"/>
      <c r="CF331" s="999"/>
      <c r="CG331" s="267"/>
      <c r="CH331" s="999"/>
      <c r="CI331" s="999"/>
      <c r="CJ331" s="267"/>
      <c r="CK331" s="999"/>
      <c r="CL331" s="999"/>
      <c r="CM331" s="265"/>
      <c r="CN331" s="1017"/>
    </row>
    <row r="332" spans="2:92" ht="43.5" customHeight="1" x14ac:dyDescent="0.2">
      <c r="B332" s="971"/>
      <c r="C332" s="973"/>
      <c r="D332" s="943"/>
      <c r="E332" s="956"/>
      <c r="F332" s="949"/>
      <c r="G332" s="378" t="str">
        <f>+'Plan de Accion apoyo transversa'!X114</f>
        <v>Actividad de Incentivos realizada</v>
      </c>
      <c r="H332" s="289" t="str">
        <f>+'Plan de Accion apoyo transversa'!AK114</f>
        <v># Actividades de bienestar realizadas</v>
      </c>
      <c r="J332" s="283">
        <f>+'Plan de Accion apoyo transversa'!AT114</f>
        <v>0</v>
      </c>
      <c r="K332" s="615" t="str">
        <f>+'Plan de Accion apoyo transversa'!CE114</f>
        <v>No Prog ni Ejec</v>
      </c>
      <c r="L332" s="615" t="s">
        <v>206</v>
      </c>
      <c r="M332" s="615">
        <f>+'Plan de Accion apoyo transversa'!AX114</f>
        <v>0</v>
      </c>
      <c r="N332" s="615">
        <f t="shared" si="141"/>
        <v>0</v>
      </c>
      <c r="O332" s="617" t="s">
        <v>206</v>
      </c>
      <c r="P332" s="277"/>
      <c r="Q332" s="283">
        <f>+'Plan de Accion apoyo transversa'!BD114</f>
        <v>0</v>
      </c>
      <c r="R332" s="373" t="str">
        <f>+'Plan de Accion apoyo transversa'!CG114</f>
        <v>No Prog ni Ejec</v>
      </c>
      <c r="S332" s="315" t="s">
        <v>206</v>
      </c>
      <c r="T332" s="373">
        <f>+'Plan de Accion apoyo transversa'!BH114</f>
        <v>0</v>
      </c>
      <c r="U332" s="373">
        <f t="shared" si="146"/>
        <v>0</v>
      </c>
      <c r="V332" s="275" t="s">
        <v>206</v>
      </c>
      <c r="W332" s="278"/>
      <c r="X332" s="283">
        <f>+'Plan de Accion apoyo transversa'!BN114</f>
        <v>0</v>
      </c>
      <c r="Y332" s="373" t="str">
        <f>+'Plan de Accion apoyo transversa'!CI114</f>
        <v>No Prog ni Ejec</v>
      </c>
      <c r="Z332" s="276" t="s">
        <v>206</v>
      </c>
      <c r="AA332" s="282">
        <f>+'Plan de Accion apoyo transversa'!BR114</f>
        <v>0</v>
      </c>
      <c r="AB332" s="282">
        <f t="shared" si="147"/>
        <v>0</v>
      </c>
      <c r="AC332" s="281" t="s">
        <v>206</v>
      </c>
      <c r="AD332" s="277"/>
      <c r="AE332" s="283">
        <f>+'Plan de Accion apoyo transversa'!BX114</f>
        <v>0</v>
      </c>
      <c r="AF332" s="373">
        <f>+'Plan de Accion apoyo transversa'!CK114</f>
        <v>0</v>
      </c>
      <c r="AG332" s="276">
        <f t="shared" si="150"/>
        <v>0</v>
      </c>
      <c r="AH332" s="373">
        <f>+'Plan de Accion apoyo transversa'!CB114</f>
        <v>0</v>
      </c>
      <c r="AI332" s="275">
        <f t="shared" si="149"/>
        <v>0</v>
      </c>
      <c r="AJ332" s="274"/>
      <c r="AL332" s="273"/>
      <c r="AM332" s="271"/>
      <c r="AN332" s="267"/>
      <c r="AO332" s="272"/>
      <c r="AP332" s="271"/>
      <c r="AQ332" s="267"/>
      <c r="AR332" s="271"/>
      <c r="AS332" s="271"/>
      <c r="AT332" s="267"/>
      <c r="AU332" s="271"/>
      <c r="AV332" s="271"/>
      <c r="AW332" s="265"/>
      <c r="AX332" s="270"/>
      <c r="AZ332" s="273"/>
      <c r="BA332" s="271"/>
      <c r="BB332" s="267"/>
      <c r="BC332" s="272"/>
      <c r="BD332" s="271"/>
      <c r="BE332" s="267"/>
      <c r="BF332" s="271"/>
      <c r="BG332" s="271"/>
      <c r="BH332" s="267"/>
      <c r="BI332" s="271"/>
      <c r="BJ332" s="271"/>
      <c r="BK332" s="265"/>
      <c r="BL332" s="270"/>
      <c r="BN332" s="273"/>
      <c r="BO332" s="271"/>
      <c r="BP332" s="267"/>
      <c r="BQ332" s="272"/>
      <c r="BR332" s="271"/>
      <c r="BS332" s="267"/>
      <c r="BT332" s="271"/>
      <c r="BU332" s="271"/>
      <c r="BV332" s="267"/>
      <c r="BW332" s="271"/>
      <c r="BX332" s="271"/>
      <c r="BY332" s="265"/>
      <c r="BZ332" s="270"/>
      <c r="CB332" s="273"/>
      <c r="CC332" s="271"/>
      <c r="CD332" s="267"/>
      <c r="CE332" s="272"/>
      <c r="CF332" s="271"/>
      <c r="CG332" s="267"/>
      <c r="CH332" s="271"/>
      <c r="CI332" s="271"/>
      <c r="CJ332" s="267"/>
      <c r="CK332" s="271"/>
      <c r="CL332" s="271"/>
      <c r="CM332" s="265"/>
      <c r="CN332" s="270"/>
    </row>
    <row r="333" spans="2:92" ht="69.75" customHeight="1" x14ac:dyDescent="0.2">
      <c r="B333" s="971"/>
      <c r="C333" s="973"/>
      <c r="D333" s="943"/>
      <c r="E333" s="956"/>
      <c r="F333" s="950"/>
      <c r="G333" s="378" t="str">
        <f>+'Plan de Accion apoyo transversa'!X115</f>
        <v>Actividad de Cierre de gestión realizada</v>
      </c>
      <c r="H333" s="289" t="str">
        <f>+'Plan de Accion apoyo transversa'!AK115</f>
        <v># Actividades de bienestar realizadas</v>
      </c>
      <c r="J333" s="283">
        <f>+'Plan de Accion apoyo transversa'!AT115</f>
        <v>0</v>
      </c>
      <c r="K333" s="615" t="str">
        <f>+'Plan de Accion apoyo transversa'!CE115</f>
        <v>No Prog ni Ejec</v>
      </c>
      <c r="L333" s="615" t="s">
        <v>206</v>
      </c>
      <c r="M333" s="615">
        <f>+'Plan de Accion apoyo transversa'!AX115</f>
        <v>0</v>
      </c>
      <c r="N333" s="615">
        <f t="shared" si="141"/>
        <v>0</v>
      </c>
      <c r="O333" s="617" t="s">
        <v>206</v>
      </c>
      <c r="P333" s="277"/>
      <c r="Q333" s="283">
        <f>+'Plan de Accion apoyo transversa'!BD115</f>
        <v>0</v>
      </c>
      <c r="R333" s="373" t="str">
        <f>+'Plan de Accion apoyo transversa'!CG115</f>
        <v>No Prog ni Ejec</v>
      </c>
      <c r="S333" s="315" t="s">
        <v>206</v>
      </c>
      <c r="T333" s="373">
        <f>+'Plan de Accion apoyo transversa'!BH115</f>
        <v>0</v>
      </c>
      <c r="U333" s="373">
        <f t="shared" si="146"/>
        <v>0</v>
      </c>
      <c r="V333" s="275" t="s">
        <v>206</v>
      </c>
      <c r="W333" s="278"/>
      <c r="X333" s="283">
        <f>+'Plan de Accion apoyo transversa'!BN115</f>
        <v>0</v>
      </c>
      <c r="Y333" s="373" t="str">
        <f>+'Plan de Accion apoyo transversa'!CI115</f>
        <v>No Prog ni Ejec</v>
      </c>
      <c r="Z333" s="276" t="s">
        <v>206</v>
      </c>
      <c r="AA333" s="282">
        <f>+'Plan de Accion apoyo transversa'!BR115</f>
        <v>0</v>
      </c>
      <c r="AB333" s="282">
        <f t="shared" si="147"/>
        <v>0</v>
      </c>
      <c r="AC333" s="281" t="s">
        <v>206</v>
      </c>
      <c r="AD333" s="277"/>
      <c r="AE333" s="283">
        <f>+'Plan de Accion apoyo transversa'!BX115</f>
        <v>0</v>
      </c>
      <c r="AF333" s="373">
        <f>+'Plan de Accion apoyo transversa'!CK115</f>
        <v>0</v>
      </c>
      <c r="AG333" s="276">
        <f t="shared" si="150"/>
        <v>0</v>
      </c>
      <c r="AH333" s="373">
        <f>+'Plan de Accion apoyo transversa'!CB115</f>
        <v>0</v>
      </c>
      <c r="AI333" s="275">
        <f t="shared" si="149"/>
        <v>0</v>
      </c>
      <c r="AJ333" s="274"/>
      <c r="AL333" s="273"/>
      <c r="AM333" s="271"/>
      <c r="AN333" s="267"/>
      <c r="AO333" s="272"/>
      <c r="AP333" s="271"/>
      <c r="AQ333" s="267"/>
      <c r="AR333" s="271"/>
      <c r="AS333" s="271"/>
      <c r="AT333" s="267"/>
      <c r="AU333" s="271"/>
      <c r="AV333" s="271"/>
      <c r="AW333" s="265"/>
      <c r="AX333" s="270"/>
      <c r="AZ333" s="273"/>
      <c r="BA333" s="271"/>
      <c r="BB333" s="267"/>
      <c r="BC333" s="272"/>
      <c r="BD333" s="271"/>
      <c r="BE333" s="267"/>
      <c r="BF333" s="271"/>
      <c r="BG333" s="271"/>
      <c r="BH333" s="267"/>
      <c r="BI333" s="271"/>
      <c r="BJ333" s="271"/>
      <c r="BK333" s="265"/>
      <c r="BL333" s="270"/>
      <c r="BN333" s="273"/>
      <c r="BO333" s="271"/>
      <c r="BP333" s="267"/>
      <c r="BQ333" s="272"/>
      <c r="BR333" s="271"/>
      <c r="BS333" s="267"/>
      <c r="BT333" s="271"/>
      <c r="BU333" s="271"/>
      <c r="BV333" s="267"/>
      <c r="BW333" s="271"/>
      <c r="BX333" s="271"/>
      <c r="BY333" s="265"/>
      <c r="BZ333" s="270"/>
      <c r="CB333" s="273"/>
      <c r="CC333" s="271"/>
      <c r="CD333" s="267"/>
      <c r="CE333" s="272"/>
      <c r="CF333" s="271"/>
      <c r="CG333" s="267"/>
      <c r="CH333" s="271"/>
      <c r="CI333" s="271"/>
      <c r="CJ333" s="267"/>
      <c r="CK333" s="271"/>
      <c r="CL333" s="271"/>
      <c r="CM333" s="265"/>
      <c r="CN333" s="270"/>
    </row>
    <row r="334" spans="2:92" ht="69.75" customHeight="1" x14ac:dyDescent="0.2">
      <c r="B334" s="971"/>
      <c r="C334" s="973"/>
      <c r="D334" s="944"/>
      <c r="E334" s="957"/>
      <c r="F334" s="369" t="s">
        <v>338</v>
      </c>
      <c r="G334" s="378" t="str">
        <f>+'Plan de Accion apoyo transversa'!X122</f>
        <v>Información difundida a los funcionarios sobre servicio al ciudadano, tramites, servicios y OPAS de la entidad.</v>
      </c>
      <c r="H334" s="289" t="str">
        <f>+'Plan de Accion apoyo transversa'!AK122</f>
        <v xml:space="preserve"># Funcionarios que recibieron la información </v>
      </c>
      <c r="J334" s="283">
        <f>+'Plan de Accion apoyo transversa'!AT122</f>
        <v>25</v>
      </c>
      <c r="K334" s="615">
        <f>+'Plan de Accion apoyo transversa'!CE122</f>
        <v>1</v>
      </c>
      <c r="L334" s="615">
        <f>IF(K334&gt;100%,100%,K334)</f>
        <v>1</v>
      </c>
      <c r="M334" s="615">
        <f>+'Plan de Accion apoyo transversa'!AX122</f>
        <v>0.25</v>
      </c>
      <c r="N334" s="615">
        <f t="shared" si="141"/>
        <v>0.25</v>
      </c>
      <c r="O334" s="617">
        <f>+N334</f>
        <v>0.25</v>
      </c>
      <c r="P334" s="277"/>
      <c r="Q334" s="283">
        <f>+'Plan de Accion apoyo transversa'!BD122</f>
        <v>0</v>
      </c>
      <c r="R334" s="373">
        <f>+'Plan de Accion apoyo transversa'!CG122</f>
        <v>0</v>
      </c>
      <c r="S334" s="315">
        <f t="shared" ref="S334:S341" si="151">IF(R334&gt;100%,100%,R334)</f>
        <v>0</v>
      </c>
      <c r="T334" s="373">
        <f>+'Plan de Accion apoyo transversa'!BH122</f>
        <v>0.25</v>
      </c>
      <c r="U334" s="373">
        <f t="shared" ref="U334:U341" si="152">IF(T334&gt;100%,100%,T334)</f>
        <v>0.25</v>
      </c>
      <c r="V334" s="275">
        <f t="shared" ref="V334:V341" si="153">+U334</f>
        <v>0.25</v>
      </c>
      <c r="W334" s="278"/>
      <c r="X334" s="283">
        <f>+'Plan de Accion apoyo transversa'!BN122</f>
        <v>0</v>
      </c>
      <c r="Y334" s="373">
        <f>+'Plan de Accion apoyo transversa'!CI122</f>
        <v>0</v>
      </c>
      <c r="Z334" s="276">
        <f>IF(Y334&gt;100%,100%,Y334)</f>
        <v>0</v>
      </c>
      <c r="AA334" s="282">
        <f>+'Plan de Accion apoyo transversa'!BR122</f>
        <v>0.25</v>
      </c>
      <c r="AB334" s="282">
        <f t="shared" ref="AB334:AB341" si="154">IF(AA334&gt;100%,100%,AA334)</f>
        <v>0.25</v>
      </c>
      <c r="AC334" s="281">
        <f t="shared" si="148"/>
        <v>0.25</v>
      </c>
      <c r="AD334" s="277"/>
      <c r="AE334" s="283">
        <f>+'Plan de Accion apoyo transversa'!BX122</f>
        <v>0</v>
      </c>
      <c r="AF334" s="373">
        <f>+'Plan de Accion apoyo transversa'!CK122</f>
        <v>0</v>
      </c>
      <c r="AG334" s="276">
        <f t="shared" si="150"/>
        <v>0</v>
      </c>
      <c r="AH334" s="373">
        <f>+'Plan de Accion apoyo transversa'!CB122</f>
        <v>0.25</v>
      </c>
      <c r="AI334" s="275">
        <f t="shared" ref="AI334:AI341" si="155">IF(AH334&gt;100%,100%,AH334)</f>
        <v>0.25</v>
      </c>
      <c r="AJ334" s="274"/>
      <c r="AL334" s="273"/>
      <c r="AM334" s="271"/>
      <c r="AN334" s="267"/>
      <c r="AO334" s="272"/>
      <c r="AP334" s="271"/>
      <c r="AQ334" s="267"/>
      <c r="AR334" s="271"/>
      <c r="AS334" s="271"/>
      <c r="AT334" s="267"/>
      <c r="AU334" s="271"/>
      <c r="AV334" s="271"/>
      <c r="AW334" s="265"/>
      <c r="AX334" s="270"/>
      <c r="AZ334" s="273"/>
      <c r="BA334" s="271"/>
      <c r="BB334" s="267"/>
      <c r="BC334" s="272"/>
      <c r="BD334" s="271"/>
      <c r="BE334" s="267"/>
      <c r="BF334" s="271"/>
      <c r="BG334" s="271"/>
      <c r="BH334" s="267"/>
      <c r="BI334" s="271"/>
      <c r="BJ334" s="271"/>
      <c r="BK334" s="265"/>
      <c r="BL334" s="270"/>
      <c r="BN334" s="273"/>
      <c r="BO334" s="271"/>
      <c r="BP334" s="267"/>
      <c r="BQ334" s="272"/>
      <c r="BR334" s="271"/>
      <c r="BS334" s="267"/>
      <c r="BT334" s="271"/>
      <c r="BU334" s="271"/>
      <c r="BV334" s="267"/>
      <c r="BW334" s="271"/>
      <c r="BX334" s="271"/>
      <c r="BY334" s="265"/>
      <c r="BZ334" s="270"/>
      <c r="CB334" s="273"/>
      <c r="CC334" s="271"/>
      <c r="CD334" s="267"/>
      <c r="CE334" s="272"/>
      <c r="CF334" s="271"/>
      <c r="CG334" s="267"/>
      <c r="CH334" s="271"/>
      <c r="CI334" s="271"/>
      <c r="CJ334" s="267"/>
      <c r="CK334" s="271"/>
      <c r="CL334" s="271"/>
      <c r="CM334" s="265"/>
      <c r="CN334" s="270"/>
    </row>
    <row r="335" spans="2:92" ht="93.75" customHeight="1" x14ac:dyDescent="0.2">
      <c r="B335" s="971"/>
      <c r="C335" s="973"/>
      <c r="D335" s="958" t="s">
        <v>206</v>
      </c>
      <c r="E335" s="955" t="s">
        <v>232</v>
      </c>
      <c r="F335" s="369" t="s">
        <v>1300</v>
      </c>
      <c r="G335" s="378" t="str">
        <f>+'Plan de Accion apoyo transversa'!X143</f>
        <v>Jornada de capacitación sobre las características y generalidades de información, que puede ser considerada como dato abierto.</v>
      </c>
      <c r="H335" s="289" t="str">
        <f>+'Plan de Accion apoyo transversa'!AK143</f>
        <v># Jornadas de capacitación realizadas</v>
      </c>
      <c r="J335" s="283">
        <f>+'Plan de Accion apoyo transversa'!AT143</f>
        <v>0</v>
      </c>
      <c r="K335" s="615" t="str">
        <f>+'Plan de Accion apoyo transversa'!CE143</f>
        <v>No Prog ni Ejec</v>
      </c>
      <c r="L335" s="615" t="s">
        <v>206</v>
      </c>
      <c r="M335" s="615">
        <f>+'Plan de Accion apoyo transversa'!AX143</f>
        <v>0</v>
      </c>
      <c r="N335" s="615">
        <f t="shared" si="141"/>
        <v>0</v>
      </c>
      <c r="O335" s="617" t="s">
        <v>206</v>
      </c>
      <c r="P335" s="277"/>
      <c r="Q335" s="283">
        <f>+'Plan de Accion apoyo transversa'!BD143</f>
        <v>0</v>
      </c>
      <c r="R335" s="373">
        <f>+'Plan de Accion apoyo transversa'!CG143</f>
        <v>0</v>
      </c>
      <c r="S335" s="315">
        <f t="shared" si="151"/>
        <v>0</v>
      </c>
      <c r="T335" s="373">
        <f>+'Plan de Accion apoyo transversa'!BH143</f>
        <v>0</v>
      </c>
      <c r="U335" s="373">
        <f t="shared" si="152"/>
        <v>0</v>
      </c>
      <c r="V335" s="275">
        <f t="shared" si="153"/>
        <v>0</v>
      </c>
      <c r="W335" s="278"/>
      <c r="X335" s="283">
        <f>+'Plan de Accion apoyo transversa'!BN143</f>
        <v>0</v>
      </c>
      <c r="Y335" s="373" t="str">
        <f>+'Plan de Accion apoyo transversa'!CI143</f>
        <v>No Prog ni Ejec</v>
      </c>
      <c r="Z335" s="276" t="s">
        <v>206</v>
      </c>
      <c r="AA335" s="282">
        <f>+'Plan de Accion apoyo transversa'!BR143</f>
        <v>0</v>
      </c>
      <c r="AB335" s="282">
        <f t="shared" si="154"/>
        <v>0</v>
      </c>
      <c r="AC335" s="281">
        <f t="shared" ref="AC335:AC341" si="156">+AB335</f>
        <v>0</v>
      </c>
      <c r="AD335" s="277"/>
      <c r="AE335" s="283">
        <f>+'Plan de Accion apoyo transversa'!BX143</f>
        <v>0</v>
      </c>
      <c r="AF335" s="373" t="str">
        <f>+'Plan de Accion apoyo transversa'!CK143</f>
        <v>No Prog ni Ejec</v>
      </c>
      <c r="AG335" s="276" t="s">
        <v>206</v>
      </c>
      <c r="AH335" s="373">
        <f>+'Plan de Accion apoyo transversa'!CB143</f>
        <v>0</v>
      </c>
      <c r="AI335" s="275">
        <f t="shared" si="155"/>
        <v>0</v>
      </c>
      <c r="AJ335" s="384"/>
      <c r="AL335" s="383"/>
      <c r="AM335" s="379"/>
      <c r="AN335" s="267"/>
      <c r="AO335" s="380"/>
      <c r="AP335" s="379"/>
      <c r="AQ335" s="267"/>
      <c r="AR335" s="379"/>
      <c r="AS335" s="379"/>
      <c r="AT335" s="267"/>
      <c r="AU335" s="379"/>
      <c r="AV335" s="379"/>
      <c r="AW335" s="265"/>
      <c r="AX335" s="382"/>
      <c r="AZ335" s="383"/>
      <c r="BA335" s="379"/>
      <c r="BB335" s="267"/>
      <c r="BC335" s="380"/>
      <c r="BD335" s="379"/>
      <c r="BE335" s="267"/>
      <c r="BF335" s="379"/>
      <c r="BG335" s="379"/>
      <c r="BH335" s="267"/>
      <c r="BI335" s="379"/>
      <c r="BJ335" s="379"/>
      <c r="BK335" s="265"/>
      <c r="BL335" s="382"/>
      <c r="BN335" s="383"/>
      <c r="BO335" s="379"/>
      <c r="BP335" s="267"/>
      <c r="BQ335" s="380"/>
      <c r="BR335" s="379"/>
      <c r="BS335" s="267"/>
      <c r="BT335" s="379"/>
      <c r="BU335" s="379"/>
      <c r="BV335" s="267"/>
      <c r="BW335" s="379"/>
      <c r="BX335" s="379"/>
      <c r="BY335" s="265"/>
      <c r="BZ335" s="382"/>
      <c r="CB335" s="383"/>
      <c r="CC335" s="379"/>
      <c r="CD335" s="267"/>
      <c r="CE335" s="380"/>
      <c r="CF335" s="379"/>
      <c r="CG335" s="267"/>
      <c r="CH335" s="379"/>
      <c r="CI335" s="379"/>
      <c r="CJ335" s="267"/>
      <c r="CK335" s="379"/>
      <c r="CL335" s="379"/>
      <c r="CM335" s="265"/>
      <c r="CN335" s="382"/>
    </row>
    <row r="336" spans="2:92" ht="68.25" customHeight="1" x14ac:dyDescent="0.2">
      <c r="B336" s="971"/>
      <c r="C336" s="973"/>
      <c r="D336" s="943"/>
      <c r="E336" s="956"/>
      <c r="F336" s="948" t="s">
        <v>1301</v>
      </c>
      <c r="G336" s="378" t="str">
        <f>+'Plan de Accion apoyo transversa'!X148</f>
        <v>Campaña de sensibilización en Seguridad y Privacidad de la Información</v>
      </c>
      <c r="H336" s="289" t="str">
        <f>+'Plan de Accion apoyo transversa'!AK148</f>
        <v xml:space="preserve"># Campañas de sensibilización en Seguridad y Privacidad de la Información </v>
      </c>
      <c r="J336" s="283">
        <f>+'Plan de Accion apoyo transversa'!AT148</f>
        <v>1</v>
      </c>
      <c r="K336" s="615">
        <f>+'Plan de Accion apoyo transversa'!CE148</f>
        <v>1</v>
      </c>
      <c r="L336" s="615">
        <f>IF(K336&gt;100%,100%,K336)</f>
        <v>1</v>
      </c>
      <c r="M336" s="615">
        <f>+'Plan de Accion apoyo transversa'!AX148</f>
        <v>0.25</v>
      </c>
      <c r="N336" s="615">
        <f t="shared" si="141"/>
        <v>0.25</v>
      </c>
      <c r="O336" s="617">
        <f>+N336</f>
        <v>0.25</v>
      </c>
      <c r="P336" s="277"/>
      <c r="Q336" s="283">
        <f>+'Plan de Accion apoyo transversa'!BD148</f>
        <v>0</v>
      </c>
      <c r="R336" s="373">
        <f>+'Plan de Accion apoyo transversa'!CG148</f>
        <v>0</v>
      </c>
      <c r="S336" s="315">
        <f t="shared" si="151"/>
        <v>0</v>
      </c>
      <c r="T336" s="373">
        <f>+'Plan de Accion apoyo transversa'!BH148</f>
        <v>0.25</v>
      </c>
      <c r="U336" s="373">
        <f t="shared" si="152"/>
        <v>0.25</v>
      </c>
      <c r="V336" s="275">
        <f t="shared" si="153"/>
        <v>0.25</v>
      </c>
      <c r="W336" s="278"/>
      <c r="X336" s="283">
        <f>+'Plan de Accion apoyo transversa'!BN148</f>
        <v>0</v>
      </c>
      <c r="Y336" s="373">
        <f>+'Plan de Accion apoyo transversa'!CI148</f>
        <v>0</v>
      </c>
      <c r="Z336" s="276">
        <f>IF(Y336&gt;100%,100%,Y336)</f>
        <v>0</v>
      </c>
      <c r="AA336" s="282">
        <f>+'Plan de Accion apoyo transversa'!BR148</f>
        <v>0.25</v>
      </c>
      <c r="AB336" s="282">
        <f t="shared" si="154"/>
        <v>0.25</v>
      </c>
      <c r="AC336" s="281">
        <f t="shared" si="156"/>
        <v>0.25</v>
      </c>
      <c r="AD336" s="277"/>
      <c r="AE336" s="283">
        <f>+'Plan de Accion apoyo transversa'!BX148</f>
        <v>0</v>
      </c>
      <c r="AF336" s="373">
        <f>+'Plan de Accion apoyo transversa'!CK148</f>
        <v>0</v>
      </c>
      <c r="AG336" s="276">
        <f t="shared" si="150"/>
        <v>0</v>
      </c>
      <c r="AH336" s="373">
        <f>+'Plan de Accion apoyo transversa'!CB148</f>
        <v>0.25</v>
      </c>
      <c r="AI336" s="275">
        <f t="shared" si="155"/>
        <v>0.25</v>
      </c>
      <c r="AJ336" s="384"/>
      <c r="AL336" s="383"/>
      <c r="AM336" s="379"/>
      <c r="AN336" s="267"/>
      <c r="AO336" s="380"/>
      <c r="AP336" s="379"/>
      <c r="AQ336" s="267"/>
      <c r="AR336" s="379"/>
      <c r="AS336" s="379"/>
      <c r="AT336" s="267"/>
      <c r="AU336" s="379"/>
      <c r="AV336" s="379"/>
      <c r="AW336" s="265"/>
      <c r="AX336" s="382"/>
      <c r="AZ336" s="383"/>
      <c r="BA336" s="379"/>
      <c r="BB336" s="267"/>
      <c r="BC336" s="380"/>
      <c r="BD336" s="379"/>
      <c r="BE336" s="267"/>
      <c r="BF336" s="379"/>
      <c r="BG336" s="379"/>
      <c r="BH336" s="267"/>
      <c r="BI336" s="379"/>
      <c r="BJ336" s="379"/>
      <c r="BK336" s="265"/>
      <c r="BL336" s="382"/>
      <c r="BN336" s="383"/>
      <c r="BO336" s="379"/>
      <c r="BP336" s="267"/>
      <c r="BQ336" s="380"/>
      <c r="BR336" s="379"/>
      <c r="BS336" s="267"/>
      <c r="BT336" s="379"/>
      <c r="BU336" s="379"/>
      <c r="BV336" s="267"/>
      <c r="BW336" s="379"/>
      <c r="BX336" s="379"/>
      <c r="BY336" s="265"/>
      <c r="BZ336" s="382"/>
      <c r="CB336" s="383"/>
      <c r="CC336" s="379"/>
      <c r="CD336" s="267"/>
      <c r="CE336" s="380"/>
      <c r="CF336" s="379"/>
      <c r="CG336" s="267"/>
      <c r="CH336" s="379"/>
      <c r="CI336" s="379"/>
      <c r="CJ336" s="267"/>
      <c r="CK336" s="379"/>
      <c r="CL336" s="379"/>
      <c r="CM336" s="265"/>
      <c r="CN336" s="382"/>
    </row>
    <row r="337" spans="2:92" ht="69.75" customHeight="1" x14ac:dyDescent="0.2">
      <c r="B337" s="971"/>
      <c r="C337" s="973"/>
      <c r="D337" s="944"/>
      <c r="E337" s="957"/>
      <c r="F337" s="950"/>
      <c r="G337" s="378" t="str">
        <f>+'Plan de Accion apoyo transversa'!X149</f>
        <v>Jornadas de capacitación frente a temas de Seguridad y Privacidad de la Información</v>
      </c>
      <c r="H337" s="289" t="str">
        <f>+'Plan de Accion apoyo transversa'!AK149</f>
        <v xml:space="preserve"># Jornadas de Capacitación en Seguridad y Privacidad de la Información para Servidores Públicos y Contratistas </v>
      </c>
      <c r="J337" s="283">
        <f>+'Plan de Accion apoyo transversa'!AT149</f>
        <v>0</v>
      </c>
      <c r="K337" s="615" t="str">
        <f>+'Plan de Accion apoyo transversa'!CE149</f>
        <v>No Prog ni Ejec</v>
      </c>
      <c r="L337" s="615" t="s">
        <v>206</v>
      </c>
      <c r="M337" s="615">
        <f>+'Plan de Accion apoyo transversa'!AX149</f>
        <v>0</v>
      </c>
      <c r="N337" s="615">
        <f t="shared" si="141"/>
        <v>0</v>
      </c>
      <c r="O337" s="617" t="s">
        <v>206</v>
      </c>
      <c r="P337" s="277"/>
      <c r="Q337" s="283">
        <f>+'Plan de Accion apoyo transversa'!BD149</f>
        <v>0</v>
      </c>
      <c r="R337" s="373">
        <f>+'Plan de Accion apoyo transversa'!CG149</f>
        <v>0</v>
      </c>
      <c r="S337" s="315">
        <f t="shared" si="151"/>
        <v>0</v>
      </c>
      <c r="T337" s="373">
        <f>+'Plan de Accion apoyo transversa'!BH149</f>
        <v>0</v>
      </c>
      <c r="U337" s="373">
        <f t="shared" si="152"/>
        <v>0</v>
      </c>
      <c r="V337" s="275">
        <f t="shared" si="153"/>
        <v>0</v>
      </c>
      <c r="W337" s="278"/>
      <c r="X337" s="283">
        <f>+'Plan de Accion apoyo transversa'!BN149</f>
        <v>0</v>
      </c>
      <c r="Y337" s="373" t="str">
        <f>+'Plan de Accion apoyo transversa'!CI149</f>
        <v>No Prog ni Ejec</v>
      </c>
      <c r="Z337" s="276" t="s">
        <v>206</v>
      </c>
      <c r="AA337" s="282">
        <f>+'Plan de Accion apoyo transversa'!BR149</f>
        <v>0</v>
      </c>
      <c r="AB337" s="282">
        <f t="shared" si="154"/>
        <v>0</v>
      </c>
      <c r="AC337" s="281">
        <f t="shared" si="156"/>
        <v>0</v>
      </c>
      <c r="AD337" s="277"/>
      <c r="AE337" s="283">
        <f>+'Plan de Accion apoyo transversa'!BX149</f>
        <v>0</v>
      </c>
      <c r="AF337" s="373">
        <f>+'Plan de Accion apoyo transversa'!CK149</f>
        <v>0</v>
      </c>
      <c r="AG337" s="276">
        <f t="shared" si="150"/>
        <v>0</v>
      </c>
      <c r="AH337" s="373">
        <f>+'Plan de Accion apoyo transversa'!CB149</f>
        <v>0</v>
      </c>
      <c r="AI337" s="275">
        <f t="shared" si="155"/>
        <v>0</v>
      </c>
      <c r="AJ337" s="384"/>
      <c r="AL337" s="383"/>
      <c r="AM337" s="379"/>
      <c r="AN337" s="267"/>
      <c r="AO337" s="380"/>
      <c r="AP337" s="379"/>
      <c r="AQ337" s="267"/>
      <c r="AR337" s="379"/>
      <c r="AS337" s="379"/>
      <c r="AT337" s="267"/>
      <c r="AU337" s="379"/>
      <c r="AV337" s="379"/>
      <c r="AW337" s="265"/>
      <c r="AX337" s="382"/>
      <c r="AZ337" s="383"/>
      <c r="BA337" s="379"/>
      <c r="BB337" s="267"/>
      <c r="BC337" s="380"/>
      <c r="BD337" s="379"/>
      <c r="BE337" s="267"/>
      <c r="BF337" s="379"/>
      <c r="BG337" s="379"/>
      <c r="BH337" s="267"/>
      <c r="BI337" s="379"/>
      <c r="BJ337" s="379"/>
      <c r="BK337" s="265"/>
      <c r="BL337" s="382"/>
      <c r="BN337" s="383"/>
      <c r="BO337" s="379"/>
      <c r="BP337" s="267"/>
      <c r="BQ337" s="380"/>
      <c r="BR337" s="379"/>
      <c r="BS337" s="267"/>
      <c r="BT337" s="379"/>
      <c r="BU337" s="379"/>
      <c r="BV337" s="267"/>
      <c r="BW337" s="379"/>
      <c r="BX337" s="379"/>
      <c r="BY337" s="265"/>
      <c r="BZ337" s="382"/>
      <c r="CB337" s="383"/>
      <c r="CC337" s="379"/>
      <c r="CD337" s="267"/>
      <c r="CE337" s="380"/>
      <c r="CF337" s="379"/>
      <c r="CG337" s="267"/>
      <c r="CH337" s="379"/>
      <c r="CI337" s="379"/>
      <c r="CJ337" s="267"/>
      <c r="CK337" s="379"/>
      <c r="CL337" s="379"/>
      <c r="CM337" s="265"/>
      <c r="CN337" s="382"/>
    </row>
    <row r="338" spans="2:92" ht="69.75" customHeight="1" x14ac:dyDescent="0.2">
      <c r="B338" s="971"/>
      <c r="C338" s="973"/>
      <c r="D338" s="672"/>
      <c r="E338" s="675" t="s">
        <v>1</v>
      </c>
      <c r="F338" s="674" t="s">
        <v>1300</v>
      </c>
      <c r="G338" s="675" t="str">
        <f>+'Plan de Accion apoyo transversa'!X143</f>
        <v>Jornada de capacitación sobre las características y generalidades de información, que puede ser considerada como dato abierto.</v>
      </c>
      <c r="H338" s="289" t="str">
        <f>+'Plan de Accion apoyo transversa'!AK143</f>
        <v># Jornadas de capacitación realizadas</v>
      </c>
      <c r="J338" s="283">
        <f>+'Plan de Accion apoyo transversa'!AT143</f>
        <v>0</v>
      </c>
      <c r="K338" s="676" t="str">
        <f>+'Plan de Accion apoyo transversa'!CE143</f>
        <v>No Prog ni Ejec</v>
      </c>
      <c r="L338" s="676" t="s">
        <v>206</v>
      </c>
      <c r="M338" s="676">
        <f>+'Plan de Accion apoyo transversa'!AX143</f>
        <v>0</v>
      </c>
      <c r="N338" s="676">
        <f>IF(M338&gt;100%,100%,M338)</f>
        <v>0</v>
      </c>
      <c r="O338" s="677" t="s">
        <v>206</v>
      </c>
      <c r="P338" s="277"/>
      <c r="Q338" s="283">
        <f>+'Plan de Accion apoyo transversa'!BD143</f>
        <v>0</v>
      </c>
      <c r="R338" s="676">
        <f>+'Plan de Accion apoyo transversa'!CG143</f>
        <v>0</v>
      </c>
      <c r="S338" s="315">
        <f>IF(R338&gt;100%,100%,R338)</f>
        <v>0</v>
      </c>
      <c r="T338" s="676">
        <f>+'Plan de Accion apoyo transversa'!BH143</f>
        <v>0</v>
      </c>
      <c r="U338" s="676">
        <f t="shared" si="152"/>
        <v>0</v>
      </c>
      <c r="V338" s="275">
        <f t="shared" si="153"/>
        <v>0</v>
      </c>
      <c r="W338" s="278"/>
      <c r="X338" s="283">
        <f>+'Plan de Accion apoyo transversa'!BN143</f>
        <v>0</v>
      </c>
      <c r="Y338" s="676" t="str">
        <f>+'Plan de Accion apoyo transversa'!CI143</f>
        <v>No Prog ni Ejec</v>
      </c>
      <c r="Z338" s="276" t="s">
        <v>206</v>
      </c>
      <c r="AA338" s="282">
        <f>+'Plan de Accion apoyo transversa'!BR143</f>
        <v>0</v>
      </c>
      <c r="AB338" s="282">
        <f t="shared" si="154"/>
        <v>0</v>
      </c>
      <c r="AC338" s="281">
        <f t="shared" si="156"/>
        <v>0</v>
      </c>
      <c r="AD338" s="277"/>
      <c r="AE338" s="283">
        <f>+'Plan de Accion apoyo transversa'!BX143</f>
        <v>0</v>
      </c>
      <c r="AF338" s="676" t="str">
        <f>+'Plan de Accion apoyo transversa'!CK143</f>
        <v>No Prog ni Ejec</v>
      </c>
      <c r="AG338" s="276" t="s">
        <v>206</v>
      </c>
      <c r="AH338" s="676">
        <f>+'Plan de Accion apoyo transversa'!CB143</f>
        <v>0</v>
      </c>
      <c r="AI338" s="275">
        <f t="shared" si="155"/>
        <v>0</v>
      </c>
      <c r="AJ338" s="679"/>
      <c r="AL338" s="682"/>
      <c r="AM338" s="678"/>
      <c r="AN338" s="267"/>
      <c r="AO338" s="680"/>
      <c r="AP338" s="678"/>
      <c r="AQ338" s="267"/>
      <c r="AR338" s="678"/>
      <c r="AS338" s="678"/>
      <c r="AT338" s="267"/>
      <c r="AU338" s="678"/>
      <c r="AV338" s="678"/>
      <c r="AW338" s="265"/>
      <c r="AX338" s="683"/>
      <c r="AZ338" s="682"/>
      <c r="BA338" s="678"/>
      <c r="BB338" s="267"/>
      <c r="BC338" s="680"/>
      <c r="BD338" s="678"/>
      <c r="BE338" s="267"/>
      <c r="BF338" s="678"/>
      <c r="BG338" s="678"/>
      <c r="BH338" s="267"/>
      <c r="BI338" s="678"/>
      <c r="BJ338" s="678"/>
      <c r="BK338" s="265"/>
      <c r="BL338" s="683"/>
      <c r="BN338" s="682"/>
      <c r="BO338" s="678"/>
      <c r="BP338" s="267"/>
      <c r="BQ338" s="680"/>
      <c r="BR338" s="678"/>
      <c r="BS338" s="267"/>
      <c r="BT338" s="678"/>
      <c r="BU338" s="678"/>
      <c r="BV338" s="267"/>
      <c r="BW338" s="678"/>
      <c r="BX338" s="678"/>
      <c r="BY338" s="265"/>
      <c r="BZ338" s="683"/>
      <c r="CB338" s="682"/>
      <c r="CC338" s="678"/>
      <c r="CD338" s="267"/>
      <c r="CE338" s="680"/>
      <c r="CF338" s="678"/>
      <c r="CG338" s="267"/>
      <c r="CH338" s="678"/>
      <c r="CI338" s="678"/>
      <c r="CJ338" s="267"/>
      <c r="CK338" s="678"/>
      <c r="CL338" s="678"/>
      <c r="CM338" s="265"/>
      <c r="CN338" s="683"/>
    </row>
    <row r="339" spans="2:92" ht="69.75" customHeight="1" x14ac:dyDescent="0.2">
      <c r="B339" s="971"/>
      <c r="C339" s="973"/>
      <c r="D339" s="412" t="s">
        <v>206</v>
      </c>
      <c r="E339" s="414" t="s">
        <v>3</v>
      </c>
      <c r="F339" s="413" t="s">
        <v>332</v>
      </c>
      <c r="G339" s="385" t="str">
        <f>+'Plan de Accion apoyo transversa'!X47</f>
        <v>Boletines de Autocontrol con mensajes o actividades de promoción del  autocontrol para los funcionarios de ADRES.</v>
      </c>
      <c r="H339" s="280" t="str">
        <f>+'Plan de Accion apoyo transversa'!AK47</f>
        <v># Boletines de Autocontrol socializados con los funcionarios de la ADRES 
Indicador acumulado</v>
      </c>
      <c r="J339" s="283">
        <f>+'Plan de Accion apoyo transversa'!AT47</f>
        <v>3</v>
      </c>
      <c r="K339" s="615">
        <f>+'Plan de Accion apoyo transversa'!CE47</f>
        <v>1</v>
      </c>
      <c r="L339" s="615">
        <f>IF(K339&gt;100%,100%,K339)</f>
        <v>1</v>
      </c>
      <c r="M339" s="615">
        <f>+'Plan de Accion apoyo transversa'!AX47</f>
        <v>0.25</v>
      </c>
      <c r="N339" s="615">
        <f>IF(M339&gt;100%,100%,M339)</f>
        <v>0.25</v>
      </c>
      <c r="O339" s="617">
        <f>+N339</f>
        <v>0.25</v>
      </c>
      <c r="P339" s="277"/>
      <c r="Q339" s="283">
        <f>+'Plan de Accion apoyo transversa'!BD47</f>
        <v>0</v>
      </c>
      <c r="R339" s="315">
        <f>+'Plan de Accion apoyo transversa'!CG47</f>
        <v>0</v>
      </c>
      <c r="S339" s="276">
        <f>IF(R339&gt;100%,100%,R339)</f>
        <v>0</v>
      </c>
      <c r="T339" s="373">
        <f>+'Plan de Accion apoyo transversa'!BH47</f>
        <v>0.25</v>
      </c>
      <c r="U339" s="373">
        <f t="shared" si="152"/>
        <v>0.25</v>
      </c>
      <c r="V339" s="275">
        <f t="shared" si="153"/>
        <v>0.25</v>
      </c>
      <c r="W339" s="278"/>
      <c r="X339" s="283">
        <f>+'Plan de Accion apoyo transversa'!BN47</f>
        <v>0</v>
      </c>
      <c r="Y339" s="315">
        <f>+'Plan de Accion apoyo transversa'!CI47</f>
        <v>0</v>
      </c>
      <c r="Z339" s="276">
        <f>IF(Y339&gt;100%,100%,Y339)</f>
        <v>0</v>
      </c>
      <c r="AA339" s="282">
        <f>+'Plan de Accion apoyo transversa'!BR47</f>
        <v>0.25</v>
      </c>
      <c r="AB339" s="282">
        <f t="shared" si="154"/>
        <v>0.25</v>
      </c>
      <c r="AC339" s="281">
        <f t="shared" si="156"/>
        <v>0.25</v>
      </c>
      <c r="AD339" s="277"/>
      <c r="AE339" s="283">
        <f>+'Plan de Accion apoyo transversa'!BX47</f>
        <v>0</v>
      </c>
      <c r="AF339" s="315">
        <f>+'Plan de Accion apoyo transversa'!CK47</f>
        <v>0</v>
      </c>
      <c r="AG339" s="276">
        <f>IF(AF339&gt;100%,100%,AF339)</f>
        <v>0</v>
      </c>
      <c r="AH339" s="315">
        <f>+'Plan de Accion apoyo transversa'!CB47</f>
        <v>0.25</v>
      </c>
      <c r="AI339" s="275">
        <f t="shared" si="155"/>
        <v>0.25</v>
      </c>
      <c r="AJ339" s="419"/>
      <c r="AL339" s="418"/>
      <c r="AM339" s="415"/>
      <c r="AN339" s="267"/>
      <c r="AO339" s="416"/>
      <c r="AP339" s="415"/>
      <c r="AQ339" s="267"/>
      <c r="AR339" s="415"/>
      <c r="AS339" s="415"/>
      <c r="AT339" s="267"/>
      <c r="AU339" s="415"/>
      <c r="AV339" s="415"/>
      <c r="AW339" s="265"/>
      <c r="AX339" s="417"/>
      <c r="AZ339" s="418"/>
      <c r="BA339" s="415"/>
      <c r="BB339" s="267"/>
      <c r="BC339" s="416"/>
      <c r="BD339" s="415"/>
      <c r="BE339" s="267"/>
      <c r="BF339" s="415"/>
      <c r="BG339" s="415"/>
      <c r="BH339" s="267"/>
      <c r="BI339" s="415"/>
      <c r="BJ339" s="415"/>
      <c r="BK339" s="265"/>
      <c r="BL339" s="417"/>
      <c r="BN339" s="418"/>
      <c r="BO339" s="415"/>
      <c r="BP339" s="267"/>
      <c r="BQ339" s="416"/>
      <c r="BR339" s="415"/>
      <c r="BS339" s="267"/>
      <c r="BT339" s="415"/>
      <c r="BU339" s="415"/>
      <c r="BV339" s="267"/>
      <c r="BW339" s="415"/>
      <c r="BX339" s="415"/>
      <c r="BY339" s="265"/>
      <c r="BZ339" s="417"/>
      <c r="CB339" s="418"/>
      <c r="CC339" s="415"/>
      <c r="CD339" s="267"/>
      <c r="CE339" s="416"/>
      <c r="CF339" s="415"/>
      <c r="CG339" s="267"/>
      <c r="CH339" s="415"/>
      <c r="CI339" s="415"/>
      <c r="CJ339" s="267"/>
      <c r="CK339" s="415"/>
      <c r="CL339" s="415"/>
      <c r="CM339" s="265"/>
      <c r="CN339" s="417"/>
    </row>
    <row r="340" spans="2:92" ht="69.75" customHeight="1" x14ac:dyDescent="0.2">
      <c r="B340" s="971"/>
      <c r="C340" s="973"/>
      <c r="D340" s="958" t="s">
        <v>206</v>
      </c>
      <c r="E340" s="955" t="s">
        <v>233</v>
      </c>
      <c r="F340" s="948" t="s">
        <v>1303</v>
      </c>
      <c r="G340" s="378" t="str">
        <f>+'Plan de Accion apoyo transversa'!X152</f>
        <v>Jornadas de socialización de la Política actualizada a funcionarios y contratistas</v>
      </c>
      <c r="H340" s="289" t="str">
        <f>+'Plan de Accion apoyo transversa'!AK152</f>
        <v># Jornadas de socialización realizadas</v>
      </c>
      <c r="J340" s="283">
        <f>+'Plan de Accion apoyo transversa'!AT152</f>
        <v>0</v>
      </c>
      <c r="K340" s="615" t="str">
        <f>+'Plan de Accion apoyo transversa'!CE152</f>
        <v>No Prog ni Ejec</v>
      </c>
      <c r="L340" s="615" t="s">
        <v>206</v>
      </c>
      <c r="M340" s="615">
        <f>+'Plan de Accion apoyo transversa'!AX152</f>
        <v>0</v>
      </c>
      <c r="N340" s="615">
        <f t="shared" si="141"/>
        <v>0</v>
      </c>
      <c r="O340" s="617" t="s">
        <v>206</v>
      </c>
      <c r="P340" s="277"/>
      <c r="Q340" s="283">
        <f>+'Plan de Accion apoyo transversa'!BD152</f>
        <v>0</v>
      </c>
      <c r="R340" s="373">
        <f>+'Plan de Accion apoyo transversa'!CG152</f>
        <v>0</v>
      </c>
      <c r="S340" s="315">
        <f t="shared" si="151"/>
        <v>0</v>
      </c>
      <c r="T340" s="373">
        <f>+'Plan de Accion apoyo transversa'!BH152</f>
        <v>0</v>
      </c>
      <c r="U340" s="373">
        <f t="shared" si="152"/>
        <v>0</v>
      </c>
      <c r="V340" s="275">
        <f t="shared" si="153"/>
        <v>0</v>
      </c>
      <c r="W340" s="278"/>
      <c r="X340" s="283">
        <f>+'Plan de Accion apoyo transversa'!BN152</f>
        <v>0</v>
      </c>
      <c r="Y340" s="373" t="str">
        <f>+'Plan de Accion apoyo transversa'!CI152</f>
        <v>No Prog ni Ejec</v>
      </c>
      <c r="Z340" s="276" t="s">
        <v>206</v>
      </c>
      <c r="AA340" s="282">
        <f>+'Plan de Accion apoyo transversa'!BR152</f>
        <v>0</v>
      </c>
      <c r="AB340" s="282">
        <f t="shared" si="154"/>
        <v>0</v>
      </c>
      <c r="AC340" s="281">
        <f t="shared" si="156"/>
        <v>0</v>
      </c>
      <c r="AD340" s="277"/>
      <c r="AE340" s="283">
        <f>+'Plan de Accion apoyo transversa'!BX152</f>
        <v>0</v>
      </c>
      <c r="AF340" s="373" t="str">
        <f>+'Plan de Accion apoyo transversa'!CK152</f>
        <v>No Prog ni Ejec</v>
      </c>
      <c r="AG340" s="276" t="s">
        <v>206</v>
      </c>
      <c r="AH340" s="373">
        <f>+'Plan de Accion apoyo transversa'!CB152</f>
        <v>0</v>
      </c>
      <c r="AI340" s="275">
        <f t="shared" si="155"/>
        <v>0</v>
      </c>
      <c r="AJ340" s="384"/>
      <c r="AL340" s="383"/>
      <c r="AM340" s="379"/>
      <c r="AN340" s="267"/>
      <c r="AO340" s="380"/>
      <c r="AP340" s="379"/>
      <c r="AQ340" s="267"/>
      <c r="AR340" s="379"/>
      <c r="AS340" s="379"/>
      <c r="AT340" s="267"/>
      <c r="AU340" s="379"/>
      <c r="AV340" s="379"/>
      <c r="AW340" s="265"/>
      <c r="AX340" s="382"/>
      <c r="AZ340" s="383"/>
      <c r="BA340" s="379"/>
      <c r="BB340" s="267"/>
      <c r="BC340" s="380"/>
      <c r="BD340" s="379"/>
      <c r="BE340" s="267"/>
      <c r="BF340" s="379"/>
      <c r="BG340" s="379"/>
      <c r="BH340" s="267"/>
      <c r="BI340" s="379"/>
      <c r="BJ340" s="379"/>
      <c r="BK340" s="265"/>
      <c r="BL340" s="382"/>
      <c r="BN340" s="383"/>
      <c r="BO340" s="379"/>
      <c r="BP340" s="267"/>
      <c r="BQ340" s="380"/>
      <c r="BR340" s="379"/>
      <c r="BS340" s="267"/>
      <c r="BT340" s="379"/>
      <c r="BU340" s="379"/>
      <c r="BV340" s="267"/>
      <c r="BW340" s="379"/>
      <c r="BX340" s="379"/>
      <c r="BY340" s="265"/>
      <c r="BZ340" s="382"/>
      <c r="CB340" s="383"/>
      <c r="CC340" s="379"/>
      <c r="CD340" s="267"/>
      <c r="CE340" s="380"/>
      <c r="CF340" s="379"/>
      <c r="CG340" s="267"/>
      <c r="CH340" s="379"/>
      <c r="CI340" s="379"/>
      <c r="CJ340" s="267"/>
      <c r="CK340" s="379"/>
      <c r="CL340" s="379"/>
      <c r="CM340" s="265"/>
      <c r="CN340" s="382"/>
    </row>
    <row r="341" spans="2:92" ht="69.75" customHeight="1" thickBot="1" x14ac:dyDescent="0.25">
      <c r="B341" s="971"/>
      <c r="C341" s="978"/>
      <c r="D341" s="944"/>
      <c r="E341" s="957"/>
      <c r="F341" s="950"/>
      <c r="G341" s="378" t="str">
        <f>+'Plan de Accion apoyo transversa'!X155</f>
        <v>Listas de asistencia a reuniones de autocontrol y/o a jornadas de socialización de Mapa de Riesgos actualizado a funcionarios y contratistas</v>
      </c>
      <c r="H341" s="289" t="str">
        <f>+'Plan de Accion apoyo transversa'!AK155</f>
        <v># Jornadas de socialización realizadas</v>
      </c>
      <c r="J341" s="283">
        <f>+'Plan de Accion apoyo transversa'!AT155</f>
        <v>0</v>
      </c>
      <c r="K341" s="615" t="str">
        <f>+'Plan de Accion apoyo transversa'!CE155</f>
        <v>No Prog ni Ejec</v>
      </c>
      <c r="L341" s="615" t="s">
        <v>206</v>
      </c>
      <c r="M341" s="615">
        <f>+'Plan de Accion apoyo transversa'!AX155</f>
        <v>0</v>
      </c>
      <c r="N341" s="615">
        <f t="shared" si="141"/>
        <v>0</v>
      </c>
      <c r="O341" s="617" t="s">
        <v>206</v>
      </c>
      <c r="P341" s="277"/>
      <c r="Q341" s="283">
        <f>+'Plan de Accion apoyo transversa'!BD155</f>
        <v>0</v>
      </c>
      <c r="R341" s="373">
        <f>+'Plan de Accion apoyo transversa'!CG155</f>
        <v>0</v>
      </c>
      <c r="S341" s="315">
        <f t="shared" si="151"/>
        <v>0</v>
      </c>
      <c r="T341" s="373">
        <f>+'Plan de Accion apoyo transversa'!BH155</f>
        <v>0</v>
      </c>
      <c r="U341" s="373">
        <f t="shared" si="152"/>
        <v>0</v>
      </c>
      <c r="V341" s="275">
        <f t="shared" si="153"/>
        <v>0</v>
      </c>
      <c r="W341" s="278"/>
      <c r="X341" s="283">
        <f>+'Plan de Accion apoyo transversa'!BN155</f>
        <v>0</v>
      </c>
      <c r="Y341" s="373" t="str">
        <f>+'Plan de Accion apoyo transversa'!CI155</f>
        <v>No Prog ni Ejec</v>
      </c>
      <c r="Z341" s="276" t="s">
        <v>206</v>
      </c>
      <c r="AA341" s="282">
        <f>+'Plan de Accion apoyo transversa'!BR155</f>
        <v>0</v>
      </c>
      <c r="AB341" s="282">
        <f t="shared" si="154"/>
        <v>0</v>
      </c>
      <c r="AC341" s="281">
        <f t="shared" si="156"/>
        <v>0</v>
      </c>
      <c r="AD341" s="277"/>
      <c r="AE341" s="283">
        <f>+'Plan de Accion apoyo transversa'!BX155</f>
        <v>0</v>
      </c>
      <c r="AF341" s="373">
        <f>+'Plan de Accion apoyo transversa'!CK155</f>
        <v>0</v>
      </c>
      <c r="AG341" s="276">
        <f t="shared" si="150"/>
        <v>0</v>
      </c>
      <c r="AH341" s="373">
        <f>+'Plan de Accion apoyo transversa'!CB155</f>
        <v>0</v>
      </c>
      <c r="AI341" s="275">
        <f t="shared" si="155"/>
        <v>0</v>
      </c>
      <c r="AJ341" s="384"/>
      <c r="AL341" s="383"/>
      <c r="AM341" s="379"/>
      <c r="AN341" s="267"/>
      <c r="AO341" s="380"/>
      <c r="AP341" s="379"/>
      <c r="AQ341" s="267"/>
      <c r="AR341" s="379"/>
      <c r="AS341" s="379"/>
      <c r="AT341" s="267"/>
      <c r="AU341" s="379"/>
      <c r="AV341" s="379"/>
      <c r="AW341" s="265"/>
      <c r="AX341" s="382"/>
      <c r="AZ341" s="383"/>
      <c r="BA341" s="379"/>
      <c r="BB341" s="267"/>
      <c r="BC341" s="380"/>
      <c r="BD341" s="379"/>
      <c r="BE341" s="267"/>
      <c r="BF341" s="379"/>
      <c r="BG341" s="379"/>
      <c r="BH341" s="267"/>
      <c r="BI341" s="379"/>
      <c r="BJ341" s="379"/>
      <c r="BK341" s="265"/>
      <c r="BL341" s="382"/>
      <c r="BN341" s="383"/>
      <c r="BO341" s="379"/>
      <c r="BP341" s="267"/>
      <c r="BQ341" s="380"/>
      <c r="BR341" s="379"/>
      <c r="BS341" s="267"/>
      <c r="BT341" s="379"/>
      <c r="BU341" s="379"/>
      <c r="BV341" s="267"/>
      <c r="BW341" s="379"/>
      <c r="BX341" s="379"/>
      <c r="BY341" s="265"/>
      <c r="BZ341" s="382"/>
      <c r="CB341" s="383"/>
      <c r="CC341" s="379"/>
      <c r="CD341" s="267"/>
      <c r="CE341" s="380"/>
      <c r="CF341" s="379"/>
      <c r="CG341" s="267"/>
      <c r="CH341" s="379"/>
      <c r="CI341" s="379"/>
      <c r="CJ341" s="267"/>
      <c r="CK341" s="379"/>
      <c r="CL341" s="379"/>
      <c r="CM341" s="265"/>
      <c r="CN341" s="382"/>
    </row>
    <row r="342" spans="2:92" ht="20.25" thickBot="1" x14ac:dyDescent="0.3">
      <c r="B342" s="964" t="s">
        <v>220</v>
      </c>
      <c r="C342" s="966"/>
      <c r="D342" s="966"/>
      <c r="E342" s="966"/>
      <c r="F342" s="967"/>
      <c r="G342" s="967"/>
      <c r="H342" s="968"/>
      <c r="J342" s="259" t="s">
        <v>206</v>
      </c>
      <c r="K342" s="258">
        <f>AVERAGE(K289:K341)</f>
        <v>0.80555555555555558</v>
      </c>
      <c r="L342" s="263">
        <f>IF(K342&gt;100%,100%,K342)</f>
        <v>0.80555555555555558</v>
      </c>
      <c r="M342" s="258">
        <f>AVERAGE(M289:M341)</f>
        <v>6.4072327044025157E-2</v>
      </c>
      <c r="N342" s="258">
        <f>IF(M342&gt;25%,25%,M342)</f>
        <v>6.4072327044025157E-2</v>
      </c>
      <c r="O342" s="262">
        <f>AVERAGE(O289:O341)</f>
        <v>0.37731481481481477</v>
      </c>
      <c r="P342" s="260"/>
      <c r="Q342" s="259" t="s">
        <v>206</v>
      </c>
      <c r="R342" s="258">
        <f>AVERAGE(R289:R341)</f>
        <v>0</v>
      </c>
      <c r="S342" s="263">
        <f>IF(R342&gt;100%,100%,R342)</f>
        <v>0</v>
      </c>
      <c r="T342" s="258">
        <f>AVERAGE(T289:T341)</f>
        <v>6.4072327044025157E-2</v>
      </c>
      <c r="U342" s="258">
        <f>IF(T342&gt;50%,50%,T342)</f>
        <v>6.4072327044025157E-2</v>
      </c>
      <c r="V342" s="262">
        <f>AVERAGE(V289:V341)</f>
        <v>0.11709770114942528</v>
      </c>
      <c r="W342" s="261"/>
      <c r="X342" s="259" t="s">
        <v>206</v>
      </c>
      <c r="Y342" s="258">
        <f>AVERAGE(Y289:Y341)</f>
        <v>0</v>
      </c>
      <c r="Z342" s="263">
        <f>IF(Y342&gt;100%,100%,Y342)</f>
        <v>0</v>
      </c>
      <c r="AA342" s="258">
        <f>AVERAGE(AA289:AA341)</f>
        <v>6.4072327044025157E-2</v>
      </c>
      <c r="AB342" s="258">
        <f>IF(AA342&gt;75%,75%,AA342)</f>
        <v>6.4072327044025157E-2</v>
      </c>
      <c r="AC342" s="262">
        <f>AVERAGE(AC289:AC341)</f>
        <v>8.0853174603174593E-2</v>
      </c>
      <c r="AD342" s="260"/>
      <c r="AE342" s="259" t="s">
        <v>206</v>
      </c>
      <c r="AF342" s="258">
        <f>AVERAGE(AF289:AF341)</f>
        <v>0</v>
      </c>
      <c r="AG342" s="263">
        <f>IF(AF342&gt;100%,100%,AF342)</f>
        <v>0</v>
      </c>
      <c r="AH342" s="258">
        <f>AVERAGE(AH289:AH341)</f>
        <v>6.4072327044025157E-2</v>
      </c>
      <c r="AI342" s="262">
        <f>AVERAGE(AI289:AI341)</f>
        <v>6.4072327044025157E-2</v>
      </c>
      <c r="AL342" s="255"/>
      <c r="AM342" s="257"/>
      <c r="AN342" s="256"/>
      <c r="AO342" s="255"/>
      <c r="AP342" s="254"/>
      <c r="AQ342" s="256"/>
      <c r="AR342" s="255"/>
      <c r="AS342" s="254"/>
      <c r="AT342" s="256"/>
      <c r="AU342" s="255"/>
      <c r="AV342" s="254"/>
      <c r="AZ342" s="255"/>
      <c r="BA342" s="257"/>
      <c r="BB342" s="256"/>
      <c r="BC342" s="255"/>
      <c r="BD342" s="254"/>
      <c r="BE342" s="256"/>
      <c r="BF342" s="255"/>
      <c r="BG342" s="254"/>
      <c r="BH342" s="256"/>
      <c r="BI342" s="255"/>
      <c r="BJ342" s="254"/>
      <c r="BN342" s="255"/>
      <c r="BO342" s="257"/>
      <c r="BP342" s="256"/>
      <c r="BQ342" s="255"/>
      <c r="BR342" s="254"/>
      <c r="BS342" s="256"/>
      <c r="BT342" s="255"/>
      <c r="BU342" s="254"/>
      <c r="BV342" s="256"/>
      <c r="BW342" s="255"/>
      <c r="BX342" s="254"/>
      <c r="CB342" s="255"/>
      <c r="CC342" s="257"/>
      <c r="CD342" s="256"/>
      <c r="CE342" s="255"/>
      <c r="CF342" s="254"/>
      <c r="CG342" s="256"/>
      <c r="CH342" s="255"/>
      <c r="CI342" s="254"/>
      <c r="CJ342" s="256"/>
      <c r="CK342" s="255"/>
      <c r="CL342" s="254"/>
    </row>
    <row r="343" spans="2:92" ht="25.5" thickBot="1" x14ac:dyDescent="0.35">
      <c r="B343" s="964" t="s">
        <v>1269</v>
      </c>
      <c r="C343" s="966"/>
      <c r="D343" s="966"/>
      <c r="E343" s="966"/>
      <c r="F343" s="967"/>
      <c r="G343" s="967"/>
      <c r="H343" s="968"/>
      <c r="J343" s="252" t="str">
        <f>+J342</f>
        <v>N.A</v>
      </c>
      <c r="K343" s="250">
        <f>(K127+K192+K288+K342)/4</f>
        <v>0.74344618283119779</v>
      </c>
      <c r="L343" s="251">
        <f>(L127+L192+L288+L342)/4</f>
        <v>0.74344618283119779</v>
      </c>
      <c r="M343" s="250">
        <f>(M127+M192+M288+M342)/4</f>
        <v>0.12955143617572534</v>
      </c>
      <c r="N343" s="250">
        <f>(N127+N192+N288+N342)/4</f>
        <v>0.12955143617572534</v>
      </c>
      <c r="O343" s="247">
        <f>(O127+O192+O288+O342)/4</f>
        <v>0.28687472528355507</v>
      </c>
      <c r="P343" s="244"/>
      <c r="Q343" s="248" t="str">
        <f>+Q342</f>
        <v>N.A</v>
      </c>
      <c r="R343" s="250" t="e">
        <f>(R127+R192+R288+R342)/4</f>
        <v>#VALUE!</v>
      </c>
      <c r="S343" s="251" t="e">
        <f>(S127+S192+S288+S342)/4</f>
        <v>#VALUE!</v>
      </c>
      <c r="T343" s="250" t="e">
        <f>(T127+T192+T288+T342)/4</f>
        <v>#VALUE!</v>
      </c>
      <c r="U343" s="250" t="e">
        <f>(U127+U192+U288+U342)/4</f>
        <v>#VALUE!</v>
      </c>
      <c r="V343" s="247" t="e">
        <f>(V127+V192+V288+V342)/4</f>
        <v>#VALUE!</v>
      </c>
      <c r="W343" s="245"/>
      <c r="X343" s="248" t="str">
        <f>+X342</f>
        <v>N.A</v>
      </c>
      <c r="Y343" s="250" t="e">
        <f>(Y127+Y192+Y288+Y342)/4</f>
        <v>#VALUE!</v>
      </c>
      <c r="Z343" s="251" t="e">
        <f>(Z127+Z192+Z288+Z342)/4</f>
        <v>#VALUE!</v>
      </c>
      <c r="AA343" s="250" t="e">
        <f>(AA127+AA192+AA288+AA342)/4</f>
        <v>#VALUE!</v>
      </c>
      <c r="AB343" s="250" t="e">
        <f>(AB127+AB192+AB288+AB342)/4</f>
        <v>#VALUE!</v>
      </c>
      <c r="AC343" s="249" t="e">
        <f>(AC127+AC192+AC288+AC342)/4</f>
        <v>#VALUE!</v>
      </c>
      <c r="AD343" s="244"/>
      <c r="AE343" s="248" t="str">
        <f>+AE342</f>
        <v>N.A</v>
      </c>
      <c r="AF343" s="250" t="e">
        <f>(AF127+AF192+AF288+AF342)/4</f>
        <v>#VALUE!</v>
      </c>
      <c r="AG343" s="251" t="e">
        <f>(AG127+AG192+AG288+AG342)/4</f>
        <v>#VALUE!</v>
      </c>
      <c r="AH343" s="250" t="e">
        <f>(AH127+AH192+AH288+AH342)/4</f>
        <v>#VALUE!</v>
      </c>
      <c r="AI343" s="421" t="e">
        <f>(AI127+AI192+AI288+AI342)/4</f>
        <v>#VALUE!</v>
      </c>
      <c r="BG343" s="253"/>
      <c r="BH343" s="253"/>
    </row>
    <row r="344" spans="2:92" ht="25.5" thickBot="1" x14ac:dyDescent="0.35">
      <c r="B344" s="964" t="s">
        <v>1268</v>
      </c>
      <c r="C344" s="966"/>
      <c r="D344" s="966"/>
      <c r="E344" s="966"/>
      <c r="F344" s="967"/>
      <c r="G344" s="967"/>
      <c r="H344" s="968"/>
      <c r="J344" s="252" t="str">
        <f>+J343</f>
        <v>N.A</v>
      </c>
      <c r="K344" s="250">
        <f>AVERAGE(K15:K126,K128,K130:K191,K193:K283,K285:K287,K289:K341)</f>
        <v>0.73911170138447468</v>
      </c>
      <c r="L344" s="251">
        <f>AVERAGE(L15:L126,L128,L130:L191,L193:L283,L285:L287,L289:L341)</f>
        <v>0.72295528119214958</v>
      </c>
      <c r="M344" s="250">
        <f>AVERAGE(M15:M126,M128,M130:M191,M193:M283,M285:M287,M289:M341)</f>
        <v>0.12916069881263939</v>
      </c>
      <c r="N344" s="250">
        <f>AVERAGE(N15:N126,N128,N130:N191,N193:N283,N285:N287,N289:N341)</f>
        <v>0.12916069881263939</v>
      </c>
      <c r="O344" s="247">
        <f>AVERAGE(O15:O126,O128,O130:O191,O193:O283,O285:O287,O289:O341)</f>
        <v>0.27371318737076539</v>
      </c>
      <c r="P344" s="244"/>
      <c r="Q344" s="248" t="str">
        <f>+Q343</f>
        <v>N.A</v>
      </c>
      <c r="R344" s="250" t="e">
        <f>AVERAGE(R15:R126,R128:R191,R193:R287,R289:R341)</f>
        <v>#VALUE!</v>
      </c>
      <c r="S344" s="251" t="e">
        <f>AVERAGE(S15:S126,S128:S191,S193:S287,S289:S341)</f>
        <v>#VALUE!</v>
      </c>
      <c r="T344" s="250" t="e">
        <f>AVERAGE(T15:T126,T128:T191,T193:T287,T289:T341)</f>
        <v>#VALUE!</v>
      </c>
      <c r="U344" s="250" t="e">
        <f>AVERAGE(U15:U126,U128:U191,U193:U287,U289:U341)</f>
        <v>#VALUE!</v>
      </c>
      <c r="V344" s="247" t="e">
        <f>AVERAGE(V15:V126,V128:V191,V193:V287,V289:V341)</f>
        <v>#VALUE!</v>
      </c>
      <c r="W344" s="245"/>
      <c r="X344" s="248" t="str">
        <f>+X343</f>
        <v>N.A</v>
      </c>
      <c r="Y344" s="250" t="e">
        <f>AVERAGE(Y15:Y126,Y128:Y191,Y193:Y287,Y289:Y341)</f>
        <v>#VALUE!</v>
      </c>
      <c r="Z344" s="251" t="e">
        <f>AVERAGE(Z15:Z126,Z128:Z191,Z193:Z287,Z289:Z341)</f>
        <v>#VALUE!</v>
      </c>
      <c r="AA344" s="250" t="e">
        <f>AVERAGE(AA15:AA126,AA128:AA191,AA193:AA287,AA289:AA341)</f>
        <v>#VALUE!</v>
      </c>
      <c r="AB344" s="250" t="e">
        <f>AVERAGE(AB15:AB126,AB128:AB191,AB193:AB287,AB289:AB341)</f>
        <v>#VALUE!</v>
      </c>
      <c r="AC344" s="249" t="e">
        <f>AVERAGE(AC15:AC126,AC128:AC191,AC193:AC287,AC289:AC341)</f>
        <v>#VALUE!</v>
      </c>
      <c r="AD344" s="244"/>
      <c r="AE344" s="248" t="str">
        <f>+AE343</f>
        <v>N.A</v>
      </c>
      <c r="AF344" s="250" t="e">
        <f>AVERAGE(AF15:AF126,AF128:AF191,AF193:AF287,AF289:AF341)</f>
        <v>#VALUE!</v>
      </c>
      <c r="AG344" s="251" t="e">
        <f>AVERAGE(AG15:AG126,AG128:AG191,AG193:AG287,AG289:AG341)</f>
        <v>#VALUE!</v>
      </c>
      <c r="AH344" s="250" t="e">
        <f>AVERAGE(AH15:AH126,AH128:AH191,AH193:AH287,AH289:AH341)</f>
        <v>#VALUE!</v>
      </c>
      <c r="AI344" s="421" t="e">
        <f>AVERAGE(AI15:AI126,AI128:AI191,AI193:AI287,AI289:AI341)</f>
        <v>#VALUE!</v>
      </c>
    </row>
    <row r="345" spans="2:92" ht="25.5" thickBot="1" x14ac:dyDescent="0.35">
      <c r="B345" s="964" t="s">
        <v>1267</v>
      </c>
      <c r="C345" s="966"/>
      <c r="D345" s="966"/>
      <c r="E345" s="966"/>
      <c r="F345" s="967"/>
      <c r="G345" s="967"/>
      <c r="H345" s="968"/>
      <c r="J345" s="252" t="str">
        <f>+J344</f>
        <v>N.A</v>
      </c>
      <c r="K345" s="250">
        <f>AVERAGE(K128,K130:K191,K193:K283,K285:K287,K289:K341)</f>
        <v>0.82062305717826978</v>
      </c>
      <c r="L345" s="251">
        <f>AVERAGE(L128,L130:L191,L193:L283,L285:L287,L289:L341)</f>
        <v>0.80165593233956356</v>
      </c>
      <c r="M345" s="250">
        <f>AVERAGE(M128,M130:M191,M193:M283,M285:M287,M289:M341)</f>
        <v>0.15746035604056949</v>
      </c>
      <c r="N345" s="250">
        <f>AVERAGE(N128,N130:N191,N193:N283,N285:N287,N289:N341)</f>
        <v>0.15746035604056949</v>
      </c>
      <c r="O345" s="247">
        <f>AVERAGE(O128,O130:O191,O193:O283,O285:O287,O289:O341)</f>
        <v>0.32616788036975108</v>
      </c>
      <c r="P345" s="244"/>
      <c r="Q345" s="248" t="str">
        <f>+Q344</f>
        <v>N.A</v>
      </c>
      <c r="R345" s="250" t="e">
        <f>AVERAGE(R128:R191,R193:R287,R289:R341)</f>
        <v>#VALUE!</v>
      </c>
      <c r="S345" s="251" t="e">
        <f>AVERAGE(S128:S191,S193:S287,S289:S341)</f>
        <v>#VALUE!</v>
      </c>
      <c r="T345" s="250" t="e">
        <f>AVERAGE(T128:T191,T193:T287,T289:T341)</f>
        <v>#VALUE!</v>
      </c>
      <c r="U345" s="250" t="e">
        <f>AVERAGE(U128:U191,U193:U287,U289:U341)</f>
        <v>#VALUE!</v>
      </c>
      <c r="V345" s="247" t="e">
        <f>AVERAGE(V128:V191,V193:V287,V289:V341)</f>
        <v>#VALUE!</v>
      </c>
      <c r="W345" s="245"/>
      <c r="X345" s="248" t="str">
        <f>+X344</f>
        <v>N.A</v>
      </c>
      <c r="Y345" s="250" t="e">
        <f>AVERAGE(Y128:Y191,Y193:Y287,Y289:Y341)</f>
        <v>#VALUE!</v>
      </c>
      <c r="Z345" s="251" t="e">
        <f>AVERAGE(Z128:Z191,Z193:Z287,Z289:Z341)</f>
        <v>#VALUE!</v>
      </c>
      <c r="AA345" s="250" t="e">
        <f>AVERAGE(AA128:AA191,AA193:AA287,AA289:AA341)</f>
        <v>#VALUE!</v>
      </c>
      <c r="AB345" s="250" t="e">
        <f>AVERAGE(AB128:AB191,AB193:AB287,AB289:AB341)</f>
        <v>#VALUE!</v>
      </c>
      <c r="AC345" s="249" t="e">
        <f>AVERAGE(AC128:AC191,AC193:AC287,AC289:AC341)</f>
        <v>#VALUE!</v>
      </c>
      <c r="AD345" s="244"/>
      <c r="AE345" s="248" t="str">
        <f>+AE344</f>
        <v>N.A</v>
      </c>
      <c r="AF345" s="250" t="e">
        <f>AVERAGE(AF128:AF191,AF193:AF287,AF289:AF341)</f>
        <v>#VALUE!</v>
      </c>
      <c r="AG345" s="251" t="e">
        <f>AVERAGE(AG128:AG191,AG193:AG287,AG289:AG341)</f>
        <v>#VALUE!</v>
      </c>
      <c r="AH345" s="250" t="e">
        <f>AVERAGE(AH128:AH191,AH193:AH287,AH289:AH341)</f>
        <v>#VALUE!</v>
      </c>
      <c r="AI345" s="421" t="e">
        <f>AVERAGE(AI128:AI191,AI193:AI287,AI289:AI341)</f>
        <v>#VALUE!</v>
      </c>
    </row>
    <row r="346" spans="2:92" s="234" customFormat="1" ht="24.75" x14ac:dyDescent="0.3">
      <c r="B346" s="246"/>
      <c r="C346" s="246"/>
      <c r="D346" s="246"/>
      <c r="E346" s="246"/>
      <c r="F346" s="246"/>
      <c r="G346" s="246"/>
      <c r="H346" s="246"/>
      <c r="I346" s="235"/>
      <c r="J346" s="243"/>
      <c r="K346" s="231"/>
      <c r="L346" s="231"/>
      <c r="M346" s="231"/>
      <c r="N346" s="231"/>
      <c r="O346" s="231"/>
      <c r="P346" s="244"/>
      <c r="Q346" s="243"/>
      <c r="R346" s="231"/>
      <c r="S346" s="231"/>
      <c r="T346" s="231"/>
      <c r="U346" s="231"/>
      <c r="V346" s="231"/>
      <c r="W346" s="245"/>
      <c r="X346" s="243"/>
      <c r="Y346" s="231"/>
      <c r="Z346" s="231"/>
      <c r="AA346" s="231"/>
      <c r="AB346" s="231"/>
      <c r="AC346" s="231"/>
      <c r="AD346" s="244"/>
      <c r="AE346" s="243"/>
      <c r="AF346" s="231"/>
      <c r="AG346" s="231"/>
      <c r="AH346" s="231"/>
      <c r="AI346" s="231"/>
      <c r="AK346" s="242"/>
    </row>
    <row r="347" spans="2:92" ht="24.75" customHeight="1" x14ac:dyDescent="0.25">
      <c r="B347" s="241" t="s">
        <v>1266</v>
      </c>
      <c r="C347" s="240"/>
      <c r="D347" s="240"/>
      <c r="E347" s="240"/>
      <c r="F347" s="240"/>
      <c r="G347" s="240"/>
      <c r="H347" s="239"/>
      <c r="P347" s="361"/>
      <c r="W347" s="235"/>
    </row>
    <row r="348" spans="2:92" x14ac:dyDescent="0.2">
      <c r="B348" s="240"/>
      <c r="C348" s="240"/>
      <c r="D348" s="240"/>
      <c r="E348" s="240"/>
      <c r="F348" s="240"/>
      <c r="G348" s="240"/>
      <c r="H348" s="239"/>
      <c r="P348" s="361"/>
      <c r="W348" s="235"/>
    </row>
    <row r="349" spans="2:92" x14ac:dyDescent="0.2">
      <c r="B349" s="240"/>
      <c r="C349" s="240"/>
      <c r="D349" s="240"/>
      <c r="E349" s="240"/>
      <c r="F349" s="240"/>
      <c r="G349" s="240"/>
      <c r="H349" s="239"/>
      <c r="P349" s="361"/>
      <c r="W349" s="235"/>
    </row>
    <row r="350" spans="2:92" x14ac:dyDescent="0.2">
      <c r="P350" s="361"/>
      <c r="V350" s="238"/>
      <c r="W350" s="235"/>
    </row>
    <row r="351" spans="2:92" ht="18" x14ac:dyDescent="0.25">
      <c r="B351" s="237"/>
      <c r="C351" s="237"/>
      <c r="D351" s="237"/>
      <c r="E351" s="237"/>
      <c r="F351" s="237"/>
      <c r="G351" s="237"/>
      <c r="K351" s="238"/>
      <c r="L351" s="238"/>
      <c r="M351" s="238"/>
      <c r="N351" s="238"/>
      <c r="O351" s="238"/>
      <c r="P351" s="361"/>
      <c r="W351" s="235"/>
    </row>
    <row r="352" spans="2:92" ht="18" x14ac:dyDescent="0.25">
      <c r="B352" s="237"/>
      <c r="C352" s="237"/>
      <c r="D352" s="237"/>
      <c r="E352" s="237"/>
      <c r="F352" s="237"/>
      <c r="G352" s="237"/>
      <c r="I352" s="231"/>
      <c r="J352" s="231"/>
      <c r="P352" s="362"/>
      <c r="W352" s="253"/>
      <c r="AD352" s="236"/>
    </row>
    <row r="353" spans="2:30" ht="18" x14ac:dyDescent="0.25">
      <c r="B353" s="237"/>
      <c r="C353" s="237"/>
      <c r="D353" s="237"/>
      <c r="E353" s="237"/>
      <c r="F353" s="237"/>
      <c r="G353" s="237"/>
      <c r="I353" s="231"/>
      <c r="J353" s="231"/>
      <c r="P353" s="362"/>
      <c r="W353" s="253"/>
      <c r="AD353" s="236"/>
    </row>
    <row r="354" spans="2:30" x14ac:dyDescent="0.2">
      <c r="P354" s="361"/>
      <c r="W354" s="235"/>
    </row>
    <row r="355" spans="2:30" x14ac:dyDescent="0.2">
      <c r="P355" s="361"/>
      <c r="W355" s="235"/>
    </row>
    <row r="356" spans="2:30" x14ac:dyDescent="0.2">
      <c r="P356" s="361"/>
      <c r="W356" s="235"/>
    </row>
    <row r="357" spans="2:30" x14ac:dyDescent="0.2">
      <c r="P357" s="361"/>
    </row>
  </sheetData>
  <autoFilter ref="B14:CN345" xr:uid="{00000000-0009-0000-0000-000004000000}"/>
  <mergeCells count="829">
    <mergeCell ref="F23:F28"/>
    <mergeCell ref="F181:F182"/>
    <mergeCell ref="AF65:AF81"/>
    <mergeCell ref="AG65:AG81"/>
    <mergeCell ref="AF48:AF51"/>
    <mergeCell ref="AG48:AG51"/>
    <mergeCell ref="AE46:AE47"/>
    <mergeCell ref="AF46:AF47"/>
    <mergeCell ref="AG46:AG47"/>
    <mergeCell ref="AE43:AE45"/>
    <mergeCell ref="AF43:AF45"/>
    <mergeCell ref="S65:S81"/>
    <mergeCell ref="F153:F158"/>
    <mergeCell ref="AE137:AE138"/>
    <mergeCell ref="T65:T81"/>
    <mergeCell ref="Y52:Y53"/>
    <mergeCell ref="Z52:Z53"/>
    <mergeCell ref="AA52:AA53"/>
    <mergeCell ref="AB52:AB53"/>
    <mergeCell ref="R55:R56"/>
    <mergeCell ref="S55:S56"/>
    <mergeCell ref="V55:V56"/>
    <mergeCell ref="U55:U56"/>
    <mergeCell ref="T55:T56"/>
    <mergeCell ref="D35:D38"/>
    <mergeCell ref="E35:E38"/>
    <mergeCell ref="F35:F38"/>
    <mergeCell ref="H35:H38"/>
    <mergeCell ref="C150:C152"/>
    <mergeCell ref="D150:D152"/>
    <mergeCell ref="E150:E152"/>
    <mergeCell ref="F150:F152"/>
    <mergeCell ref="C136:C139"/>
    <mergeCell ref="D136:D139"/>
    <mergeCell ref="E136:E139"/>
    <mergeCell ref="F124:F125"/>
    <mergeCell ref="C58:C126"/>
    <mergeCell ref="F136:F139"/>
    <mergeCell ref="C140:C145"/>
    <mergeCell ref="D140:D145"/>
    <mergeCell ref="C35:C38"/>
    <mergeCell ref="K137:K138"/>
    <mergeCell ref="L137:L138"/>
    <mergeCell ref="M137:M138"/>
    <mergeCell ref="N137:N138"/>
    <mergeCell ref="O137:O138"/>
    <mergeCell ref="B127:H127"/>
    <mergeCell ref="F121:F123"/>
    <mergeCell ref="AE65:AE81"/>
    <mergeCell ref="J65:J81"/>
    <mergeCell ref="F65:F84"/>
    <mergeCell ref="K65:K81"/>
    <mergeCell ref="L65:L81"/>
    <mergeCell ref="M65:M81"/>
    <mergeCell ref="N65:N81"/>
    <mergeCell ref="O65:O81"/>
    <mergeCell ref="Q65:Q81"/>
    <mergeCell ref="R65:R81"/>
    <mergeCell ref="B15:B126"/>
    <mergeCell ref="E15:E17"/>
    <mergeCell ref="F18:F22"/>
    <mergeCell ref="C23:C28"/>
    <mergeCell ref="D23:D28"/>
    <mergeCell ref="E23:E28"/>
    <mergeCell ref="J55:J56"/>
    <mergeCell ref="AH55:AH56"/>
    <mergeCell ref="AI55:AI56"/>
    <mergeCell ref="C153:C158"/>
    <mergeCell ref="D153:D158"/>
    <mergeCell ref="E153:E158"/>
    <mergeCell ref="U65:U81"/>
    <mergeCell ref="V65:V81"/>
    <mergeCell ref="AE52:AE53"/>
    <mergeCell ref="X52:X53"/>
    <mergeCell ref="X55:X56"/>
    <mergeCell ref="Y55:Y56"/>
    <mergeCell ref="Z55:Z56"/>
    <mergeCell ref="AA55:AA56"/>
    <mergeCell ref="AB55:AB56"/>
    <mergeCell ref="AC55:AC56"/>
    <mergeCell ref="AE55:AE56"/>
    <mergeCell ref="AF55:AF56"/>
    <mergeCell ref="AG55:AG56"/>
    <mergeCell ref="K55:K56"/>
    <mergeCell ref="L55:L56"/>
    <mergeCell ref="O55:O56"/>
    <mergeCell ref="M55:M56"/>
    <mergeCell ref="N55:N56"/>
    <mergeCell ref="Q55:Q56"/>
    <mergeCell ref="AH48:AH51"/>
    <mergeCell ref="AI48:AI51"/>
    <mergeCell ref="V46:V47"/>
    <mergeCell ref="AC52:AC53"/>
    <mergeCell ref="AF52:AF53"/>
    <mergeCell ref="AG52:AG53"/>
    <mergeCell ref="AH52:AH53"/>
    <mergeCell ref="K52:K53"/>
    <mergeCell ref="L52:L53"/>
    <mergeCell ref="O52:O53"/>
    <mergeCell ref="M52:M53"/>
    <mergeCell ref="N52:N53"/>
    <mergeCell ref="Q52:Q53"/>
    <mergeCell ref="R52:R53"/>
    <mergeCell ref="S52:S53"/>
    <mergeCell ref="V52:V53"/>
    <mergeCell ref="T52:T53"/>
    <mergeCell ref="U52:U53"/>
    <mergeCell ref="AI52:AI53"/>
    <mergeCell ref="K46:K47"/>
    <mergeCell ref="L46:L47"/>
    <mergeCell ref="M46:M47"/>
    <mergeCell ref="N46:N47"/>
    <mergeCell ref="AB46:AB47"/>
    <mergeCell ref="Y43:Y45"/>
    <mergeCell ref="AB43:AB45"/>
    <mergeCell ref="AC43:AC45"/>
    <mergeCell ref="AH46:AH47"/>
    <mergeCell ref="AI46:AI47"/>
    <mergeCell ref="J48:J51"/>
    <mergeCell ref="K48:K51"/>
    <mergeCell ref="L48:L51"/>
    <mergeCell ref="M48:M51"/>
    <mergeCell ref="N48:N51"/>
    <mergeCell ref="O48:O51"/>
    <mergeCell ref="Q48:Q51"/>
    <mergeCell ref="R48:R51"/>
    <mergeCell ref="S48:S51"/>
    <mergeCell ref="T48:T51"/>
    <mergeCell ref="U48:U51"/>
    <mergeCell ref="V48:V51"/>
    <mergeCell ref="X48:X51"/>
    <mergeCell ref="Y48:Y51"/>
    <mergeCell ref="Z48:Z51"/>
    <mergeCell ref="AA48:AA51"/>
    <mergeCell ref="AB48:AB51"/>
    <mergeCell ref="AC48:AC51"/>
    <mergeCell ref="AE48:AE51"/>
    <mergeCell ref="B345:H345"/>
    <mergeCell ref="G131:G132"/>
    <mergeCell ref="D128:D135"/>
    <mergeCell ref="E147:E149"/>
    <mergeCell ref="F147:F149"/>
    <mergeCell ref="F202:F204"/>
    <mergeCell ref="E202:E204"/>
    <mergeCell ref="D202:D204"/>
    <mergeCell ref="C202:C204"/>
    <mergeCell ref="C219:C220"/>
    <mergeCell ref="D219:D220"/>
    <mergeCell ref="E219:E220"/>
    <mergeCell ref="B342:H342"/>
    <mergeCell ref="F160:F165"/>
    <mergeCell ref="F231:F234"/>
    <mergeCell ref="F237:F240"/>
    <mergeCell ref="F241:F242"/>
    <mergeCell ref="E159:E165"/>
    <mergeCell ref="D159:D165"/>
    <mergeCell ref="G212:G213"/>
    <mergeCell ref="C207:C218"/>
    <mergeCell ref="D207:D218"/>
    <mergeCell ref="F340:F341"/>
    <mergeCell ref="E340:E341"/>
    <mergeCell ref="Y1:AJ3"/>
    <mergeCell ref="D2:E2"/>
    <mergeCell ref="H2:X2"/>
    <mergeCell ref="D3:E3"/>
    <mergeCell ref="I3:R3"/>
    <mergeCell ref="T3:W3"/>
    <mergeCell ref="B192:H192"/>
    <mergeCell ref="B128:B191"/>
    <mergeCell ref="AA14:AC14"/>
    <mergeCell ref="R14:S14"/>
    <mergeCell ref="T14:V14"/>
    <mergeCell ref="H1:X1"/>
    <mergeCell ref="B5:C5"/>
    <mergeCell ref="K14:L14"/>
    <mergeCell ref="M14:O14"/>
    <mergeCell ref="D5:E5"/>
    <mergeCell ref="B1:C3"/>
    <mergeCell ref="D1:E1"/>
    <mergeCell ref="J59:J62"/>
    <mergeCell ref="S46:S47"/>
    <mergeCell ref="T46:T47"/>
    <mergeCell ref="X43:X45"/>
    <mergeCell ref="J43:J45"/>
    <mergeCell ref="K43:K45"/>
    <mergeCell ref="AZ13:BL13"/>
    <mergeCell ref="AH14:AI14"/>
    <mergeCell ref="F219:F220"/>
    <mergeCell ref="C29:C34"/>
    <mergeCell ref="D29:D34"/>
    <mergeCell ref="E29:E34"/>
    <mergeCell ref="F29:F34"/>
    <mergeCell ref="U18:U21"/>
    <mergeCell ref="Y59:Y62"/>
    <mergeCell ref="Z59:Z62"/>
    <mergeCell ref="AA59:AA62"/>
    <mergeCell ref="AB59:AB62"/>
    <mergeCell ref="AC59:AC62"/>
    <mergeCell ref="AE59:AE62"/>
    <mergeCell ref="AF59:AF62"/>
    <mergeCell ref="BD16:BD44"/>
    <mergeCell ref="BF16:BF44"/>
    <mergeCell ref="BG16:BG44"/>
    <mergeCell ref="BI16:BI44"/>
    <mergeCell ref="O46:O47"/>
    <mergeCell ref="Q46:Q47"/>
    <mergeCell ref="R46:R47"/>
    <mergeCell ref="BJ16:BJ44"/>
    <mergeCell ref="BL16:BL44"/>
    <mergeCell ref="B344:H344"/>
    <mergeCell ref="C147:C149"/>
    <mergeCell ref="D147:D149"/>
    <mergeCell ref="B343:H343"/>
    <mergeCell ref="G128:G129"/>
    <mergeCell ref="L43:L45"/>
    <mergeCell ref="M43:M45"/>
    <mergeCell ref="V59:V62"/>
    <mergeCell ref="X59:X62"/>
    <mergeCell ref="C128:C135"/>
    <mergeCell ref="E128:E135"/>
    <mergeCell ref="F128:F135"/>
    <mergeCell ref="Q137:Q138"/>
    <mergeCell ref="R137:R138"/>
    <mergeCell ref="S137:S138"/>
    <mergeCell ref="T137:T138"/>
    <mergeCell ref="U137:U138"/>
    <mergeCell ref="H137:H138"/>
    <mergeCell ref="J137:J138"/>
    <mergeCell ref="F85:F94"/>
    <mergeCell ref="F95:F117"/>
    <mergeCell ref="F118:F119"/>
    <mergeCell ref="E64:E120"/>
    <mergeCell ref="D64:D120"/>
    <mergeCell ref="CB13:CN13"/>
    <mergeCell ref="D15:D17"/>
    <mergeCell ref="CI16:CI44"/>
    <mergeCell ref="CK16:CK44"/>
    <mergeCell ref="CL16:CL44"/>
    <mergeCell ref="CN16:CN44"/>
    <mergeCell ref="BW16:BW44"/>
    <mergeCell ref="L30:L32"/>
    <mergeCell ref="M30:M32"/>
    <mergeCell ref="N30:N32"/>
    <mergeCell ref="O30:O32"/>
    <mergeCell ref="Q30:Q32"/>
    <mergeCell ref="R30:R32"/>
    <mergeCell ref="S30:S32"/>
    <mergeCell ref="T30:T32"/>
    <mergeCell ref="U30:U32"/>
    <mergeCell ref="V30:V32"/>
    <mergeCell ref="X30:X32"/>
    <mergeCell ref="Y30:Y32"/>
    <mergeCell ref="Z30:Z32"/>
    <mergeCell ref="AA30:AA32"/>
    <mergeCell ref="CB16:CB44"/>
    <mergeCell ref="BN13:BZ13"/>
    <mergeCell ref="BX16:BX44"/>
    <mergeCell ref="CC16:CC44"/>
    <mergeCell ref="CE16:CE44"/>
    <mergeCell ref="CF16:CF44"/>
    <mergeCell ref="CH16:CH44"/>
    <mergeCell ref="BN16:BN44"/>
    <mergeCell ref="BO16:BO44"/>
    <mergeCell ref="BQ16:BQ44"/>
    <mergeCell ref="BR16:BR44"/>
    <mergeCell ref="BT16:BT44"/>
    <mergeCell ref="BZ16:BZ44"/>
    <mergeCell ref="BU16:BU44"/>
    <mergeCell ref="AJ16:AJ44"/>
    <mergeCell ref="AZ16:AZ44"/>
    <mergeCell ref="BA16:BA44"/>
    <mergeCell ref="BC16:BC44"/>
    <mergeCell ref="AL16:AL44"/>
    <mergeCell ref="AM16:AM44"/>
    <mergeCell ref="AO16:AO44"/>
    <mergeCell ref="AP16:AP44"/>
    <mergeCell ref="AR16:AR44"/>
    <mergeCell ref="AS16:AS44"/>
    <mergeCell ref="AU16:AU44"/>
    <mergeCell ref="AV16:AV44"/>
    <mergeCell ref="AX16:AX44"/>
    <mergeCell ref="J13:AJ13"/>
    <mergeCell ref="AL13:AX13"/>
    <mergeCell ref="Y14:Z14"/>
    <mergeCell ref="AF14:AG14"/>
    <mergeCell ref="K18:K21"/>
    <mergeCell ref="L18:L21"/>
    <mergeCell ref="M18:M21"/>
    <mergeCell ref="AB30:AB32"/>
    <mergeCell ref="AC30:AC32"/>
    <mergeCell ref="AE30:AE32"/>
    <mergeCell ref="AF30:AF32"/>
    <mergeCell ref="AG30:AG32"/>
    <mergeCell ref="AH30:AH32"/>
    <mergeCell ref="AI30:AI32"/>
    <mergeCell ref="S18:S21"/>
    <mergeCell ref="T18:T21"/>
    <mergeCell ref="J30:J32"/>
    <mergeCell ref="K30:K32"/>
    <mergeCell ref="N18:N21"/>
    <mergeCell ref="O18:O21"/>
    <mergeCell ref="Q18:Q21"/>
    <mergeCell ref="R18:R21"/>
    <mergeCell ref="AC18:AC21"/>
    <mergeCell ref="AE18:AE21"/>
    <mergeCell ref="AM128:AM130"/>
    <mergeCell ref="N59:N62"/>
    <mergeCell ref="O59:O62"/>
    <mergeCell ref="Q59:Q62"/>
    <mergeCell ref="R59:R62"/>
    <mergeCell ref="S59:S62"/>
    <mergeCell ref="T59:T62"/>
    <mergeCell ref="U59:U62"/>
    <mergeCell ref="AZ128:AZ130"/>
    <mergeCell ref="AO128:AO130"/>
    <mergeCell ref="AP128:AP130"/>
    <mergeCell ref="AJ128:AJ130"/>
    <mergeCell ref="AL128:AL130"/>
    <mergeCell ref="AG59:AG62"/>
    <mergeCell ref="AH59:AH62"/>
    <mergeCell ref="AI59:AI62"/>
    <mergeCell ref="AH65:AH81"/>
    <mergeCell ref="AI65:AI81"/>
    <mergeCell ref="X65:X81"/>
    <mergeCell ref="Y65:Y81"/>
    <mergeCell ref="Z65:Z81"/>
    <mergeCell ref="AA65:AA81"/>
    <mergeCell ref="AB65:AB81"/>
    <mergeCell ref="AC65:AC81"/>
    <mergeCell ref="BF45:BF47"/>
    <mergeCell ref="BA128:BA130"/>
    <mergeCell ref="BC128:BC130"/>
    <mergeCell ref="BA45:BA47"/>
    <mergeCell ref="BC45:BC47"/>
    <mergeCell ref="BD128:BD130"/>
    <mergeCell ref="BF128:BF130"/>
    <mergeCell ref="AU128:AU130"/>
    <mergeCell ref="AV128:AV130"/>
    <mergeCell ref="AX128:AX130"/>
    <mergeCell ref="AL45:AL47"/>
    <mergeCell ref="AU45:AU47"/>
    <mergeCell ref="AV45:AV47"/>
    <mergeCell ref="AZ45:AZ47"/>
    <mergeCell ref="CI45:CI47"/>
    <mergeCell ref="CK45:CK47"/>
    <mergeCell ref="CL45:CL47"/>
    <mergeCell ref="BX45:BX47"/>
    <mergeCell ref="CB45:CB47"/>
    <mergeCell ref="CC45:CC47"/>
    <mergeCell ref="CE45:CE47"/>
    <mergeCell ref="CF45:CF47"/>
    <mergeCell ref="CH45:CH47"/>
    <mergeCell ref="BG45:BG47"/>
    <mergeCell ref="BN45:BN47"/>
    <mergeCell ref="BI45:BI47"/>
    <mergeCell ref="BJ45:BJ47"/>
    <mergeCell ref="BO45:BO47"/>
    <mergeCell ref="AM45:AM47"/>
    <mergeCell ref="AO45:AO47"/>
    <mergeCell ref="AP45:AP47"/>
    <mergeCell ref="AR45:AR47"/>
    <mergeCell ref="AS45:AS47"/>
    <mergeCell ref="BD45:BD47"/>
    <mergeCell ref="CN128:CN130"/>
    <mergeCell ref="BZ128:BZ130"/>
    <mergeCell ref="CB128:CB130"/>
    <mergeCell ref="CC128:CC130"/>
    <mergeCell ref="CE128:CE130"/>
    <mergeCell ref="CF128:CF130"/>
    <mergeCell ref="CH128:CH130"/>
    <mergeCell ref="BQ128:BQ130"/>
    <mergeCell ref="BT45:BT47"/>
    <mergeCell ref="BU45:BU47"/>
    <mergeCell ref="BW45:BW47"/>
    <mergeCell ref="BR45:BR47"/>
    <mergeCell ref="BQ45:BQ47"/>
    <mergeCell ref="BG128:BG130"/>
    <mergeCell ref="BI128:BI130"/>
    <mergeCell ref="BJ128:BJ130"/>
    <mergeCell ref="BL128:BL130"/>
    <mergeCell ref="BN128:BN130"/>
    <mergeCell ref="BO128:BO130"/>
    <mergeCell ref="CK128:CK130"/>
    <mergeCell ref="CL128:CL130"/>
    <mergeCell ref="AJ131:AJ159"/>
    <mergeCell ref="AL131:AL159"/>
    <mergeCell ref="AM131:AM159"/>
    <mergeCell ref="AO131:AO159"/>
    <mergeCell ref="AP131:AP159"/>
    <mergeCell ref="BA131:BA159"/>
    <mergeCell ref="BC131:BC159"/>
    <mergeCell ref="BD131:BD159"/>
    <mergeCell ref="BR128:BR130"/>
    <mergeCell ref="BT128:BT130"/>
    <mergeCell ref="BU128:BU130"/>
    <mergeCell ref="BW128:BW130"/>
    <mergeCell ref="BX128:BX130"/>
    <mergeCell ref="CI128:CI130"/>
    <mergeCell ref="AR128:AR130"/>
    <mergeCell ref="AS128:AS130"/>
    <mergeCell ref="BF131:BF159"/>
    <mergeCell ref="BG131:BG159"/>
    <mergeCell ref="BI131:BI159"/>
    <mergeCell ref="AR131:AR159"/>
    <mergeCell ref="AS131:AS159"/>
    <mergeCell ref="AU131:AU159"/>
    <mergeCell ref="AV131:AV159"/>
    <mergeCell ref="AX131:AX159"/>
    <mergeCell ref="AZ131:AZ159"/>
    <mergeCell ref="BJ131:BJ159"/>
    <mergeCell ref="BL131:BL159"/>
    <mergeCell ref="BN131:BN159"/>
    <mergeCell ref="BO131:BO159"/>
    <mergeCell ref="BQ131:BQ159"/>
    <mergeCell ref="BR131:BR159"/>
    <mergeCell ref="BT131:BT159"/>
    <mergeCell ref="BU131:BU159"/>
    <mergeCell ref="BW131:BW159"/>
    <mergeCell ref="BX131:BX159"/>
    <mergeCell ref="BZ131:BZ159"/>
    <mergeCell ref="CB131:CB159"/>
    <mergeCell ref="CH166:CH185"/>
    <mergeCell ref="CI166:CI185"/>
    <mergeCell ref="CK166:CK185"/>
    <mergeCell ref="CN131:CN159"/>
    <mergeCell ref="CC131:CC159"/>
    <mergeCell ref="CE131:CE159"/>
    <mergeCell ref="CF131:CF159"/>
    <mergeCell ref="CH131:CH159"/>
    <mergeCell ref="CI131:CI159"/>
    <mergeCell ref="CK131:CK159"/>
    <mergeCell ref="CL131:CL159"/>
    <mergeCell ref="AM193:AM201"/>
    <mergeCell ref="AO193:AO201"/>
    <mergeCell ref="BO166:BO185"/>
    <mergeCell ref="BQ166:BQ185"/>
    <mergeCell ref="BR166:BR185"/>
    <mergeCell ref="BT166:BT185"/>
    <mergeCell ref="CL166:CL185"/>
    <mergeCell ref="BU166:BU185"/>
    <mergeCell ref="BW166:BW185"/>
    <mergeCell ref="BX166:BX185"/>
    <mergeCell ref="CB166:CB185"/>
    <mergeCell ref="CC166:CC185"/>
    <mergeCell ref="CE166:CE185"/>
    <mergeCell ref="CF166:CF185"/>
    <mergeCell ref="BR193:BR201"/>
    <mergeCell ref="BN166:BN185"/>
    <mergeCell ref="BT193:BT201"/>
    <mergeCell ref="BU193:BU201"/>
    <mergeCell ref="BG193:BG201"/>
    <mergeCell ref="BI193:BI201"/>
    <mergeCell ref="AJ193:AJ201"/>
    <mergeCell ref="BL193:BL201"/>
    <mergeCell ref="AU193:AU201"/>
    <mergeCell ref="AV193:AV201"/>
    <mergeCell ref="AX193:AX201"/>
    <mergeCell ref="AZ193:AZ201"/>
    <mergeCell ref="BA193:BA201"/>
    <mergeCell ref="AP166:AP185"/>
    <mergeCell ref="AR166:AR185"/>
    <mergeCell ref="AS166:AS185"/>
    <mergeCell ref="AU166:AU185"/>
    <mergeCell ref="AV166:AV185"/>
    <mergeCell ref="AZ166:AZ185"/>
    <mergeCell ref="BA166:BA185"/>
    <mergeCell ref="BC166:BC185"/>
    <mergeCell ref="BD166:BD185"/>
    <mergeCell ref="BF166:BF185"/>
    <mergeCell ref="BG166:BG185"/>
    <mergeCell ref="BI166:BI185"/>
    <mergeCell ref="BJ166:BJ185"/>
    <mergeCell ref="BC193:BC201"/>
    <mergeCell ref="AL193:AL201"/>
    <mergeCell ref="BD193:BD201"/>
    <mergeCell ref="BF193:BF201"/>
    <mergeCell ref="BU202:BU204"/>
    <mergeCell ref="BW202:BW204"/>
    <mergeCell ref="AP193:AP201"/>
    <mergeCell ref="AR193:AR201"/>
    <mergeCell ref="AS193:AS201"/>
    <mergeCell ref="AL166:AL185"/>
    <mergeCell ref="AM166:AM185"/>
    <mergeCell ref="AO166:AO185"/>
    <mergeCell ref="CN193:CN201"/>
    <mergeCell ref="BW193:BW201"/>
    <mergeCell ref="BX193:BX201"/>
    <mergeCell ref="BZ193:BZ201"/>
    <mergeCell ref="CB193:CB201"/>
    <mergeCell ref="CC193:CC201"/>
    <mergeCell ref="CE193:CE201"/>
    <mergeCell ref="BJ193:BJ201"/>
    <mergeCell ref="CF193:CF201"/>
    <mergeCell ref="CH193:CH201"/>
    <mergeCell ref="CI193:CI201"/>
    <mergeCell ref="CK193:CK201"/>
    <mergeCell ref="CL193:CL201"/>
    <mergeCell ref="BN193:BN201"/>
    <mergeCell ref="BO193:BO201"/>
    <mergeCell ref="BQ193:BQ201"/>
    <mergeCell ref="BX202:BX204"/>
    <mergeCell ref="BZ202:BZ204"/>
    <mergeCell ref="CB202:CB204"/>
    <mergeCell ref="CH222:CH224"/>
    <mergeCell ref="CI222:CI224"/>
    <mergeCell ref="CK222:CK224"/>
    <mergeCell ref="CN202:CN204"/>
    <mergeCell ref="CC202:CC204"/>
    <mergeCell ref="CE202:CE204"/>
    <mergeCell ref="CF202:CF204"/>
    <mergeCell ref="CH202:CH204"/>
    <mergeCell ref="CI202:CI204"/>
    <mergeCell ref="CK202:CK204"/>
    <mergeCell ref="CL202:CL204"/>
    <mergeCell ref="AU225:AU227"/>
    <mergeCell ref="AV225:AV227"/>
    <mergeCell ref="AU222:AU224"/>
    <mergeCell ref="AV222:AV224"/>
    <mergeCell ref="AZ222:AZ224"/>
    <mergeCell ref="CL222:CL224"/>
    <mergeCell ref="BU222:BU224"/>
    <mergeCell ref="BW222:BW224"/>
    <mergeCell ref="BX222:BX224"/>
    <mergeCell ref="CB222:CB224"/>
    <mergeCell ref="CC222:CC224"/>
    <mergeCell ref="CE222:CE224"/>
    <mergeCell ref="CF222:CF224"/>
    <mergeCell ref="BD222:BD224"/>
    <mergeCell ref="BF222:BF224"/>
    <mergeCell ref="BA222:BA224"/>
    <mergeCell ref="BC222:BC224"/>
    <mergeCell ref="BD225:BD227"/>
    <mergeCell ref="BJ225:BJ227"/>
    <mergeCell ref="BN225:BN227"/>
    <mergeCell ref="BO225:BO227"/>
    <mergeCell ref="BG222:BG224"/>
    <mergeCell ref="BT222:BT224"/>
    <mergeCell ref="BR225:BR227"/>
    <mergeCell ref="AR202:AR204"/>
    <mergeCell ref="AS202:AS204"/>
    <mergeCell ref="AU202:AU204"/>
    <mergeCell ref="AV202:AV204"/>
    <mergeCell ref="AX202:AX204"/>
    <mergeCell ref="AM202:AM204"/>
    <mergeCell ref="AO202:AO204"/>
    <mergeCell ref="AP202:AP204"/>
    <mergeCell ref="BA202:BA204"/>
    <mergeCell ref="AZ202:AZ204"/>
    <mergeCell ref="BC202:BC204"/>
    <mergeCell ref="BD202:BD204"/>
    <mergeCell ref="BF202:BF204"/>
    <mergeCell ref="BJ202:BJ204"/>
    <mergeCell ref="BL202:BL204"/>
    <mergeCell ref="BN202:BN204"/>
    <mergeCell ref="BO202:BO204"/>
    <mergeCell ref="BQ202:BQ204"/>
    <mergeCell ref="BR202:BR204"/>
    <mergeCell ref="BG202:BG204"/>
    <mergeCell ref="BI202:BI204"/>
    <mergeCell ref="BT202:BT204"/>
    <mergeCell ref="AZ225:AZ227"/>
    <mergeCell ref="AS222:AS224"/>
    <mergeCell ref="CN289:CN331"/>
    <mergeCell ref="BW289:BW331"/>
    <mergeCell ref="BX289:BX331"/>
    <mergeCell ref="BZ289:BZ331"/>
    <mergeCell ref="CB289:CB331"/>
    <mergeCell ref="CC289:CC331"/>
    <mergeCell ref="CE289:CE331"/>
    <mergeCell ref="CF289:CF331"/>
    <mergeCell ref="BT225:BT227"/>
    <mergeCell ref="CK225:CK227"/>
    <mergeCell ref="CC225:CC227"/>
    <mergeCell ref="CE225:CE227"/>
    <mergeCell ref="CF225:CF227"/>
    <mergeCell ref="CH225:CH227"/>
    <mergeCell ref="CI225:CI227"/>
    <mergeCell ref="CL225:CL227"/>
    <mergeCell ref="CB225:CB227"/>
    <mergeCell ref="CI289:CI331"/>
    <mergeCell ref="BU289:BU331"/>
    <mergeCell ref="BD289:BD331"/>
    <mergeCell ref="BR222:BR224"/>
    <mergeCell ref="BF225:BF227"/>
    <mergeCell ref="CK289:CK331"/>
    <mergeCell ref="CL289:CL331"/>
    <mergeCell ref="CH289:CH331"/>
    <mergeCell ref="BN289:BN331"/>
    <mergeCell ref="BO289:BO331"/>
    <mergeCell ref="BQ289:BQ331"/>
    <mergeCell ref="BR289:BR331"/>
    <mergeCell ref="BT289:BT331"/>
    <mergeCell ref="BI289:BI331"/>
    <mergeCell ref="BJ289:BJ331"/>
    <mergeCell ref="BL289:BL331"/>
    <mergeCell ref="AZ289:AZ331"/>
    <mergeCell ref="AJ289:AJ331"/>
    <mergeCell ref="AL289:AL331"/>
    <mergeCell ref="AM289:AM331"/>
    <mergeCell ref="AO289:AO331"/>
    <mergeCell ref="AP289:AP331"/>
    <mergeCell ref="AR289:AR331"/>
    <mergeCell ref="BF289:BF331"/>
    <mergeCell ref="BG289:BG331"/>
    <mergeCell ref="BA289:BA331"/>
    <mergeCell ref="BC289:BC331"/>
    <mergeCell ref="AS289:AS331"/>
    <mergeCell ref="AU289:AU331"/>
    <mergeCell ref="AV289:AV331"/>
    <mergeCell ref="AX289:AX331"/>
    <mergeCell ref="AL222:AL224"/>
    <mergeCell ref="AM222:AM224"/>
    <mergeCell ref="AO222:AO224"/>
    <mergeCell ref="AP225:AP227"/>
    <mergeCell ref="AR225:AR227"/>
    <mergeCell ref="BU225:BU227"/>
    <mergeCell ref="BW225:BW227"/>
    <mergeCell ref="BX225:BX227"/>
    <mergeCell ref="AS225:AS227"/>
    <mergeCell ref="BJ222:BJ224"/>
    <mergeCell ref="BN222:BN224"/>
    <mergeCell ref="BO222:BO224"/>
    <mergeCell ref="BQ225:BQ227"/>
    <mergeCell ref="BI222:BI224"/>
    <mergeCell ref="BG225:BG227"/>
    <mergeCell ref="BI225:BI227"/>
    <mergeCell ref="AL225:AL227"/>
    <mergeCell ref="AM225:AM227"/>
    <mergeCell ref="AO225:AO227"/>
    <mergeCell ref="BQ222:BQ224"/>
    <mergeCell ref="BA225:BA227"/>
    <mergeCell ref="BC225:BC227"/>
    <mergeCell ref="AP222:AP224"/>
    <mergeCell ref="AR222:AR224"/>
    <mergeCell ref="AJ202:AJ204"/>
    <mergeCell ref="AF137:AF138"/>
    <mergeCell ref="AG137:AG138"/>
    <mergeCell ref="AH137:AH138"/>
    <mergeCell ref="AI137:AI138"/>
    <mergeCell ref="AL202:AL204"/>
    <mergeCell ref="F15:F17"/>
    <mergeCell ref="J18:J21"/>
    <mergeCell ref="C15:C17"/>
    <mergeCell ref="C18:C22"/>
    <mergeCell ref="D18:D22"/>
    <mergeCell ref="E18:E22"/>
    <mergeCell ref="H15:H33"/>
    <mergeCell ref="G60:G62"/>
    <mergeCell ref="E58:E63"/>
    <mergeCell ref="D58:D63"/>
    <mergeCell ref="F58:F62"/>
    <mergeCell ref="G46:G47"/>
    <mergeCell ref="J46:J47"/>
    <mergeCell ref="J52:J53"/>
    <mergeCell ref="C39:C57"/>
    <mergeCell ref="D39:D57"/>
    <mergeCell ref="E39:E57"/>
    <mergeCell ref="F39:F57"/>
    <mergeCell ref="AF18:AF21"/>
    <mergeCell ref="AG18:AG21"/>
    <mergeCell ref="AH18:AH21"/>
    <mergeCell ref="AI18:AI21"/>
    <mergeCell ref="V18:V21"/>
    <mergeCell ref="X18:X21"/>
    <mergeCell ref="Y18:Y21"/>
    <mergeCell ref="Z18:Z21"/>
    <mergeCell ref="AA18:AA21"/>
    <mergeCell ref="AB18:AB21"/>
    <mergeCell ref="AG43:AG45"/>
    <mergeCell ref="AH43:AH45"/>
    <mergeCell ref="AI43:AI45"/>
    <mergeCell ref="K59:K62"/>
    <mergeCell ref="L59:L62"/>
    <mergeCell ref="M59:M62"/>
    <mergeCell ref="AC137:AC138"/>
    <mergeCell ref="N43:N45"/>
    <mergeCell ref="O43:O45"/>
    <mergeCell ref="Q43:Q45"/>
    <mergeCell ref="R43:R45"/>
    <mergeCell ref="S43:S45"/>
    <mergeCell ref="T43:T45"/>
    <mergeCell ref="V137:V138"/>
    <mergeCell ref="X137:X138"/>
    <mergeCell ref="Y137:Y138"/>
    <mergeCell ref="Z137:Z138"/>
    <mergeCell ref="AA137:AA138"/>
    <mergeCell ref="AB137:AB138"/>
    <mergeCell ref="U46:U47"/>
    <mergeCell ref="X46:X47"/>
    <mergeCell ref="Y46:Y47"/>
    <mergeCell ref="Z46:Z47"/>
    <mergeCell ref="AA46:AA47"/>
    <mergeCell ref="AC46:AC47"/>
    <mergeCell ref="U43:U45"/>
    <mergeCell ref="Z43:Z45"/>
    <mergeCell ref="AA43:AA45"/>
    <mergeCell ref="V43:V45"/>
    <mergeCell ref="C196:C198"/>
    <mergeCell ref="C193:C194"/>
    <mergeCell ref="D193:D194"/>
    <mergeCell ref="E193:E194"/>
    <mergeCell ref="F193:F194"/>
    <mergeCell ref="E180:E183"/>
    <mergeCell ref="D180:D183"/>
    <mergeCell ref="F172:F179"/>
    <mergeCell ref="F168:F169"/>
    <mergeCell ref="E167:E179"/>
    <mergeCell ref="D167:D179"/>
    <mergeCell ref="C159:C191"/>
    <mergeCell ref="K131:K132"/>
    <mergeCell ref="M131:M132"/>
    <mergeCell ref="L131:L132"/>
    <mergeCell ref="N131:N132"/>
    <mergeCell ref="O131:O132"/>
    <mergeCell ref="R131:R132"/>
    <mergeCell ref="S131:S132"/>
    <mergeCell ref="D340:D341"/>
    <mergeCell ref="H40:H126"/>
    <mergeCell ref="D121:D126"/>
    <mergeCell ref="E121:E126"/>
    <mergeCell ref="F170:F171"/>
    <mergeCell ref="B288:H288"/>
    <mergeCell ref="B289:B341"/>
    <mergeCell ref="B193:B287"/>
    <mergeCell ref="D221:D224"/>
    <mergeCell ref="C199:C201"/>
    <mergeCell ref="D199:D201"/>
    <mergeCell ref="C205:C206"/>
    <mergeCell ref="D205:D206"/>
    <mergeCell ref="E205:E206"/>
    <mergeCell ref="F205:F206"/>
    <mergeCell ref="F289:F292"/>
    <mergeCell ref="F293:F310"/>
    <mergeCell ref="F311:F333"/>
    <mergeCell ref="F243:F257"/>
    <mergeCell ref="F258:F260"/>
    <mergeCell ref="F261:F262"/>
    <mergeCell ref="C221:C287"/>
    <mergeCell ref="C289:C341"/>
    <mergeCell ref="G283:G284"/>
    <mergeCell ref="F336:F337"/>
    <mergeCell ref="E335:E337"/>
    <mergeCell ref="D335:D337"/>
    <mergeCell ref="F272:F275"/>
    <mergeCell ref="F276:F277"/>
    <mergeCell ref="F268:F271"/>
    <mergeCell ref="E227:E229"/>
    <mergeCell ref="F227:F229"/>
    <mergeCell ref="F263:F265"/>
    <mergeCell ref="E237:E267"/>
    <mergeCell ref="E289:E334"/>
    <mergeCell ref="F280:F281"/>
    <mergeCell ref="E268:E281"/>
    <mergeCell ref="D268:D281"/>
    <mergeCell ref="F286:F287"/>
    <mergeCell ref="D237:D267"/>
    <mergeCell ref="F282:F284"/>
    <mergeCell ref="F235:F236"/>
    <mergeCell ref="D231:D236"/>
    <mergeCell ref="E231:E236"/>
    <mergeCell ref="E282:E285"/>
    <mergeCell ref="D282:D285"/>
    <mergeCell ref="D227:D229"/>
    <mergeCell ref="U131:U132"/>
    <mergeCell ref="V131:V132"/>
    <mergeCell ref="Y131:Y132"/>
    <mergeCell ref="Z131:Z132"/>
    <mergeCell ref="AA131:AA132"/>
    <mergeCell ref="AB131:AB132"/>
    <mergeCell ref="AC131:AC132"/>
    <mergeCell ref="D289:D334"/>
    <mergeCell ref="E199:E201"/>
    <mergeCell ref="F199:F201"/>
    <mergeCell ref="F140:F145"/>
    <mergeCell ref="F196:F198"/>
    <mergeCell ref="E196:E198"/>
    <mergeCell ref="D196:D198"/>
    <mergeCell ref="E140:E145"/>
    <mergeCell ref="E184:E189"/>
    <mergeCell ref="D184:D189"/>
    <mergeCell ref="F184:F191"/>
    <mergeCell ref="E207:E218"/>
    <mergeCell ref="F207:F218"/>
    <mergeCell ref="G222:G224"/>
    <mergeCell ref="F221:F224"/>
    <mergeCell ref="E221:E224"/>
    <mergeCell ref="K222:K224"/>
    <mergeCell ref="AF131:AF132"/>
    <mergeCell ref="AG131:AG132"/>
    <mergeCell ref="AH131:AH132"/>
    <mergeCell ref="AI131:AI132"/>
    <mergeCell ref="K212:K213"/>
    <mergeCell ref="L212:L213"/>
    <mergeCell ref="M212:M213"/>
    <mergeCell ref="N212:N213"/>
    <mergeCell ref="O212:O213"/>
    <mergeCell ref="R212:R213"/>
    <mergeCell ref="S212:S213"/>
    <mergeCell ref="T212:T213"/>
    <mergeCell ref="U212:U213"/>
    <mergeCell ref="V212:V213"/>
    <mergeCell ref="Y212:Y213"/>
    <mergeCell ref="Z212:Z213"/>
    <mergeCell ref="AA212:AA213"/>
    <mergeCell ref="AB212:AB213"/>
    <mergeCell ref="AC212:AC213"/>
    <mergeCell ref="AF212:AF213"/>
    <mergeCell ref="AG212:AG213"/>
    <mergeCell ref="AH212:AH213"/>
    <mergeCell ref="AI212:AI213"/>
    <mergeCell ref="T131:T132"/>
    <mergeCell ref="L222:L224"/>
    <mergeCell ref="M222:M224"/>
    <mergeCell ref="N222:N224"/>
    <mergeCell ref="O222:O224"/>
    <mergeCell ref="R222:R224"/>
    <mergeCell ref="S222:S224"/>
    <mergeCell ref="T222:T224"/>
    <mergeCell ref="U222:U224"/>
    <mergeCell ref="AI222:AI224"/>
    <mergeCell ref="V222:V224"/>
    <mergeCell ref="Y222:Y224"/>
    <mergeCell ref="Z222:Z224"/>
    <mergeCell ref="AA222:AA224"/>
    <mergeCell ref="AB222:AB224"/>
    <mergeCell ref="AC222:AC224"/>
    <mergeCell ref="AF222:AF224"/>
    <mergeCell ref="AG222:AG224"/>
    <mergeCell ref="AH222:AH224"/>
  </mergeCells>
  <conditionalFormatting sqref="AU289:AU341 BI289:BI341 BW289:BW341 CK289:CK341 AL289:AL341 AZ289:AZ341 BN289:BN341 CB289:CB341 AR202:AR224 AU193:AU221 BF202:BF224 BI193:BI221 BT202:BT224 BW193:BW221 CH202:CH224 CK193:CK221 AO202:AO224 BC202:BC224 BQ202:BQ224 CE202:CE224 AR131:AR191 AU131:AU191 AL131:AL191 AO131:AO191 BC131:BC191 AZ131:AZ191 BF131:BF191 BI128:BI191 CB131:CB191 BQ131:BQ191 BN131:BN191 BT131:BT191 BW128:BW191 CE131:CE191 CH131:CH191 CK128:CK191 BC16:BC69 AL16:AL69 AR16:AR69 AZ16:AZ69 BF16:BF69 BI16:BI69 BN16:BN69 BT16:BT69 CB16:CB69 CH16:CH69 AO16:AO69 BQ16:BQ69 CE16:CE69 AU16:AU69 BW16:BW69 CK16:CK69 AL202:AL287 AZ202:AZ287 BN202:BN287 CB202:CB287">
    <cfRule type="expression" dxfId="10921" priority="30476" stopIfTrue="1">
      <formula>AND(IF(AL16&gt;=#REF!,AL16&lt;&gt;"N/A"))</formula>
    </cfRule>
    <cfRule type="expression" dxfId="10920" priority="30477" stopIfTrue="1">
      <formula>AND(IF(AL16&lt;#REF!,AL16&gt;=#REF!,AL16&lt;&gt;"N/A"))</formula>
    </cfRule>
    <cfRule type="expression" dxfId="10919" priority="30478" stopIfTrue="1">
      <formula>AND(IF(AL16&lt;#REF!,AL16&lt;&gt;"N/A"))</formula>
    </cfRule>
  </conditionalFormatting>
  <conditionalFormatting sqref="AR193:AR201 AO193:AO201 BF193:BF201 BC193:BC201 BT193:BT201 BQ193:BQ201 CH193:CH201 CE193:CE201">
    <cfRule type="expression" dxfId="10918" priority="30470" stopIfTrue="1">
      <formula>AND(IF(AO193&gt;=#REF!,AO193&lt;&gt;"N/A"))</formula>
    </cfRule>
    <cfRule type="expression" dxfId="10917" priority="30471" stopIfTrue="1">
      <formula>AND(IF(AO193&lt;#REF!,AO193&gt;=#REF!,AO193&lt;&gt;"N/A"))</formula>
    </cfRule>
    <cfRule type="expression" dxfId="10916" priority="30472" stopIfTrue="1">
      <formula>AND(IF(AO193&lt;#REF!,AO193&lt;&gt;"N/A"))</formula>
    </cfRule>
  </conditionalFormatting>
  <conditionalFormatting sqref="AL15">
    <cfRule type="expression" dxfId="10915" priority="30467" stopIfTrue="1">
      <formula>AND(IF(AL15&gt;=#REF!,AL15&lt;&gt;"N/A"))</formula>
    </cfRule>
    <cfRule type="expression" dxfId="10914" priority="30468" stopIfTrue="1">
      <formula>AND(IF(AL15&lt;#REF!,AL15&gt;=#REF!,AL15&lt;&gt;"N/A"))</formula>
    </cfRule>
    <cfRule type="expression" dxfId="10913" priority="30469" stopIfTrue="1">
      <formula>AND(IF(AL15&lt;#REF!,AL15&lt;&gt;"N/A"))</formula>
    </cfRule>
  </conditionalFormatting>
  <conditionalFormatting sqref="AU222:AU224">
    <cfRule type="expression" dxfId="10912" priority="30464" stopIfTrue="1">
      <formula>AND(IF(AU222&gt;=#REF!,AU222&lt;&gt;"N/A"))</formula>
    </cfRule>
    <cfRule type="expression" dxfId="10911" priority="30465" stopIfTrue="1">
      <formula>AND(IF(AU222&lt;#REF!,AU222&gt;=#REF!,AU222&lt;&gt;"N/A"))</formula>
    </cfRule>
    <cfRule type="expression" dxfId="10910" priority="30466" stopIfTrue="1">
      <formula>AND(IF(AU222&lt;#REF!,AU222&lt;&gt;"N/A"))</formula>
    </cfRule>
  </conditionalFormatting>
  <conditionalFormatting sqref="AL193:AL201">
    <cfRule type="expression" dxfId="10909" priority="30458" stopIfTrue="1">
      <formula>AND(IF(AL193&gt;=#REF!,AL193&lt;&gt;"N/A"))</formula>
    </cfRule>
    <cfRule type="expression" dxfId="10908" priority="30459" stopIfTrue="1">
      <formula>AND(IF(AL193&lt;#REF!,AL193&gt;=#REF!,AL193&lt;&gt;"N/A"))</formula>
    </cfRule>
    <cfRule type="expression" dxfId="10907" priority="30460" stopIfTrue="1">
      <formula>AND(IF(AL193&lt;#REF!,AL193&lt;&gt;"N/A"))</formula>
    </cfRule>
  </conditionalFormatting>
  <conditionalFormatting sqref="AL128:AL130">
    <cfRule type="expression" dxfId="10906" priority="30452" stopIfTrue="1">
      <formula>AND(IF(AL128&gt;=#REF!,AL128&lt;&gt;"N/A"))</formula>
    </cfRule>
    <cfRule type="expression" dxfId="10905" priority="30453" stopIfTrue="1">
      <formula>AND(IF(AL128&lt;#REF!,AL128&gt;=#REF!,AL128&lt;&gt;"N/A"))</formula>
    </cfRule>
    <cfRule type="expression" dxfId="10904" priority="30454" stopIfTrue="1">
      <formula>AND(IF(AL128&lt;#REF!,AL128&lt;&gt;"N/A"))</formula>
    </cfRule>
  </conditionalFormatting>
  <conditionalFormatting sqref="AU15">
    <cfRule type="expression" dxfId="10903" priority="30449" stopIfTrue="1">
      <formula>AND(IF(AU15&gt;=#REF!,AU15&lt;&gt;"N/A"))</formula>
    </cfRule>
    <cfRule type="expression" dxfId="10902" priority="30450" stopIfTrue="1">
      <formula>AND(IF(AU15&lt;#REF!,AU15&gt;=#REF!,AU15&lt;&gt;"N/A"))</formula>
    </cfRule>
    <cfRule type="expression" dxfId="10901" priority="30451" stopIfTrue="1">
      <formula>AND(IF(AU15&lt;#REF!,AU15&lt;&gt;"N/A"))</formula>
    </cfRule>
  </conditionalFormatting>
  <conditionalFormatting sqref="AO128:AO130">
    <cfRule type="expression" dxfId="10900" priority="30446" stopIfTrue="1">
      <formula>AND(IF(AO128&gt;=#REF!,AO128&lt;&gt;"N/A"))</formula>
    </cfRule>
    <cfRule type="expression" dxfId="10899" priority="30447" stopIfTrue="1">
      <formula>AND(IF(AO128&lt;#REF!,AO128&gt;=#REF!,AO128&lt;&gt;"N/A"))</formula>
    </cfRule>
    <cfRule type="expression" dxfId="10898" priority="30448" stopIfTrue="1">
      <formula>AND(IF(AO128&lt;#REF!,AO128&lt;&gt;"N/A"))</formula>
    </cfRule>
  </conditionalFormatting>
  <conditionalFormatting sqref="AR128:AR130">
    <cfRule type="expression" dxfId="10897" priority="30443" stopIfTrue="1">
      <formula>AND(IF(AR128&gt;=#REF!,AR128&lt;&gt;"N/A"))</formula>
    </cfRule>
    <cfRule type="expression" dxfId="10896" priority="30444" stopIfTrue="1">
      <formula>AND(IF(AR128&lt;#REF!,AR128&gt;=#REF!,AR128&lt;&gt;"N/A"))</formula>
    </cfRule>
    <cfRule type="expression" dxfId="10895" priority="30445" stopIfTrue="1">
      <formula>AND(IF(AR128&lt;#REF!,AR128&lt;&gt;"N/A"))</formula>
    </cfRule>
  </conditionalFormatting>
  <conditionalFormatting sqref="AU128:AU130">
    <cfRule type="expression" dxfId="10894" priority="30440" stopIfTrue="1">
      <formula>AND(IF(AU128&gt;=#REF!,AU128&lt;&gt;"N/A"))</formula>
    </cfRule>
    <cfRule type="expression" dxfId="10893" priority="30441" stopIfTrue="1">
      <formula>AND(IF(AU128&lt;#REF!,AU128&gt;=#REF!,AU128&lt;&gt;"N/A"))</formula>
    </cfRule>
    <cfRule type="expression" dxfId="10892" priority="30442" stopIfTrue="1">
      <formula>AND(IF(AU128&lt;#REF!,AU128&lt;&gt;"N/A"))</formula>
    </cfRule>
  </conditionalFormatting>
  <conditionalFormatting sqref="AZ15">
    <cfRule type="expression" dxfId="10891" priority="30437" stopIfTrue="1">
      <formula>AND(IF(AZ15&gt;=#REF!,AZ15&lt;&gt;"N/A"))</formula>
    </cfRule>
    <cfRule type="expression" dxfId="10890" priority="30438" stopIfTrue="1">
      <formula>AND(IF(AZ15&lt;#REF!,AZ15&gt;=#REF!,AZ15&lt;&gt;"N/A"))</formula>
    </cfRule>
    <cfRule type="expression" dxfId="10889" priority="30439" stopIfTrue="1">
      <formula>AND(IF(AZ15&lt;#REF!,AZ15&lt;&gt;"N/A"))</formula>
    </cfRule>
  </conditionalFormatting>
  <conditionalFormatting sqref="BI222:BI224">
    <cfRule type="expression" dxfId="10888" priority="30434" stopIfTrue="1">
      <formula>AND(IF(BI222&gt;=#REF!,BI222&lt;&gt;"N/A"))</formula>
    </cfRule>
    <cfRule type="expression" dxfId="10887" priority="30435" stopIfTrue="1">
      <formula>AND(IF(BI222&lt;#REF!,BI222&gt;=#REF!,BI222&lt;&gt;"N/A"))</formula>
    </cfRule>
    <cfRule type="expression" dxfId="10886" priority="30436" stopIfTrue="1">
      <formula>AND(IF(BI222&lt;#REF!,BI222&lt;&gt;"N/A"))</formula>
    </cfRule>
  </conditionalFormatting>
  <conditionalFormatting sqref="AZ193:AZ201">
    <cfRule type="expression" dxfId="10885" priority="30428" stopIfTrue="1">
      <formula>AND(IF(AZ193&gt;=#REF!,AZ193&lt;&gt;"N/A"))</formula>
    </cfRule>
    <cfRule type="expression" dxfId="10884" priority="30429" stopIfTrue="1">
      <formula>AND(IF(AZ193&lt;#REF!,AZ193&gt;=#REF!,AZ193&lt;&gt;"N/A"))</formula>
    </cfRule>
    <cfRule type="expression" dxfId="10883" priority="30430" stopIfTrue="1">
      <formula>AND(IF(AZ193&lt;#REF!,AZ193&lt;&gt;"N/A"))</formula>
    </cfRule>
  </conditionalFormatting>
  <conditionalFormatting sqref="AZ128:AZ130">
    <cfRule type="expression" dxfId="10882" priority="30422" stopIfTrue="1">
      <formula>AND(IF(AZ128&gt;=#REF!,AZ128&lt;&gt;"N/A"))</formula>
    </cfRule>
    <cfRule type="expression" dxfId="10881" priority="30423" stopIfTrue="1">
      <formula>AND(IF(AZ128&lt;#REF!,AZ128&gt;=#REF!,AZ128&lt;&gt;"N/A"))</formula>
    </cfRule>
    <cfRule type="expression" dxfId="10880" priority="30424" stopIfTrue="1">
      <formula>AND(IF(AZ128&lt;#REF!,AZ128&lt;&gt;"N/A"))</formula>
    </cfRule>
  </conditionalFormatting>
  <conditionalFormatting sqref="BI15">
    <cfRule type="expression" dxfId="10879" priority="30419" stopIfTrue="1">
      <formula>AND(IF(BI15&gt;=#REF!,BI15&lt;&gt;"N/A"))</formula>
    </cfRule>
    <cfRule type="expression" dxfId="10878" priority="30420" stopIfTrue="1">
      <formula>AND(IF(BI15&lt;#REF!,BI15&gt;=#REF!,BI15&lt;&gt;"N/A"))</formula>
    </cfRule>
    <cfRule type="expression" dxfId="10877" priority="30421" stopIfTrue="1">
      <formula>AND(IF(BI15&lt;#REF!,BI15&lt;&gt;"N/A"))</formula>
    </cfRule>
  </conditionalFormatting>
  <conditionalFormatting sqref="BC128:BC130">
    <cfRule type="expression" dxfId="10876" priority="30416" stopIfTrue="1">
      <formula>AND(IF(BC128&gt;=#REF!,BC128&lt;&gt;"N/A"))</formula>
    </cfRule>
    <cfRule type="expression" dxfId="10875" priority="30417" stopIfTrue="1">
      <formula>AND(IF(BC128&lt;#REF!,BC128&gt;=#REF!,BC128&lt;&gt;"N/A"))</formula>
    </cfRule>
    <cfRule type="expression" dxfId="10874" priority="30418" stopIfTrue="1">
      <formula>AND(IF(BC128&lt;#REF!,BC128&lt;&gt;"N/A"))</formula>
    </cfRule>
  </conditionalFormatting>
  <conditionalFormatting sqref="BF128:BF130">
    <cfRule type="expression" dxfId="10873" priority="30413" stopIfTrue="1">
      <formula>AND(IF(BF128&gt;=#REF!,BF128&lt;&gt;"N/A"))</formula>
    </cfRule>
    <cfRule type="expression" dxfId="10872" priority="30414" stopIfTrue="1">
      <formula>AND(IF(BF128&lt;#REF!,BF128&gt;=#REF!,BF128&lt;&gt;"N/A"))</formula>
    </cfRule>
    <cfRule type="expression" dxfId="10871" priority="30415" stopIfTrue="1">
      <formula>AND(IF(BF128&lt;#REF!,BF128&lt;&gt;"N/A"))</formula>
    </cfRule>
  </conditionalFormatting>
  <conditionalFormatting sqref="BN15">
    <cfRule type="expression" dxfId="10870" priority="30410" stopIfTrue="1">
      <formula>AND(IF(BN15&gt;=#REF!,BN15&lt;&gt;"N/A"))</formula>
    </cfRule>
    <cfRule type="expression" dxfId="10869" priority="30411" stopIfTrue="1">
      <formula>AND(IF(BN15&lt;#REF!,BN15&gt;=#REF!,BN15&lt;&gt;"N/A"))</formula>
    </cfRule>
    <cfRule type="expression" dxfId="10868" priority="30412" stopIfTrue="1">
      <formula>AND(IF(BN15&lt;#REF!,BN15&lt;&gt;"N/A"))</formula>
    </cfRule>
  </conditionalFormatting>
  <conditionalFormatting sqref="BW222:BW224">
    <cfRule type="expression" dxfId="10867" priority="30407" stopIfTrue="1">
      <formula>AND(IF(BW222&gt;=#REF!,BW222&lt;&gt;"N/A"))</formula>
    </cfRule>
    <cfRule type="expression" dxfId="10866" priority="30408" stopIfTrue="1">
      <formula>AND(IF(BW222&lt;#REF!,BW222&gt;=#REF!,BW222&lt;&gt;"N/A"))</formula>
    </cfRule>
    <cfRule type="expression" dxfId="10865" priority="30409" stopIfTrue="1">
      <formula>AND(IF(BW222&lt;#REF!,BW222&lt;&gt;"N/A"))</formula>
    </cfRule>
  </conditionalFormatting>
  <conditionalFormatting sqref="BN193:BN201">
    <cfRule type="expression" dxfId="10864" priority="30401" stopIfTrue="1">
      <formula>AND(IF(BN193&gt;=#REF!,BN193&lt;&gt;"N/A"))</formula>
    </cfRule>
    <cfRule type="expression" dxfId="10863" priority="30402" stopIfTrue="1">
      <formula>AND(IF(BN193&lt;#REF!,BN193&gt;=#REF!,BN193&lt;&gt;"N/A"))</formula>
    </cfRule>
    <cfRule type="expression" dxfId="10862" priority="30403" stopIfTrue="1">
      <formula>AND(IF(BN193&lt;#REF!,BN193&lt;&gt;"N/A"))</formula>
    </cfRule>
  </conditionalFormatting>
  <conditionalFormatting sqref="BN128:BN130">
    <cfRule type="expression" dxfId="10861" priority="30395" stopIfTrue="1">
      <formula>AND(IF(BN128&gt;=#REF!,BN128&lt;&gt;"N/A"))</formula>
    </cfRule>
    <cfRule type="expression" dxfId="10860" priority="30396" stopIfTrue="1">
      <formula>AND(IF(BN128&lt;#REF!,BN128&gt;=#REF!,BN128&lt;&gt;"N/A"))</formula>
    </cfRule>
    <cfRule type="expression" dxfId="10859" priority="30397" stopIfTrue="1">
      <formula>AND(IF(BN128&lt;#REF!,BN128&lt;&gt;"N/A"))</formula>
    </cfRule>
  </conditionalFormatting>
  <conditionalFormatting sqref="BW15">
    <cfRule type="expression" dxfId="10858" priority="30392" stopIfTrue="1">
      <formula>AND(IF(BW15&gt;=#REF!,BW15&lt;&gt;"N/A"))</formula>
    </cfRule>
    <cfRule type="expression" dxfId="10857" priority="30393" stopIfTrue="1">
      <formula>AND(IF(BW15&lt;#REF!,BW15&gt;=#REF!,BW15&lt;&gt;"N/A"))</formula>
    </cfRule>
    <cfRule type="expression" dxfId="10856" priority="30394" stopIfTrue="1">
      <formula>AND(IF(BW15&lt;#REF!,BW15&lt;&gt;"N/A"))</formula>
    </cfRule>
  </conditionalFormatting>
  <conditionalFormatting sqref="BQ128:BQ130">
    <cfRule type="expression" dxfId="10855" priority="30389" stopIfTrue="1">
      <formula>AND(IF(BQ128&gt;=#REF!,BQ128&lt;&gt;"N/A"))</formula>
    </cfRule>
    <cfRule type="expression" dxfId="10854" priority="30390" stopIfTrue="1">
      <formula>AND(IF(BQ128&lt;#REF!,BQ128&gt;=#REF!,BQ128&lt;&gt;"N/A"))</formula>
    </cfRule>
    <cfRule type="expression" dxfId="10853" priority="30391" stopIfTrue="1">
      <formula>AND(IF(BQ128&lt;#REF!,BQ128&lt;&gt;"N/A"))</formula>
    </cfRule>
  </conditionalFormatting>
  <conditionalFormatting sqref="BT128:BT130">
    <cfRule type="expression" dxfId="10852" priority="30386" stopIfTrue="1">
      <formula>AND(IF(BT128&gt;=#REF!,BT128&lt;&gt;"N/A"))</formula>
    </cfRule>
    <cfRule type="expression" dxfId="10851" priority="30387" stopIfTrue="1">
      <formula>AND(IF(BT128&lt;#REF!,BT128&gt;=#REF!,BT128&lt;&gt;"N/A"))</formula>
    </cfRule>
    <cfRule type="expression" dxfId="10850" priority="30388" stopIfTrue="1">
      <formula>AND(IF(BT128&lt;#REF!,BT128&lt;&gt;"N/A"))</formula>
    </cfRule>
  </conditionalFormatting>
  <conditionalFormatting sqref="CB15">
    <cfRule type="expression" dxfId="10849" priority="30383" stopIfTrue="1">
      <formula>AND(IF(CB15&gt;=#REF!,CB15&lt;&gt;"N/A"))</formula>
    </cfRule>
    <cfRule type="expression" dxfId="10848" priority="30384" stopIfTrue="1">
      <formula>AND(IF(CB15&lt;#REF!,CB15&gt;=#REF!,CB15&lt;&gt;"N/A"))</formula>
    </cfRule>
    <cfRule type="expression" dxfId="10847" priority="30385" stopIfTrue="1">
      <formula>AND(IF(CB15&lt;#REF!,CB15&lt;&gt;"N/A"))</formula>
    </cfRule>
  </conditionalFormatting>
  <conditionalFormatting sqref="CK222:CK224">
    <cfRule type="expression" dxfId="10846" priority="30380" stopIfTrue="1">
      <formula>AND(IF(CK222&gt;=#REF!,CK222&lt;&gt;"N/A"))</formula>
    </cfRule>
    <cfRule type="expression" dxfId="10845" priority="30381" stopIfTrue="1">
      <formula>AND(IF(CK222&lt;#REF!,CK222&gt;=#REF!,CK222&lt;&gt;"N/A"))</formula>
    </cfRule>
    <cfRule type="expression" dxfId="10844" priority="30382" stopIfTrue="1">
      <formula>AND(IF(CK222&lt;#REF!,CK222&lt;&gt;"N/A"))</formula>
    </cfRule>
  </conditionalFormatting>
  <conditionalFormatting sqref="CB193:CB201">
    <cfRule type="expression" dxfId="10843" priority="30374" stopIfTrue="1">
      <formula>AND(IF(CB193&gt;=#REF!,CB193&lt;&gt;"N/A"))</formula>
    </cfRule>
    <cfRule type="expression" dxfId="10842" priority="30375" stopIfTrue="1">
      <formula>AND(IF(CB193&lt;#REF!,CB193&gt;=#REF!,CB193&lt;&gt;"N/A"))</formula>
    </cfRule>
    <cfRule type="expression" dxfId="10841" priority="30376" stopIfTrue="1">
      <formula>AND(IF(CB193&lt;#REF!,CB193&lt;&gt;"N/A"))</formula>
    </cfRule>
  </conditionalFormatting>
  <conditionalFormatting sqref="CB128:CB130">
    <cfRule type="expression" dxfId="10840" priority="30368" stopIfTrue="1">
      <formula>AND(IF(CB128&gt;=#REF!,CB128&lt;&gt;"N/A"))</formula>
    </cfRule>
    <cfRule type="expression" dxfId="10839" priority="30369" stopIfTrue="1">
      <formula>AND(IF(CB128&lt;#REF!,CB128&gt;=#REF!,CB128&lt;&gt;"N/A"))</formula>
    </cfRule>
    <cfRule type="expression" dxfId="10838" priority="30370" stopIfTrue="1">
      <formula>AND(IF(CB128&lt;#REF!,CB128&lt;&gt;"N/A"))</formula>
    </cfRule>
  </conditionalFormatting>
  <conditionalFormatting sqref="CK15">
    <cfRule type="expression" dxfId="10837" priority="30365" stopIfTrue="1">
      <formula>AND(IF(CK15&gt;=#REF!,CK15&lt;&gt;"N/A"))</formula>
    </cfRule>
    <cfRule type="expression" dxfId="10836" priority="30366" stopIfTrue="1">
      <formula>AND(IF(CK15&lt;#REF!,CK15&gt;=#REF!,CK15&lt;&gt;"N/A"))</formula>
    </cfRule>
    <cfRule type="expression" dxfId="10835" priority="30367" stopIfTrue="1">
      <formula>AND(IF(CK15&lt;#REF!,CK15&lt;&gt;"N/A"))</formula>
    </cfRule>
  </conditionalFormatting>
  <conditionalFormatting sqref="CE128:CE130">
    <cfRule type="expression" dxfId="10834" priority="30362" stopIfTrue="1">
      <formula>AND(IF(CE128&gt;=#REF!,CE128&lt;&gt;"N/A"))</formula>
    </cfRule>
    <cfRule type="expression" dxfId="10833" priority="30363" stopIfTrue="1">
      <formula>AND(IF(CE128&lt;#REF!,CE128&gt;=#REF!,CE128&lt;&gt;"N/A"))</formula>
    </cfRule>
    <cfRule type="expression" dxfId="10832" priority="30364" stopIfTrue="1">
      <formula>AND(IF(CE128&lt;#REF!,CE128&lt;&gt;"N/A"))</formula>
    </cfRule>
  </conditionalFormatting>
  <conditionalFormatting sqref="CH128:CH130">
    <cfRule type="expression" dxfId="10831" priority="30359" stopIfTrue="1">
      <formula>AND(IF(CH128&gt;=#REF!,CH128&lt;&gt;"N/A"))</formula>
    </cfRule>
    <cfRule type="expression" dxfId="10830" priority="30360" stopIfTrue="1">
      <formula>AND(IF(CH128&lt;#REF!,CH128&gt;=#REF!,CH128&lt;&gt;"N/A"))</formula>
    </cfRule>
    <cfRule type="expression" dxfId="10829" priority="30361" stopIfTrue="1">
      <formula>AND(IF(CH128&lt;#REF!,CH128&lt;&gt;"N/A"))</formula>
    </cfRule>
  </conditionalFormatting>
  <conditionalFormatting sqref="AG15 AI15 AG128 AI128 K15 S128 Z128 Z15 AF202:AI204 R202:S204 Y202:Z204 R160 R221:R222 Y160:Z160 Y221:Z222 AF160:AI160 AF221:AI222 R148:S149 Y148:Z149 AF229:AF230 AH229:AI230 AF148:AI149 R34 R58 R166:S166 Y166:Z166 AF166:AI166 L288 L128 L192 L342 AF206:AI206 R206:S206 Y206:Z206 R228:S235 R339:S339 Y228:Z235 Y339:Z339 AF230:AI235 AF339:AI339 K195:L212 AF153:AI158 Y153:Z158 R153:S158 K130:L131 K33:L35 K139:L169 K172:L191 K39:L43 K133:L137 K214:L222 K225:L265 K267:L287">
    <cfRule type="cellIs" dxfId="10828" priority="30339" operator="between">
      <formula>0.76</formula>
      <formula>0.95</formula>
    </cfRule>
    <cfRule type="cellIs" dxfId="10827" priority="30340" operator="between">
      <formula>0.51</formula>
      <formula>0.75</formula>
    </cfRule>
    <cfRule type="cellIs" dxfId="10826" priority="30341" operator="greaterThan">
      <formula>1</formula>
    </cfRule>
    <cfRule type="cellIs" dxfId="10825" priority="30342" operator="between">
      <formula>0.96</formula>
      <formula>1</formula>
    </cfRule>
    <cfRule type="cellIs" dxfId="10824" priority="30343" stopIfTrue="1" operator="between">
      <formula>0</formula>
      <formula>0.5</formula>
    </cfRule>
  </conditionalFormatting>
  <conditionalFormatting sqref="K192">
    <cfRule type="cellIs" dxfId="10823" priority="29669" operator="between">
      <formula>0.76</formula>
      <formula>0.95</formula>
    </cfRule>
    <cfRule type="cellIs" dxfId="10822" priority="29670" operator="between">
      <formula>0.51</formula>
      <formula>0.75</formula>
    </cfRule>
    <cfRule type="cellIs" dxfId="10821" priority="29671" operator="greaterThan">
      <formula>1</formula>
    </cfRule>
    <cfRule type="cellIs" dxfId="10820" priority="29672" operator="between">
      <formula>0.96</formula>
      <formula>1</formula>
    </cfRule>
    <cfRule type="cellIs" dxfId="10819" priority="29673" stopIfTrue="1" operator="between">
      <formula>0</formula>
      <formula>0.5</formula>
    </cfRule>
  </conditionalFormatting>
  <conditionalFormatting sqref="K127">
    <cfRule type="cellIs" dxfId="10818" priority="30004" operator="between">
      <formula>0.76</formula>
      <formula>0.95</formula>
    </cfRule>
    <cfRule type="cellIs" dxfId="10817" priority="30005" operator="between">
      <formula>0.51</formula>
      <formula>0.75</formula>
    </cfRule>
    <cfRule type="cellIs" dxfId="10816" priority="30006" operator="greaterThan">
      <formula>1</formula>
    </cfRule>
    <cfRule type="cellIs" dxfId="10815" priority="30007" operator="between">
      <formula>0.96</formula>
      <formula>1</formula>
    </cfRule>
    <cfRule type="cellIs" dxfId="10814" priority="30008" stopIfTrue="1" operator="between">
      <formula>0</formula>
      <formula>0.5</formula>
    </cfRule>
  </conditionalFormatting>
  <conditionalFormatting sqref="K128">
    <cfRule type="cellIs" dxfId="10813" priority="29999" operator="between">
      <formula>0.76</formula>
      <formula>0.95</formula>
    </cfRule>
    <cfRule type="cellIs" dxfId="10812" priority="30000" operator="between">
      <formula>0.51</formula>
      <formula>0.75</formula>
    </cfRule>
    <cfRule type="cellIs" dxfId="10811" priority="30001" operator="greaterThan">
      <formula>1</formula>
    </cfRule>
    <cfRule type="cellIs" dxfId="10810" priority="30002" operator="between">
      <formula>0.96</formula>
      <formula>1</formula>
    </cfRule>
    <cfRule type="cellIs" dxfId="10809" priority="30003" stopIfTrue="1" operator="between">
      <formula>0</formula>
      <formula>0.5</formula>
    </cfRule>
  </conditionalFormatting>
  <conditionalFormatting sqref="K288">
    <cfRule type="cellIs" dxfId="10808" priority="29484" operator="between">
      <formula>0.76</formula>
      <formula>0.95</formula>
    </cfRule>
    <cfRule type="cellIs" dxfId="10807" priority="29485" operator="between">
      <formula>0.51</formula>
      <formula>0.75</formula>
    </cfRule>
    <cfRule type="cellIs" dxfId="10806" priority="29486" operator="greaterThan">
      <formula>1</formula>
    </cfRule>
    <cfRule type="cellIs" dxfId="10805" priority="29487" operator="between">
      <formula>0.96</formula>
      <formula>1</formula>
    </cfRule>
    <cfRule type="cellIs" dxfId="10804" priority="29488" stopIfTrue="1" operator="between">
      <formula>0</formula>
      <formula>0.5</formula>
    </cfRule>
  </conditionalFormatting>
  <conditionalFormatting sqref="K342">
    <cfRule type="cellIs" dxfId="10803" priority="29464" operator="between">
      <formula>0.76</formula>
      <formula>0.95</formula>
    </cfRule>
    <cfRule type="cellIs" dxfId="10802" priority="29465" operator="between">
      <formula>0.51</formula>
      <formula>0.75</formula>
    </cfRule>
    <cfRule type="cellIs" dxfId="10801" priority="29466" operator="greaterThan">
      <formula>1</formula>
    </cfRule>
    <cfRule type="cellIs" dxfId="10800" priority="29467" operator="between">
      <formula>0.96</formula>
      <formula>1</formula>
    </cfRule>
    <cfRule type="cellIs" dxfId="10799" priority="29468" stopIfTrue="1" operator="between">
      <formula>0</formula>
      <formula>0.5</formula>
    </cfRule>
  </conditionalFormatting>
  <conditionalFormatting sqref="R15:S15 S193 R209:S210 Y209:Z210 AF209:AI210 R42:R43 Y42:Z43 AF42:AI43">
    <cfRule type="cellIs" dxfId="10798" priority="29454" operator="between">
      <formula>0.76</formula>
      <formula>0.95</formula>
    </cfRule>
    <cfRule type="cellIs" dxfId="10797" priority="29455" operator="between">
      <formula>0.51</formula>
      <formula>0.75</formula>
    </cfRule>
    <cfRule type="cellIs" dxfId="10796" priority="29456" operator="greaterThan">
      <formula>1</formula>
    </cfRule>
    <cfRule type="cellIs" dxfId="10795" priority="29457" operator="between">
      <formula>0.95</formula>
      <formula>1</formula>
    </cfRule>
    <cfRule type="cellIs" dxfId="10794" priority="29458" stopIfTrue="1" operator="between">
      <formula>0</formula>
      <formula>0.5</formula>
    </cfRule>
  </conditionalFormatting>
  <conditionalFormatting sqref="R192">
    <cfRule type="cellIs" dxfId="10793" priority="28759" operator="between">
      <formula>0.76</formula>
      <formula>0.95</formula>
    </cfRule>
    <cfRule type="cellIs" dxfId="10792" priority="28760" operator="between">
      <formula>0.51</formula>
      <formula>0.75</formula>
    </cfRule>
    <cfRule type="cellIs" dxfId="10791" priority="28761" operator="greaterThan">
      <formula>1</formula>
    </cfRule>
    <cfRule type="cellIs" dxfId="10790" priority="28762" operator="between">
      <formula>0.95</formula>
      <formula>1</formula>
    </cfRule>
    <cfRule type="cellIs" dxfId="10789" priority="28763" stopIfTrue="1" operator="between">
      <formula>0</formula>
      <formula>0.5</formula>
    </cfRule>
  </conditionalFormatting>
  <conditionalFormatting sqref="R193">
    <cfRule type="cellIs" dxfId="10788" priority="28754" operator="between">
      <formula>0.76</formula>
      <formula>0.95</formula>
    </cfRule>
    <cfRule type="cellIs" dxfId="10787" priority="28755" operator="between">
      <formula>0.51</formula>
      <formula>0.75</formula>
    </cfRule>
    <cfRule type="cellIs" dxfId="10786" priority="28756" operator="greaterThan">
      <formula>1</formula>
    </cfRule>
    <cfRule type="cellIs" dxfId="10785" priority="28757" operator="between">
      <formula>0.95</formula>
      <formula>1</formula>
    </cfRule>
    <cfRule type="cellIs" dxfId="10784" priority="28758" stopIfTrue="1" operator="between">
      <formula>0</formula>
      <formula>0.5</formula>
    </cfRule>
  </conditionalFormatting>
  <conditionalFormatting sqref="R127">
    <cfRule type="cellIs" dxfId="10783" priority="29089" operator="between">
      <formula>0.76</formula>
      <formula>0.95</formula>
    </cfRule>
    <cfRule type="cellIs" dxfId="10782" priority="29090" operator="between">
      <formula>0.51</formula>
      <formula>0.75</formula>
    </cfRule>
    <cfRule type="cellIs" dxfId="10781" priority="29091" operator="greaterThan">
      <formula>1</formula>
    </cfRule>
    <cfRule type="cellIs" dxfId="10780" priority="29092" operator="between">
      <formula>0.95</formula>
      <formula>1</formula>
    </cfRule>
    <cfRule type="cellIs" dxfId="10779" priority="29093" stopIfTrue="1" operator="between">
      <formula>0</formula>
      <formula>0.5</formula>
    </cfRule>
  </conditionalFormatting>
  <conditionalFormatting sqref="R128">
    <cfRule type="cellIs" dxfId="10778" priority="29084" operator="between">
      <formula>0.76</formula>
      <formula>0.95</formula>
    </cfRule>
    <cfRule type="cellIs" dxfId="10777" priority="29085" operator="between">
      <formula>0.51</formula>
      <formula>0.75</formula>
    </cfRule>
    <cfRule type="cellIs" dxfId="10776" priority="29086" operator="greaterThan">
      <formula>1</formula>
    </cfRule>
    <cfRule type="cellIs" dxfId="10775" priority="29087" operator="between">
      <formula>0.95</formula>
      <formula>1</formula>
    </cfRule>
    <cfRule type="cellIs" dxfId="10774" priority="29088" stopIfTrue="1" operator="between">
      <formula>0</formula>
      <formula>0.5</formula>
    </cfRule>
  </conditionalFormatting>
  <conditionalFormatting sqref="R147">
    <cfRule type="cellIs" dxfId="10773" priority="28729" operator="between">
      <formula>0.76</formula>
      <formula>0.95</formula>
    </cfRule>
    <cfRule type="cellIs" dxfId="10772" priority="28730" operator="between">
      <formula>0.51</formula>
      <formula>0.75</formula>
    </cfRule>
    <cfRule type="cellIs" dxfId="10771" priority="28731" operator="greaterThan">
      <formula>1</formula>
    </cfRule>
    <cfRule type="cellIs" dxfId="10770" priority="28732" operator="between">
      <formula>0.95</formula>
      <formula>1</formula>
    </cfRule>
    <cfRule type="cellIs" dxfId="10769" priority="28733" stopIfTrue="1" operator="between">
      <formula>0</formula>
      <formula>0.5</formula>
    </cfRule>
  </conditionalFormatting>
  <conditionalFormatting sqref="Y15">
    <cfRule type="cellIs" dxfId="10768" priority="28539" operator="between">
      <formula>0.76</formula>
      <formula>0.95</formula>
    </cfRule>
    <cfRule type="cellIs" dxfId="10767" priority="28540" operator="between">
      <formula>0.51</formula>
      <formula>0.75</formula>
    </cfRule>
    <cfRule type="cellIs" dxfId="10766" priority="28541" operator="greaterThan">
      <formula>1</formula>
    </cfRule>
    <cfRule type="cellIs" dxfId="10765" priority="28542" operator="between">
      <formula>0.95</formula>
      <formula>1</formula>
    </cfRule>
    <cfRule type="cellIs" dxfId="10764" priority="28543" stopIfTrue="1" operator="between">
      <formula>0</formula>
      <formula>0.5</formula>
    </cfRule>
  </conditionalFormatting>
  <conditionalFormatting sqref="Y193">
    <cfRule type="cellIs" dxfId="10763" priority="27849" operator="between">
      <formula>0.76</formula>
      <formula>0.95</formula>
    </cfRule>
    <cfRule type="cellIs" dxfId="10762" priority="27850" operator="between">
      <formula>0.51</formula>
      <formula>0.75</formula>
    </cfRule>
    <cfRule type="cellIs" dxfId="10761" priority="27851" operator="greaterThan">
      <formula>1</formula>
    </cfRule>
    <cfRule type="cellIs" dxfId="10760" priority="27852" operator="between">
      <formula>0.95</formula>
      <formula>1</formula>
    </cfRule>
    <cfRule type="cellIs" dxfId="10759" priority="27853" stopIfTrue="1" operator="between">
      <formula>0</formula>
      <formula>0.5</formula>
    </cfRule>
  </conditionalFormatting>
  <conditionalFormatting sqref="Y128">
    <cfRule type="cellIs" dxfId="10758" priority="28169" operator="between">
      <formula>0.76</formula>
      <formula>0.95</formula>
    </cfRule>
    <cfRule type="cellIs" dxfId="10757" priority="28170" operator="between">
      <formula>0.51</formula>
      <formula>0.75</formula>
    </cfRule>
    <cfRule type="cellIs" dxfId="10756" priority="28171" operator="greaterThan">
      <formula>1</formula>
    </cfRule>
    <cfRule type="cellIs" dxfId="10755" priority="28172" operator="between">
      <formula>0.95</formula>
      <formula>1</formula>
    </cfRule>
    <cfRule type="cellIs" dxfId="10754" priority="28173" stopIfTrue="1" operator="between">
      <formula>0</formula>
      <formula>0.5</formula>
    </cfRule>
  </conditionalFormatting>
  <conditionalFormatting sqref="Y147">
    <cfRule type="cellIs" dxfId="10753" priority="27819" operator="between">
      <formula>0.76</formula>
      <formula>0.95</formula>
    </cfRule>
    <cfRule type="cellIs" dxfId="10752" priority="27820" operator="between">
      <formula>0.51</formula>
      <formula>0.75</formula>
    </cfRule>
    <cfRule type="cellIs" dxfId="10751" priority="27821" operator="greaterThan">
      <formula>1</formula>
    </cfRule>
    <cfRule type="cellIs" dxfId="10750" priority="27822" operator="between">
      <formula>0.95</formula>
      <formula>1</formula>
    </cfRule>
    <cfRule type="cellIs" dxfId="10749" priority="27823" stopIfTrue="1" operator="between">
      <formula>0</formula>
      <formula>0.5</formula>
    </cfRule>
  </conditionalFormatting>
  <conditionalFormatting sqref="AF15">
    <cfRule type="cellIs" dxfId="10748" priority="27634" operator="between">
      <formula>0.76</formula>
      <formula>0.95</formula>
    </cfRule>
    <cfRule type="cellIs" dxfId="10747" priority="27635" operator="between">
      <formula>0.51</formula>
      <formula>0.75</formula>
    </cfRule>
    <cfRule type="cellIs" dxfId="10746" priority="27636" operator="greaterThan">
      <formula>1</formula>
    </cfRule>
    <cfRule type="cellIs" dxfId="10745" priority="27637" operator="between">
      <formula>0.95</formula>
      <formula>1</formula>
    </cfRule>
    <cfRule type="cellIs" dxfId="10744" priority="27638" stopIfTrue="1" operator="between">
      <formula>0</formula>
      <formula>0.5</formula>
    </cfRule>
  </conditionalFormatting>
  <conditionalFormatting sqref="AF193">
    <cfRule type="cellIs" dxfId="10743" priority="26949" operator="between">
      <formula>0.76</formula>
      <formula>0.95</formula>
    </cfRule>
    <cfRule type="cellIs" dxfId="10742" priority="26950" operator="between">
      <formula>0.51</formula>
      <formula>0.75</formula>
    </cfRule>
    <cfRule type="cellIs" dxfId="10741" priority="26951" operator="greaterThan">
      <formula>1</formula>
    </cfRule>
    <cfRule type="cellIs" dxfId="10740" priority="26952" operator="between">
      <formula>0.95</formula>
      <formula>1</formula>
    </cfRule>
    <cfRule type="cellIs" dxfId="10739" priority="26953" stopIfTrue="1" operator="between">
      <formula>0</formula>
      <formula>0.5</formula>
    </cfRule>
  </conditionalFormatting>
  <conditionalFormatting sqref="AF128">
    <cfRule type="cellIs" dxfId="10738" priority="27274" operator="between">
      <formula>0.76</formula>
      <formula>0.95</formula>
    </cfRule>
    <cfRule type="cellIs" dxfId="10737" priority="27275" operator="between">
      <formula>0.51</formula>
      <formula>0.75</formula>
    </cfRule>
    <cfRule type="cellIs" dxfId="10736" priority="27276" operator="greaterThan">
      <formula>1</formula>
    </cfRule>
    <cfRule type="cellIs" dxfId="10735" priority="27277" operator="between">
      <formula>0.95</formula>
      <formula>1</formula>
    </cfRule>
    <cfRule type="cellIs" dxfId="10734" priority="27278" stopIfTrue="1" operator="between">
      <formula>0</formula>
      <formula>0.5</formula>
    </cfRule>
  </conditionalFormatting>
  <conditionalFormatting sqref="AF147">
    <cfRule type="cellIs" dxfId="10733" priority="26924" operator="between">
      <formula>0.76</formula>
      <formula>0.95</formula>
    </cfRule>
    <cfRule type="cellIs" dxfId="10732" priority="26925" operator="between">
      <formula>0.51</formula>
      <formula>0.75</formula>
    </cfRule>
    <cfRule type="cellIs" dxfId="10731" priority="26926" operator="greaterThan">
      <formula>1</formula>
    </cfRule>
    <cfRule type="cellIs" dxfId="10730" priority="26927" operator="between">
      <formula>0.95</formula>
      <formula>1</formula>
    </cfRule>
    <cfRule type="cellIs" dxfId="10729" priority="26928" stopIfTrue="1" operator="between">
      <formula>0</formula>
      <formula>0.5</formula>
    </cfRule>
  </conditionalFormatting>
  <conditionalFormatting sqref="AH15">
    <cfRule type="cellIs" dxfId="10728" priority="26714" operator="between">
      <formula>0.76</formula>
      <formula>0.95</formula>
    </cfRule>
    <cfRule type="cellIs" dxfId="10727" priority="26715" operator="between">
      <formula>0.51</formula>
      <formula>0.75</formula>
    </cfRule>
    <cfRule type="cellIs" dxfId="10726" priority="26716" operator="greaterThan">
      <formula>1</formula>
    </cfRule>
    <cfRule type="cellIs" dxfId="10725" priority="26717" operator="between">
      <formula>0.95</formula>
      <formula>1</formula>
    </cfRule>
    <cfRule type="cellIs" dxfId="10724" priority="26718" stopIfTrue="1" operator="between">
      <formula>0</formula>
      <formula>0.5</formula>
    </cfRule>
  </conditionalFormatting>
  <conditionalFormatting sqref="T15 T202:T204 T160 T221:T222 T148:T149 T34 T58 T166 T206 T228:T235 T339 T209:T210 T153:T158 T42:T43">
    <cfRule type="cellIs" dxfId="10723" priority="26749" operator="between">
      <formula>0.3751</formula>
      <formula>0.475</formula>
    </cfRule>
    <cfRule type="cellIs" dxfId="10722" priority="26750" operator="between">
      <formula>0.2551</formula>
      <formula>0.375</formula>
    </cfRule>
    <cfRule type="cellIs" dxfId="10721" priority="26751" operator="greaterThan">
      <formula>0.505</formula>
    </cfRule>
    <cfRule type="cellIs" dxfId="10720" priority="26752" operator="between">
      <formula>0.48</formula>
      <formula>0.5</formula>
    </cfRule>
    <cfRule type="cellIs" dxfId="10719" priority="26753" stopIfTrue="1" operator="between">
      <formula>0</formula>
      <formula>0.255</formula>
    </cfRule>
  </conditionalFormatting>
  <conditionalFormatting sqref="AA15:AC15 AA202:AC204 AA160:AC160 AA221:AC222 AA147:AC149 AA166:AC166 AA206:AC206 AA228:AC235 AA339:AC339 AA209:AC210 AA153:AC158 AA42:AC43">
    <cfRule type="cellIs" dxfId="10718" priority="26719" operator="between">
      <formula>0.56251</formula>
      <formula>0.7125</formula>
    </cfRule>
    <cfRule type="cellIs" dxfId="10717" priority="26720" operator="between">
      <formula>0.3751</formula>
      <formula>0.5625</formula>
    </cfRule>
    <cfRule type="cellIs" dxfId="10716" priority="26721" operator="greaterThan">
      <formula>0.751</formula>
    </cfRule>
    <cfRule type="cellIs" dxfId="10715" priority="26722" operator="between">
      <formula>0.71251</formula>
      <formula>0.75</formula>
    </cfRule>
    <cfRule type="cellIs" dxfId="10714" priority="26723" stopIfTrue="1" operator="between">
      <formula>0</formula>
      <formula>0.375</formula>
    </cfRule>
  </conditionalFormatting>
  <conditionalFormatting sqref="AH193">
    <cfRule type="cellIs" dxfId="10713" priority="26029" operator="between">
      <formula>0.76</formula>
      <formula>0.95</formula>
    </cfRule>
    <cfRule type="cellIs" dxfId="10712" priority="26030" operator="between">
      <formula>0.51</formula>
      <formula>0.75</formula>
    </cfRule>
    <cfRule type="cellIs" dxfId="10711" priority="26031" operator="greaterThan">
      <formula>1</formula>
    </cfRule>
    <cfRule type="cellIs" dxfId="10710" priority="26032" operator="between">
      <formula>0.95</formula>
      <formula>1</formula>
    </cfRule>
    <cfRule type="cellIs" dxfId="10709" priority="26033" stopIfTrue="1" operator="between">
      <formula>0</formula>
      <formula>0.5</formula>
    </cfRule>
  </conditionalFormatting>
  <conditionalFormatting sqref="AH128">
    <cfRule type="cellIs" dxfId="10708" priority="26354" operator="between">
      <formula>0.76</formula>
      <formula>0.95</formula>
    </cfRule>
    <cfRule type="cellIs" dxfId="10707" priority="26355" operator="between">
      <formula>0.51</formula>
      <formula>0.75</formula>
    </cfRule>
    <cfRule type="cellIs" dxfId="10706" priority="26356" operator="greaterThan">
      <formula>1</formula>
    </cfRule>
    <cfRule type="cellIs" dxfId="10705" priority="26357" operator="between">
      <formula>0.95</formula>
      <formula>1</formula>
    </cfRule>
    <cfRule type="cellIs" dxfId="10704" priority="26358" stopIfTrue="1" operator="between">
      <formula>0</formula>
      <formula>0.5</formula>
    </cfRule>
  </conditionalFormatting>
  <conditionalFormatting sqref="AH147">
    <cfRule type="cellIs" dxfId="10703" priority="26009" operator="between">
      <formula>0.76</formula>
      <formula>0.95</formula>
    </cfRule>
    <cfRule type="cellIs" dxfId="10702" priority="26010" operator="between">
      <formula>0.51</formula>
      <formula>0.75</formula>
    </cfRule>
    <cfRule type="cellIs" dxfId="10701" priority="26011" operator="greaterThan">
      <formula>1</formula>
    </cfRule>
    <cfRule type="cellIs" dxfId="10700" priority="26012" operator="between">
      <formula>0.95</formula>
      <formula>1</formula>
    </cfRule>
    <cfRule type="cellIs" dxfId="10699" priority="26013" stopIfTrue="1" operator="between">
      <formula>0</formula>
      <formula>0.5</formula>
    </cfRule>
  </conditionalFormatting>
  <conditionalFormatting sqref="M15 M127:O127 O195:O212 O127:O131 M33:M35 O139:O169 O172:O180 M39:M43 O133:O137 O214:O222 O225:O265 O267:O287">
    <cfRule type="cellIs" dxfId="10698" priority="25824" operator="between">
      <formula>0.1876</formula>
      <formula>0.2375</formula>
    </cfRule>
    <cfRule type="cellIs" dxfId="10697" priority="25825" operator="between">
      <formula>0.1251</formula>
      <formula>0.1875</formula>
    </cfRule>
    <cfRule type="cellIs" dxfId="10696" priority="25826" operator="greaterThan">
      <formula>0.25</formula>
    </cfRule>
    <cfRule type="cellIs" dxfId="10695" priority="25827" operator="between">
      <formula>0.2375</formula>
      <formula>0.25</formula>
    </cfRule>
    <cfRule type="cellIs" dxfId="10694" priority="25828" stopIfTrue="1" operator="between">
      <formula>0</formula>
      <formula>0.125</formula>
    </cfRule>
  </conditionalFormatting>
  <conditionalFormatting sqref="M195:N212 M128:N131 N33:O35 M139:N169 M172:N180 N39:O43 M133:N137 M214:N222 M225:N265 M267:N287">
    <cfRule type="cellIs" dxfId="10693" priority="25464" operator="between">
      <formula>0.1876</formula>
      <formula>0.2375</formula>
    </cfRule>
    <cfRule type="cellIs" dxfId="10692" priority="25465" operator="between">
      <formula>0.1251</formula>
      <formula>0.1875</formula>
    </cfRule>
    <cfRule type="cellIs" dxfId="10691" priority="25466" operator="greaterThan">
      <formula>0.25</formula>
    </cfRule>
    <cfRule type="cellIs" dxfId="10690" priority="25467" operator="between">
      <formula>0.2376</formula>
      <formula>0.25</formula>
    </cfRule>
    <cfRule type="cellIs" dxfId="10689" priority="25468" stopIfTrue="1" operator="between">
      <formula>0</formula>
      <formula>0.125</formula>
    </cfRule>
  </conditionalFormatting>
  <conditionalFormatting sqref="T193">
    <cfRule type="cellIs" dxfId="10688" priority="23669" operator="between">
      <formula>0.3751</formula>
      <formula>0.475</formula>
    </cfRule>
    <cfRule type="cellIs" dxfId="10687" priority="23670" operator="between">
      <formula>0.2551</formula>
      <formula>0.375</formula>
    </cfRule>
    <cfRule type="cellIs" dxfId="10686" priority="23671" operator="greaterThan">
      <formula>0.505</formula>
    </cfRule>
    <cfRule type="cellIs" dxfId="10685" priority="23672" operator="between">
      <formula>0.48</formula>
      <formula>0.5</formula>
    </cfRule>
    <cfRule type="cellIs" dxfId="10684" priority="23673" stopIfTrue="1" operator="between">
      <formula>0</formula>
      <formula>0.255</formula>
    </cfRule>
  </conditionalFormatting>
  <conditionalFormatting sqref="T128">
    <cfRule type="cellIs" dxfId="10683" priority="23989" operator="between">
      <formula>0.3751</formula>
      <formula>0.475</formula>
    </cfRule>
    <cfRule type="cellIs" dxfId="10682" priority="23990" operator="between">
      <formula>0.2551</formula>
      <formula>0.375</formula>
    </cfRule>
    <cfRule type="cellIs" dxfId="10681" priority="23991" operator="greaterThan">
      <formula>0.505</formula>
    </cfRule>
    <cfRule type="cellIs" dxfId="10680" priority="23992" operator="between">
      <formula>0.48</formula>
      <formula>0.5</formula>
    </cfRule>
    <cfRule type="cellIs" dxfId="10679" priority="23993" stopIfTrue="1" operator="between">
      <formula>0</formula>
      <formula>0.255</formula>
    </cfRule>
  </conditionalFormatting>
  <conditionalFormatting sqref="T147">
    <cfRule type="cellIs" dxfId="10678" priority="23644" operator="between">
      <formula>0.3751</formula>
      <formula>0.475</formula>
    </cfRule>
    <cfRule type="cellIs" dxfId="10677" priority="23645" operator="between">
      <formula>0.2551</formula>
      <formula>0.375</formula>
    </cfRule>
    <cfRule type="cellIs" dxfId="10676" priority="23646" operator="greaterThan">
      <formula>0.505</formula>
    </cfRule>
    <cfRule type="cellIs" dxfId="10675" priority="23647" operator="between">
      <formula>0.48</formula>
      <formula>0.5</formula>
    </cfRule>
    <cfRule type="cellIs" dxfId="10674" priority="23648" stopIfTrue="1" operator="between">
      <formula>0</formula>
      <formula>0.255</formula>
    </cfRule>
  </conditionalFormatting>
  <conditionalFormatting sqref="U15:V15 U193:V193 U128:V128 U202:V204 U147:U149 U160 U221:U222 U148:V149 U166:V166 U206:V206 U228:V235 U339:V339 U209:V210 U153:V158 U42:U43">
    <cfRule type="cellIs" dxfId="10673" priority="23364" operator="between">
      <formula>0.376</formula>
      <formula>0.475</formula>
    </cfRule>
    <cfRule type="cellIs" dxfId="10672" priority="23365" operator="between">
      <formula>0.2551</formula>
      <formula>0.3751</formula>
    </cfRule>
    <cfRule type="cellIs" dxfId="10671" priority="23366" operator="greaterThan">
      <formula>0.505</formula>
    </cfRule>
    <cfRule type="cellIs" dxfId="10670" priority="23367" operator="between">
      <formula>0.48</formula>
      <formula>0.5</formula>
    </cfRule>
    <cfRule type="cellIs" dxfId="10669" priority="23368" stopIfTrue="1" operator="between">
      <formula>0</formula>
      <formula>0.255</formula>
    </cfRule>
  </conditionalFormatting>
  <conditionalFormatting sqref="Z193">
    <cfRule type="cellIs" dxfId="10668" priority="23174" operator="between">
      <formula>0.76</formula>
      <formula>0.95</formula>
    </cfRule>
    <cfRule type="cellIs" dxfId="10667" priority="23175" operator="between">
      <formula>0.51</formula>
      <formula>0.75</formula>
    </cfRule>
    <cfRule type="cellIs" dxfId="10666" priority="23176" operator="greaterThan">
      <formula>1</formula>
    </cfRule>
    <cfRule type="cellIs" dxfId="10665" priority="23177" operator="between">
      <formula>0.95</formula>
      <formula>1</formula>
    </cfRule>
    <cfRule type="cellIs" dxfId="10664" priority="23178" stopIfTrue="1" operator="between">
      <formula>0</formula>
      <formula>0.5</formula>
    </cfRule>
  </conditionalFormatting>
  <conditionalFormatting sqref="Y127">
    <cfRule type="cellIs" dxfId="10663" priority="23134" operator="between">
      <formula>0.76</formula>
      <formula>0.95</formula>
    </cfRule>
    <cfRule type="cellIs" dxfId="10662" priority="23135" operator="between">
      <formula>0.51</formula>
      <formula>0.75</formula>
    </cfRule>
    <cfRule type="cellIs" dxfId="10661" priority="23136" operator="greaterThan">
      <formula>1</formula>
    </cfRule>
    <cfRule type="cellIs" dxfId="10660" priority="23137" operator="between">
      <formula>0.95</formula>
      <formula>1</formula>
    </cfRule>
    <cfRule type="cellIs" dxfId="10659" priority="23138" stopIfTrue="1" operator="between">
      <formula>0</formula>
      <formula>0.5</formula>
    </cfRule>
  </conditionalFormatting>
  <conditionalFormatting sqref="Y192">
    <cfRule type="cellIs" dxfId="10658" priority="23094" operator="between">
      <formula>0.76</formula>
      <formula>0.95</formula>
    </cfRule>
    <cfRule type="cellIs" dxfId="10657" priority="23095" operator="between">
      <formula>0.51</formula>
      <formula>0.75</formula>
    </cfRule>
    <cfRule type="cellIs" dxfId="10656" priority="23096" operator="greaterThan">
      <formula>1</formula>
    </cfRule>
    <cfRule type="cellIs" dxfId="10655" priority="23097" operator="between">
      <formula>0.95</formula>
      <formula>1</formula>
    </cfRule>
    <cfRule type="cellIs" dxfId="10654" priority="23098" stopIfTrue="1" operator="between">
      <formula>0</formula>
      <formula>0.5</formula>
    </cfRule>
  </conditionalFormatting>
  <conditionalFormatting sqref="AG193 AG147">
    <cfRule type="cellIs" dxfId="10653" priority="23014" operator="between">
      <formula>0.76</formula>
      <formula>0.95</formula>
    </cfRule>
    <cfRule type="cellIs" dxfId="10652" priority="23015" operator="between">
      <formula>0.51</formula>
      <formula>0.75</formula>
    </cfRule>
    <cfRule type="cellIs" dxfId="10651" priority="23016" operator="greaterThan">
      <formula>1</formula>
    </cfRule>
    <cfRule type="cellIs" dxfId="10650" priority="23017" operator="between">
      <formula>0.95</formula>
      <formula>1</formula>
    </cfRule>
    <cfRule type="cellIs" dxfId="10649" priority="23018" stopIfTrue="1" operator="between">
      <formula>0</formula>
      <formula>0.5</formula>
    </cfRule>
  </conditionalFormatting>
  <conditionalFormatting sqref="AI193 AI147">
    <cfRule type="cellIs" dxfId="10648" priority="23009" operator="between">
      <formula>0.76</formula>
      <formula>0.95</formula>
    </cfRule>
    <cfRule type="cellIs" dxfId="10647" priority="23010" operator="between">
      <formula>0.51</formula>
      <formula>0.75</formula>
    </cfRule>
    <cfRule type="cellIs" dxfId="10646" priority="23011" operator="greaterThan">
      <formula>1</formula>
    </cfRule>
    <cfRule type="cellIs" dxfId="10645" priority="23012" operator="between">
      <formula>0.95</formula>
      <formula>1</formula>
    </cfRule>
    <cfRule type="cellIs" dxfId="10644" priority="23013" stopIfTrue="1" operator="between">
      <formula>0</formula>
      <formula>0.5</formula>
    </cfRule>
  </conditionalFormatting>
  <conditionalFormatting sqref="AF127">
    <cfRule type="cellIs" dxfId="10643" priority="22954" operator="between">
      <formula>0.76</formula>
      <formula>0.95</formula>
    </cfRule>
    <cfRule type="cellIs" dxfId="10642" priority="22955" operator="between">
      <formula>0.51</formula>
      <formula>0.75</formula>
    </cfRule>
    <cfRule type="cellIs" dxfId="10641" priority="22956" operator="greaterThan">
      <formula>1</formula>
    </cfRule>
    <cfRule type="cellIs" dxfId="10640" priority="22957" operator="between">
      <formula>0.95</formula>
      <formula>1</formula>
    </cfRule>
    <cfRule type="cellIs" dxfId="10639" priority="22958" stopIfTrue="1" operator="between">
      <formula>0</formula>
      <formula>0.5</formula>
    </cfRule>
  </conditionalFormatting>
  <conditionalFormatting sqref="AF192">
    <cfRule type="cellIs" dxfId="10638" priority="22884" operator="between">
      <formula>0.76</formula>
      <formula>0.95</formula>
    </cfRule>
    <cfRule type="cellIs" dxfId="10637" priority="22885" operator="between">
      <formula>0.51</formula>
      <formula>0.75</formula>
    </cfRule>
    <cfRule type="cellIs" dxfId="10636" priority="22886" operator="greaterThan">
      <formula>1</formula>
    </cfRule>
    <cfRule type="cellIs" dxfId="10635" priority="22887" operator="between">
      <formula>0.95</formula>
      <formula>1</formula>
    </cfRule>
    <cfRule type="cellIs" dxfId="10634" priority="22888" stopIfTrue="1" operator="between">
      <formula>0</formula>
      <formula>0.5</formula>
    </cfRule>
  </conditionalFormatting>
  <conditionalFormatting sqref="L15">
    <cfRule type="cellIs" dxfId="10633" priority="22634" operator="between">
      <formula>0.76</formula>
      <formula>0.95</formula>
    </cfRule>
    <cfRule type="cellIs" dxfId="10632" priority="22635" operator="between">
      <formula>0.51</formula>
      <formula>0.75</formula>
    </cfRule>
    <cfRule type="cellIs" dxfId="10631" priority="22636" operator="greaterThan">
      <formula>1</formula>
    </cfRule>
    <cfRule type="cellIs" dxfId="10630" priority="22637" operator="between">
      <formula>0.96</formula>
      <formula>1</formula>
    </cfRule>
    <cfRule type="cellIs" dxfId="10629" priority="22638" stopIfTrue="1" operator="between">
      <formula>0</formula>
      <formula>0.5</formula>
    </cfRule>
  </conditionalFormatting>
  <conditionalFormatting sqref="N15">
    <cfRule type="cellIs" dxfId="10628" priority="22629" operator="between">
      <formula>0.1876</formula>
      <formula>0.2375</formula>
    </cfRule>
    <cfRule type="cellIs" dxfId="10627" priority="22630" operator="between">
      <formula>0.1251</formula>
      <formula>0.1875</formula>
    </cfRule>
    <cfRule type="cellIs" dxfId="10626" priority="22631" operator="greaterThan">
      <formula>0.25</formula>
    </cfRule>
    <cfRule type="cellIs" dxfId="10625" priority="22632" operator="between">
      <formula>0.2376</formula>
      <formula>0.25</formula>
    </cfRule>
    <cfRule type="cellIs" dxfId="10624" priority="22633" stopIfTrue="1" operator="between">
      <formula>0</formula>
      <formula>0.125</formula>
    </cfRule>
  </conditionalFormatting>
  <conditionalFormatting sqref="AI156:AI158">
    <cfRule type="cellIs" dxfId="10623" priority="16789" operator="between">
      <formula>0.76</formula>
      <formula>0.95</formula>
    </cfRule>
    <cfRule type="cellIs" dxfId="10622" priority="16790" operator="between">
      <formula>0.51</formula>
      <formula>0.75</formula>
    </cfRule>
    <cfRule type="cellIs" dxfId="10621" priority="16791" operator="greaterThan">
      <formula>1</formula>
    </cfRule>
    <cfRule type="cellIs" dxfId="10620" priority="16792" operator="between">
      <formula>0.95</formula>
      <formula>1</formula>
    </cfRule>
    <cfRule type="cellIs" dxfId="10619" priority="16793" stopIfTrue="1" operator="between">
      <formula>0</formula>
      <formula>0.5</formula>
    </cfRule>
  </conditionalFormatting>
  <conditionalFormatting sqref="AB193 AB147">
    <cfRule type="cellIs" dxfId="10618" priority="16154" operator="between">
      <formula>0.56251</formula>
      <formula>0.7125</formula>
    </cfRule>
    <cfRule type="cellIs" dxfId="10617" priority="16155" operator="between">
      <formula>0.3751</formula>
      <formula>0.5625</formula>
    </cfRule>
    <cfRule type="cellIs" dxfId="10616" priority="16156" operator="greaterThan">
      <formula>0.751</formula>
    </cfRule>
    <cfRule type="cellIs" dxfId="10615" priority="16157" operator="between">
      <formula>0.71251</formula>
      <formula>0.75</formula>
    </cfRule>
    <cfRule type="cellIs" dxfId="10614" priority="16158" stopIfTrue="1" operator="between">
      <formula>0</formula>
      <formula>0.375</formula>
    </cfRule>
  </conditionalFormatting>
  <conditionalFormatting sqref="AB128">
    <cfRule type="cellIs" dxfId="10613" priority="16079" operator="between">
      <formula>0.56251</formula>
      <formula>0.7125</formula>
    </cfRule>
    <cfRule type="cellIs" dxfId="10612" priority="16080" operator="between">
      <formula>0.3751</formula>
      <formula>0.5625</formula>
    </cfRule>
    <cfRule type="cellIs" dxfId="10611" priority="16081" operator="greaterThan">
      <formula>0.751</formula>
    </cfRule>
    <cfRule type="cellIs" dxfId="10610" priority="16082" operator="between">
      <formula>0.71251</formula>
      <formula>0.75</formula>
    </cfRule>
    <cfRule type="cellIs" dxfId="10609" priority="16083" stopIfTrue="1" operator="between">
      <formula>0</formula>
      <formula>0.375</formula>
    </cfRule>
  </conditionalFormatting>
  <conditionalFormatting sqref="AA193 AA147">
    <cfRule type="cellIs" dxfId="10608" priority="16164" operator="between">
      <formula>0.56251</formula>
      <formula>0.7125</formula>
    </cfRule>
    <cfRule type="cellIs" dxfId="10607" priority="16165" operator="between">
      <formula>0.3751</formula>
      <formula>0.5625</formula>
    </cfRule>
    <cfRule type="cellIs" dxfId="10606" priority="16166" operator="greaterThan">
      <formula>0.751</formula>
    </cfRule>
    <cfRule type="cellIs" dxfId="10605" priority="16167" operator="between">
      <formula>0.71251</formula>
      <formula>0.75</formula>
    </cfRule>
    <cfRule type="cellIs" dxfId="10604" priority="16168" stopIfTrue="1" operator="between">
      <formula>0</formula>
      <formula>0.375</formula>
    </cfRule>
  </conditionalFormatting>
  <conditionalFormatting sqref="AC193">
    <cfRule type="cellIs" dxfId="10603" priority="16159" operator="between">
      <formula>0.56251</formula>
      <formula>0.7125</formula>
    </cfRule>
    <cfRule type="cellIs" dxfId="10602" priority="16160" operator="between">
      <formula>0.3751</formula>
      <formula>0.5625</formula>
    </cfRule>
    <cfRule type="cellIs" dxfId="10601" priority="16161" operator="greaterThan">
      <formula>0.751</formula>
    </cfRule>
    <cfRule type="cellIs" dxfId="10600" priority="16162" operator="between">
      <formula>0.71251</formula>
      <formula>0.75</formula>
    </cfRule>
    <cfRule type="cellIs" dxfId="10599" priority="16163" stopIfTrue="1" operator="between">
      <formula>0</formula>
      <formula>0.375</formula>
    </cfRule>
  </conditionalFormatting>
  <conditionalFormatting sqref="AA128">
    <cfRule type="cellIs" dxfId="10598" priority="16089" operator="between">
      <formula>0.56251</formula>
      <formula>0.7125</formula>
    </cfRule>
    <cfRule type="cellIs" dxfId="10597" priority="16090" operator="between">
      <formula>0.3751</formula>
      <formula>0.5625</formula>
    </cfRule>
    <cfRule type="cellIs" dxfId="10596" priority="16091" operator="greaterThan">
      <formula>0.751</formula>
    </cfRule>
    <cfRule type="cellIs" dxfId="10595" priority="16092" operator="between">
      <formula>0.71251</formula>
      <formula>0.75</formula>
    </cfRule>
    <cfRule type="cellIs" dxfId="10594" priority="16093" stopIfTrue="1" operator="between">
      <formula>0</formula>
      <formula>0.375</formula>
    </cfRule>
  </conditionalFormatting>
  <conditionalFormatting sqref="AC128">
    <cfRule type="cellIs" dxfId="10593" priority="16084" operator="between">
      <formula>0.56251</formula>
      <formula>0.7125</formula>
    </cfRule>
    <cfRule type="cellIs" dxfId="10592" priority="16085" operator="between">
      <formula>0.3751</formula>
      <formula>0.5625</formula>
    </cfRule>
    <cfRule type="cellIs" dxfId="10591" priority="16086" operator="greaterThan">
      <formula>0.751</formula>
    </cfRule>
    <cfRule type="cellIs" dxfId="10590" priority="16087" operator="between">
      <formula>0.71251</formula>
      <formula>0.75</formula>
    </cfRule>
    <cfRule type="cellIs" dxfId="10589" priority="16088" stopIfTrue="1" operator="between">
      <formula>0</formula>
      <formula>0.375</formula>
    </cfRule>
  </conditionalFormatting>
  <conditionalFormatting sqref="AG129 AI129 S129 Z129">
    <cfRule type="cellIs" dxfId="10588" priority="14202" operator="between">
      <formula>0.76</formula>
      <formula>0.95</formula>
    </cfRule>
    <cfRule type="cellIs" dxfId="10587" priority="14203" operator="between">
      <formula>0.51</formula>
      <formula>0.75</formula>
    </cfRule>
    <cfRule type="cellIs" dxfId="10586" priority="14204" operator="greaterThan">
      <formula>1</formula>
    </cfRule>
    <cfRule type="cellIs" dxfId="10585" priority="14205" operator="between">
      <formula>0.95</formula>
      <formula>1</formula>
    </cfRule>
    <cfRule type="cellIs" dxfId="10584" priority="14206" stopIfTrue="1" operator="between">
      <formula>0</formula>
      <formula>0.5</formula>
    </cfRule>
  </conditionalFormatting>
  <conditionalFormatting sqref="R129">
    <cfRule type="cellIs" dxfId="10583" priority="14192" operator="between">
      <formula>0.76</formula>
      <formula>0.95</formula>
    </cfRule>
    <cfRule type="cellIs" dxfId="10582" priority="14193" operator="between">
      <formula>0.51</formula>
      <formula>0.75</formula>
    </cfRule>
    <cfRule type="cellIs" dxfId="10581" priority="14194" operator="greaterThan">
      <formula>1</formula>
    </cfRule>
    <cfRule type="cellIs" dxfId="10580" priority="14195" operator="between">
      <formula>0.95</formula>
      <formula>1</formula>
    </cfRule>
    <cfRule type="cellIs" dxfId="10579" priority="14196" stopIfTrue="1" operator="between">
      <formula>0</formula>
      <formula>0.5</formula>
    </cfRule>
  </conditionalFormatting>
  <conditionalFormatting sqref="Y129">
    <cfRule type="cellIs" dxfId="10578" priority="14187" operator="between">
      <formula>0.76</formula>
      <formula>0.95</formula>
    </cfRule>
    <cfRule type="cellIs" dxfId="10577" priority="14188" operator="between">
      <formula>0.51</formula>
      <formula>0.75</formula>
    </cfRule>
    <cfRule type="cellIs" dxfId="10576" priority="14189" operator="greaterThan">
      <formula>1</formula>
    </cfRule>
    <cfRule type="cellIs" dxfId="10575" priority="14190" operator="between">
      <formula>0.95</formula>
      <formula>1</formula>
    </cfRule>
    <cfRule type="cellIs" dxfId="10574" priority="14191" stopIfTrue="1" operator="between">
      <formula>0</formula>
      <formula>0.5</formula>
    </cfRule>
  </conditionalFormatting>
  <conditionalFormatting sqref="AF129">
    <cfRule type="cellIs" dxfId="10573" priority="14182" operator="between">
      <formula>0.76</formula>
      <formula>0.95</formula>
    </cfRule>
    <cfRule type="cellIs" dxfId="10572" priority="14183" operator="between">
      <formula>0.51</formula>
      <formula>0.75</formula>
    </cfRule>
    <cfRule type="cellIs" dxfId="10571" priority="14184" operator="greaterThan">
      <formula>1</formula>
    </cfRule>
    <cfRule type="cellIs" dxfId="10570" priority="14185" operator="between">
      <formula>0.95</formula>
      <formula>1</formula>
    </cfRule>
    <cfRule type="cellIs" dxfId="10569" priority="14186" stopIfTrue="1" operator="between">
      <formula>0</formula>
      <formula>0.5</formula>
    </cfRule>
  </conditionalFormatting>
  <conditionalFormatting sqref="AH129">
    <cfRule type="cellIs" dxfId="10568" priority="14177" operator="between">
      <formula>0.76</formula>
      <formula>0.95</formula>
    </cfRule>
    <cfRule type="cellIs" dxfId="10567" priority="14178" operator="between">
      <formula>0.51</formula>
      <formula>0.75</formula>
    </cfRule>
    <cfRule type="cellIs" dxfId="10566" priority="14179" operator="greaterThan">
      <formula>1</formula>
    </cfRule>
    <cfRule type="cellIs" dxfId="10565" priority="14180" operator="between">
      <formula>0.95</formula>
      <formula>1</formula>
    </cfRule>
    <cfRule type="cellIs" dxfId="10564" priority="14181" stopIfTrue="1" operator="between">
      <formula>0</formula>
      <formula>0.5</formula>
    </cfRule>
  </conditionalFormatting>
  <conditionalFormatting sqref="T129">
    <cfRule type="cellIs" dxfId="10563" priority="14162" operator="between">
      <formula>0.3751</formula>
      <formula>0.475</formula>
    </cfRule>
    <cfRule type="cellIs" dxfId="10562" priority="14163" operator="between">
      <formula>0.2551</formula>
      <formula>0.375</formula>
    </cfRule>
    <cfRule type="cellIs" dxfId="10561" priority="14164" operator="greaterThan">
      <formula>0.505</formula>
    </cfRule>
    <cfRule type="cellIs" dxfId="10560" priority="14165" operator="between">
      <formula>0.48</formula>
      <formula>0.5</formula>
    </cfRule>
    <cfRule type="cellIs" dxfId="10559" priority="14166" stopIfTrue="1" operator="between">
      <formula>0</formula>
      <formula>0.255</formula>
    </cfRule>
  </conditionalFormatting>
  <conditionalFormatting sqref="U129:V129">
    <cfRule type="cellIs" dxfId="10558" priority="14157" operator="between">
      <formula>0.376</formula>
      <formula>0.475</formula>
    </cfRule>
    <cfRule type="cellIs" dxfId="10557" priority="14158" operator="between">
      <formula>0.2551</formula>
      <formula>0.3751</formula>
    </cfRule>
    <cfRule type="cellIs" dxfId="10556" priority="14159" operator="greaterThan">
      <formula>0.505</formula>
    </cfRule>
    <cfRule type="cellIs" dxfId="10555" priority="14160" operator="between">
      <formula>0.48</formula>
      <formula>0.5</formula>
    </cfRule>
    <cfRule type="cellIs" dxfId="10554" priority="14161" stopIfTrue="1" operator="between">
      <formula>0</formula>
      <formula>0.255</formula>
    </cfRule>
  </conditionalFormatting>
  <conditionalFormatting sqref="AA129">
    <cfRule type="cellIs" dxfId="10553" priority="14152" operator="between">
      <formula>0.56251</formula>
      <formula>0.7125</formula>
    </cfRule>
    <cfRule type="cellIs" dxfId="10552" priority="14153" operator="between">
      <formula>0.3751</formula>
      <formula>0.5625</formula>
    </cfRule>
    <cfRule type="cellIs" dxfId="10551" priority="14154" operator="greaterThan">
      <formula>0.751</formula>
    </cfRule>
    <cfRule type="cellIs" dxfId="10550" priority="14155" operator="between">
      <formula>0.71251</formula>
      <formula>0.75</formula>
    </cfRule>
    <cfRule type="cellIs" dxfId="10549" priority="14156" stopIfTrue="1" operator="between">
      <formula>0</formula>
      <formula>0.375</formula>
    </cfRule>
  </conditionalFormatting>
  <conditionalFormatting sqref="AC129">
    <cfRule type="cellIs" dxfId="10548" priority="14147" operator="between">
      <formula>0.56251</formula>
      <formula>0.7125</formula>
    </cfRule>
    <cfRule type="cellIs" dxfId="10547" priority="14148" operator="between">
      <formula>0.3751</formula>
      <formula>0.5625</formula>
    </cfRule>
    <cfRule type="cellIs" dxfId="10546" priority="14149" operator="greaterThan">
      <formula>0.751</formula>
    </cfRule>
    <cfRule type="cellIs" dxfId="10545" priority="14150" operator="between">
      <formula>0.71251</formula>
      <formula>0.75</formula>
    </cfRule>
    <cfRule type="cellIs" dxfId="10544" priority="14151" stopIfTrue="1" operator="between">
      <formula>0</formula>
      <formula>0.375</formula>
    </cfRule>
  </conditionalFormatting>
  <conditionalFormatting sqref="AB129">
    <cfRule type="cellIs" dxfId="10543" priority="14142" operator="between">
      <formula>0.56251</formula>
      <formula>0.7125</formula>
    </cfRule>
    <cfRule type="cellIs" dxfId="10542" priority="14143" operator="between">
      <formula>0.3751</formula>
      <formula>0.5625</formula>
    </cfRule>
    <cfRule type="cellIs" dxfId="10541" priority="14144" operator="greaterThan">
      <formula>0.751</formula>
    </cfRule>
    <cfRule type="cellIs" dxfId="10540" priority="14145" operator="between">
      <formula>0.71251</formula>
      <formula>0.75</formula>
    </cfRule>
    <cfRule type="cellIs" dxfId="10539" priority="14146" stopIfTrue="1" operator="between">
      <formula>0</formula>
      <formula>0.375</formula>
    </cfRule>
  </conditionalFormatting>
  <conditionalFormatting sqref="AG16 AI16 Z16">
    <cfRule type="cellIs" dxfId="10538" priority="14125" operator="between">
      <formula>0.76</formula>
      <formula>0.95</formula>
    </cfRule>
    <cfRule type="cellIs" dxfId="10537" priority="14126" operator="between">
      <formula>0.51</formula>
      <formula>0.75</formula>
    </cfRule>
    <cfRule type="cellIs" dxfId="10536" priority="14127" operator="greaterThan">
      <formula>1</formula>
    </cfRule>
    <cfRule type="cellIs" dxfId="10535" priority="14128" operator="between">
      <formula>0.95</formula>
      <formula>1</formula>
    </cfRule>
    <cfRule type="cellIs" dxfId="10534" priority="14129" stopIfTrue="1" operator="between">
      <formula>0</formula>
      <formula>0.5</formula>
    </cfRule>
  </conditionalFormatting>
  <conditionalFormatting sqref="R16:S16">
    <cfRule type="cellIs" dxfId="10533" priority="14120" operator="between">
      <formula>0.76</formula>
      <formula>0.95</formula>
    </cfRule>
    <cfRule type="cellIs" dxfId="10532" priority="14121" operator="between">
      <formula>0.51</formula>
      <formula>0.75</formula>
    </cfRule>
    <cfRule type="cellIs" dxfId="10531" priority="14122" operator="greaterThan">
      <formula>1</formula>
    </cfRule>
    <cfRule type="cellIs" dxfId="10530" priority="14123" operator="between">
      <formula>0.95</formula>
      <formula>1</formula>
    </cfRule>
    <cfRule type="cellIs" dxfId="10529" priority="14124" stopIfTrue="1" operator="between">
      <formula>0</formula>
      <formula>0.5</formula>
    </cfRule>
  </conditionalFormatting>
  <conditionalFormatting sqref="Y16">
    <cfRule type="cellIs" dxfId="10528" priority="14115" operator="between">
      <formula>0.76</formula>
      <formula>0.95</formula>
    </cfRule>
    <cfRule type="cellIs" dxfId="10527" priority="14116" operator="between">
      <formula>0.51</formula>
      <formula>0.75</formula>
    </cfRule>
    <cfRule type="cellIs" dxfId="10526" priority="14117" operator="greaterThan">
      <formula>1</formula>
    </cfRule>
    <cfRule type="cellIs" dxfId="10525" priority="14118" operator="between">
      <formula>0.95</formula>
      <formula>1</formula>
    </cfRule>
    <cfRule type="cellIs" dxfId="10524" priority="14119" stopIfTrue="1" operator="between">
      <formula>0</formula>
      <formula>0.5</formula>
    </cfRule>
  </conditionalFormatting>
  <conditionalFormatting sqref="AF16">
    <cfRule type="cellIs" dxfId="10523" priority="14110" operator="between">
      <formula>0.76</formula>
      <formula>0.95</formula>
    </cfRule>
    <cfRule type="cellIs" dxfId="10522" priority="14111" operator="between">
      <formula>0.51</formula>
      <formula>0.75</formula>
    </cfRule>
    <cfRule type="cellIs" dxfId="10521" priority="14112" operator="greaterThan">
      <formula>1</formula>
    </cfRule>
    <cfRule type="cellIs" dxfId="10520" priority="14113" operator="between">
      <formula>0.95</formula>
      <formula>1</formula>
    </cfRule>
    <cfRule type="cellIs" dxfId="10519" priority="14114" stopIfTrue="1" operator="between">
      <formula>0</formula>
      <formula>0.5</formula>
    </cfRule>
  </conditionalFormatting>
  <conditionalFormatting sqref="T16">
    <cfRule type="cellIs" dxfId="10518" priority="14105" operator="between">
      <formula>0.3751</formula>
      <formula>0.475</formula>
    </cfRule>
    <cfRule type="cellIs" dxfId="10517" priority="14106" operator="between">
      <formula>0.2551</formula>
      <formula>0.375</formula>
    </cfRule>
    <cfRule type="cellIs" dxfId="10516" priority="14107" operator="greaterThan">
      <formula>0.505</formula>
    </cfRule>
    <cfRule type="cellIs" dxfId="10515" priority="14108" operator="between">
      <formula>0.48</formula>
      <formula>0.5</formula>
    </cfRule>
    <cfRule type="cellIs" dxfId="10514" priority="14109" stopIfTrue="1" operator="between">
      <formula>0</formula>
      <formula>0.255</formula>
    </cfRule>
  </conditionalFormatting>
  <conditionalFormatting sqref="AA16:AC16">
    <cfRule type="cellIs" dxfId="10513" priority="14100" operator="between">
      <formula>0.56251</formula>
      <formula>0.7125</formula>
    </cfRule>
    <cfRule type="cellIs" dxfId="10512" priority="14101" operator="between">
      <formula>0.3751</formula>
      <formula>0.5625</formula>
    </cfRule>
    <cfRule type="cellIs" dxfId="10511" priority="14102" operator="greaterThan">
      <formula>0.751</formula>
    </cfRule>
    <cfRule type="cellIs" dxfId="10510" priority="14103" operator="between">
      <formula>0.71251</formula>
      <formula>0.75</formula>
    </cfRule>
    <cfRule type="cellIs" dxfId="10509" priority="14104" stopIfTrue="1" operator="between">
      <formula>0</formula>
      <formula>0.375</formula>
    </cfRule>
  </conditionalFormatting>
  <conditionalFormatting sqref="AH16">
    <cfRule type="cellIs" dxfId="10508" priority="14095" operator="between">
      <formula>0.76</formula>
      <formula>0.95</formula>
    </cfRule>
    <cfRule type="cellIs" dxfId="10507" priority="14096" operator="between">
      <formula>0.51</formula>
      <formula>0.75</formula>
    </cfRule>
    <cfRule type="cellIs" dxfId="10506" priority="14097" operator="greaterThan">
      <formula>1</formula>
    </cfRule>
    <cfRule type="cellIs" dxfId="10505" priority="14098" operator="between">
      <formula>0.95</formula>
      <formula>1</formula>
    </cfRule>
    <cfRule type="cellIs" dxfId="10504" priority="14099" stopIfTrue="1" operator="between">
      <formula>0</formula>
      <formula>0.5</formula>
    </cfRule>
  </conditionalFormatting>
  <conditionalFormatting sqref="U16:V16">
    <cfRule type="cellIs" dxfId="10503" priority="14085" operator="between">
      <formula>0.376</formula>
      <formula>0.475</formula>
    </cfRule>
    <cfRule type="cellIs" dxfId="10502" priority="14086" operator="between">
      <formula>0.2551</formula>
      <formula>0.3751</formula>
    </cfRule>
    <cfRule type="cellIs" dxfId="10501" priority="14087" operator="greaterThan">
      <formula>0.505</formula>
    </cfRule>
    <cfRule type="cellIs" dxfId="10500" priority="14088" operator="between">
      <formula>0.48</formula>
      <formula>0.5</formula>
    </cfRule>
    <cfRule type="cellIs" dxfId="10499" priority="14089" stopIfTrue="1" operator="between">
      <formula>0</formula>
      <formula>0.255</formula>
    </cfRule>
  </conditionalFormatting>
  <conditionalFormatting sqref="AG17 AI17 Z17">
    <cfRule type="cellIs" dxfId="10498" priority="14053" operator="between">
      <formula>0.76</formula>
      <formula>0.95</formula>
    </cfRule>
    <cfRule type="cellIs" dxfId="10497" priority="14054" operator="between">
      <formula>0.51</formula>
      <formula>0.75</formula>
    </cfRule>
    <cfRule type="cellIs" dxfId="10496" priority="14055" operator="greaterThan">
      <formula>1</formula>
    </cfRule>
    <cfRule type="cellIs" dxfId="10495" priority="14056" operator="between">
      <formula>0.95</formula>
      <formula>1</formula>
    </cfRule>
    <cfRule type="cellIs" dxfId="10494" priority="14057" stopIfTrue="1" operator="between">
      <formula>0</formula>
      <formula>0.5</formula>
    </cfRule>
  </conditionalFormatting>
  <conditionalFormatting sqref="R17:S17">
    <cfRule type="cellIs" dxfId="10493" priority="14048" operator="between">
      <formula>0.76</formula>
      <formula>0.95</formula>
    </cfRule>
    <cfRule type="cellIs" dxfId="10492" priority="14049" operator="between">
      <formula>0.51</formula>
      <formula>0.75</formula>
    </cfRule>
    <cfRule type="cellIs" dxfId="10491" priority="14050" operator="greaterThan">
      <formula>1</formula>
    </cfRule>
    <cfRule type="cellIs" dxfId="10490" priority="14051" operator="between">
      <formula>0.95</formula>
      <formula>1</formula>
    </cfRule>
    <cfRule type="cellIs" dxfId="10489" priority="14052" stopIfTrue="1" operator="between">
      <formula>0</formula>
      <formula>0.5</formula>
    </cfRule>
  </conditionalFormatting>
  <conditionalFormatting sqref="Y17">
    <cfRule type="cellIs" dxfId="10488" priority="14043" operator="between">
      <formula>0.76</formula>
      <formula>0.95</formula>
    </cfRule>
    <cfRule type="cellIs" dxfId="10487" priority="14044" operator="between">
      <formula>0.51</formula>
      <formula>0.75</formula>
    </cfRule>
    <cfRule type="cellIs" dxfId="10486" priority="14045" operator="greaterThan">
      <formula>1</formula>
    </cfRule>
    <cfRule type="cellIs" dxfId="10485" priority="14046" operator="between">
      <formula>0.95</formula>
      <formula>1</formula>
    </cfRule>
    <cfRule type="cellIs" dxfId="10484" priority="14047" stopIfTrue="1" operator="between">
      <formula>0</formula>
      <formula>0.5</formula>
    </cfRule>
  </conditionalFormatting>
  <conditionalFormatting sqref="AF17">
    <cfRule type="cellIs" dxfId="10483" priority="14038" operator="between">
      <formula>0.76</formula>
      <formula>0.95</formula>
    </cfRule>
    <cfRule type="cellIs" dxfId="10482" priority="14039" operator="between">
      <formula>0.51</formula>
      <formula>0.75</formula>
    </cfRule>
    <cfRule type="cellIs" dxfId="10481" priority="14040" operator="greaterThan">
      <formula>1</formula>
    </cfRule>
    <cfRule type="cellIs" dxfId="10480" priority="14041" operator="between">
      <formula>0.95</formula>
      <formula>1</formula>
    </cfRule>
    <cfRule type="cellIs" dxfId="10479" priority="14042" stopIfTrue="1" operator="between">
      <formula>0</formula>
      <formula>0.5</formula>
    </cfRule>
  </conditionalFormatting>
  <conditionalFormatting sqref="T17">
    <cfRule type="cellIs" dxfId="10478" priority="14033" operator="between">
      <formula>0.3751</formula>
      <formula>0.475</formula>
    </cfRule>
    <cfRule type="cellIs" dxfId="10477" priority="14034" operator="between">
      <formula>0.2551</formula>
      <formula>0.375</formula>
    </cfRule>
    <cfRule type="cellIs" dxfId="10476" priority="14035" operator="greaterThan">
      <formula>0.505</formula>
    </cfRule>
    <cfRule type="cellIs" dxfId="10475" priority="14036" operator="between">
      <formula>0.48</formula>
      <formula>0.5</formula>
    </cfRule>
    <cfRule type="cellIs" dxfId="10474" priority="14037" stopIfTrue="1" operator="between">
      <formula>0</formula>
      <formula>0.255</formula>
    </cfRule>
  </conditionalFormatting>
  <conditionalFormatting sqref="AA17:AC17">
    <cfRule type="cellIs" dxfId="10473" priority="14028" operator="between">
      <formula>0.56251</formula>
      <formula>0.7125</formula>
    </cfRule>
    <cfRule type="cellIs" dxfId="10472" priority="14029" operator="between">
      <formula>0.3751</formula>
      <formula>0.5625</formula>
    </cfRule>
    <cfRule type="cellIs" dxfId="10471" priority="14030" operator="greaterThan">
      <formula>0.751</formula>
    </cfRule>
    <cfRule type="cellIs" dxfId="10470" priority="14031" operator="between">
      <formula>0.71251</formula>
      <formula>0.75</formula>
    </cfRule>
    <cfRule type="cellIs" dxfId="10469" priority="14032" stopIfTrue="1" operator="between">
      <formula>0</formula>
      <formula>0.375</formula>
    </cfRule>
  </conditionalFormatting>
  <conditionalFormatting sqref="AH17">
    <cfRule type="cellIs" dxfId="10468" priority="14023" operator="between">
      <formula>0.76</formula>
      <formula>0.95</formula>
    </cfRule>
    <cfRule type="cellIs" dxfId="10467" priority="14024" operator="between">
      <formula>0.51</formula>
      <formula>0.75</formula>
    </cfRule>
    <cfRule type="cellIs" dxfId="10466" priority="14025" operator="greaterThan">
      <formula>1</formula>
    </cfRule>
    <cfRule type="cellIs" dxfId="10465" priority="14026" operator="between">
      <formula>0.95</formula>
      <formula>1</formula>
    </cfRule>
    <cfRule type="cellIs" dxfId="10464" priority="14027" stopIfTrue="1" operator="between">
      <formula>0</formula>
      <formula>0.5</formula>
    </cfRule>
  </conditionalFormatting>
  <conditionalFormatting sqref="U17:V17">
    <cfRule type="cellIs" dxfId="10463" priority="14013" operator="between">
      <formula>0.376</formula>
      <formula>0.475</formula>
    </cfRule>
    <cfRule type="cellIs" dxfId="10462" priority="14014" operator="between">
      <formula>0.2551</formula>
      <formula>0.3751</formula>
    </cfRule>
    <cfRule type="cellIs" dxfId="10461" priority="14015" operator="greaterThan">
      <formula>0.505</formula>
    </cfRule>
    <cfRule type="cellIs" dxfId="10460" priority="14016" operator="between">
      <formula>0.48</formula>
      <formula>0.5</formula>
    </cfRule>
    <cfRule type="cellIs" dxfId="10459" priority="14017" stopIfTrue="1" operator="between">
      <formula>0</formula>
      <formula>0.255</formula>
    </cfRule>
  </conditionalFormatting>
  <conditionalFormatting sqref="S194">
    <cfRule type="cellIs" dxfId="10458" priority="13971" operator="between">
      <formula>0.76</formula>
      <formula>0.95</formula>
    </cfRule>
    <cfRule type="cellIs" dxfId="10457" priority="13972" operator="between">
      <formula>0.51</formula>
      <formula>0.75</formula>
    </cfRule>
    <cfRule type="cellIs" dxfId="10456" priority="13973" operator="greaterThan">
      <formula>1</formula>
    </cfRule>
    <cfRule type="cellIs" dxfId="10455" priority="13974" operator="between">
      <formula>0.95</formula>
      <formula>1</formula>
    </cfRule>
    <cfRule type="cellIs" dxfId="10454" priority="13975" stopIfTrue="1" operator="between">
      <formula>0</formula>
      <formula>0.5</formula>
    </cfRule>
  </conditionalFormatting>
  <conditionalFormatting sqref="R194">
    <cfRule type="cellIs" dxfId="10453" priority="13966" operator="between">
      <formula>0.76</formula>
      <formula>0.95</formula>
    </cfRule>
    <cfRule type="cellIs" dxfId="10452" priority="13967" operator="between">
      <formula>0.51</formula>
      <formula>0.75</formula>
    </cfRule>
    <cfRule type="cellIs" dxfId="10451" priority="13968" operator="greaterThan">
      <formula>1</formula>
    </cfRule>
    <cfRule type="cellIs" dxfId="10450" priority="13969" operator="between">
      <formula>0.95</formula>
      <formula>1</formula>
    </cfRule>
    <cfRule type="cellIs" dxfId="10449" priority="13970" stopIfTrue="1" operator="between">
      <formula>0</formula>
      <formula>0.5</formula>
    </cfRule>
  </conditionalFormatting>
  <conditionalFormatting sqref="Y194">
    <cfRule type="cellIs" dxfId="10448" priority="13961" operator="between">
      <formula>0.76</formula>
      <formula>0.95</formula>
    </cfRule>
    <cfRule type="cellIs" dxfId="10447" priority="13962" operator="between">
      <formula>0.51</formula>
      <formula>0.75</formula>
    </cfRule>
    <cfRule type="cellIs" dxfId="10446" priority="13963" operator="greaterThan">
      <formula>1</formula>
    </cfRule>
    <cfRule type="cellIs" dxfId="10445" priority="13964" operator="between">
      <formula>0.95</formula>
      <formula>1</formula>
    </cfRule>
    <cfRule type="cellIs" dxfId="10444" priority="13965" stopIfTrue="1" operator="between">
      <formula>0</formula>
      <formula>0.5</formula>
    </cfRule>
  </conditionalFormatting>
  <conditionalFormatting sqref="AF194">
    <cfRule type="cellIs" dxfId="10443" priority="13956" operator="between">
      <formula>0.76</formula>
      <formula>0.95</formula>
    </cfRule>
    <cfRule type="cellIs" dxfId="10442" priority="13957" operator="between">
      <formula>0.51</formula>
      <formula>0.75</formula>
    </cfRule>
    <cfRule type="cellIs" dxfId="10441" priority="13958" operator="greaterThan">
      <formula>1</formula>
    </cfRule>
    <cfRule type="cellIs" dxfId="10440" priority="13959" operator="between">
      <formula>0.95</formula>
      <formula>1</formula>
    </cfRule>
    <cfRule type="cellIs" dxfId="10439" priority="13960" stopIfTrue="1" operator="between">
      <formula>0</formula>
      <formula>0.5</formula>
    </cfRule>
  </conditionalFormatting>
  <conditionalFormatting sqref="AH194">
    <cfRule type="cellIs" dxfId="10438" priority="13951" operator="between">
      <formula>0.76</formula>
      <formula>0.95</formula>
    </cfRule>
    <cfRule type="cellIs" dxfId="10437" priority="13952" operator="between">
      <formula>0.51</formula>
      <formula>0.75</formula>
    </cfRule>
    <cfRule type="cellIs" dxfId="10436" priority="13953" operator="greaterThan">
      <formula>1</formula>
    </cfRule>
    <cfRule type="cellIs" dxfId="10435" priority="13954" operator="between">
      <formula>0.95</formula>
      <formula>1</formula>
    </cfRule>
    <cfRule type="cellIs" dxfId="10434" priority="13955" stopIfTrue="1" operator="between">
      <formula>0</formula>
      <formula>0.5</formula>
    </cfRule>
  </conditionalFormatting>
  <conditionalFormatting sqref="T194">
    <cfRule type="cellIs" dxfId="10433" priority="13936" operator="between">
      <formula>0.3751</formula>
      <formula>0.475</formula>
    </cfRule>
    <cfRule type="cellIs" dxfId="10432" priority="13937" operator="between">
      <formula>0.2551</formula>
      <formula>0.375</formula>
    </cfRule>
    <cfRule type="cellIs" dxfId="10431" priority="13938" operator="greaterThan">
      <formula>0.505</formula>
    </cfRule>
    <cfRule type="cellIs" dxfId="10430" priority="13939" operator="between">
      <formula>0.48</formula>
      <formula>0.5</formula>
    </cfRule>
    <cfRule type="cellIs" dxfId="10429" priority="13940" stopIfTrue="1" operator="between">
      <formula>0</formula>
      <formula>0.255</formula>
    </cfRule>
  </conditionalFormatting>
  <conditionalFormatting sqref="U194:V194">
    <cfRule type="cellIs" dxfId="10428" priority="13931" operator="between">
      <formula>0.376</formula>
      <formula>0.475</formula>
    </cfRule>
    <cfRule type="cellIs" dxfId="10427" priority="13932" operator="between">
      <formula>0.2551</formula>
      <formula>0.3751</formula>
    </cfRule>
    <cfRule type="cellIs" dxfId="10426" priority="13933" operator="greaterThan">
      <formula>0.505</formula>
    </cfRule>
    <cfRule type="cellIs" dxfId="10425" priority="13934" operator="between">
      <formula>0.48</formula>
      <formula>0.5</formula>
    </cfRule>
    <cfRule type="cellIs" dxfId="10424" priority="13935" stopIfTrue="1" operator="between">
      <formula>0</formula>
      <formula>0.255</formula>
    </cfRule>
  </conditionalFormatting>
  <conditionalFormatting sqref="Z194">
    <cfRule type="cellIs" dxfId="10423" priority="13926" operator="between">
      <formula>0.76</formula>
      <formula>0.95</formula>
    </cfRule>
    <cfRule type="cellIs" dxfId="10422" priority="13927" operator="between">
      <formula>0.51</formula>
      <formula>0.75</formula>
    </cfRule>
    <cfRule type="cellIs" dxfId="10421" priority="13928" operator="greaterThan">
      <formula>1</formula>
    </cfRule>
    <cfRule type="cellIs" dxfId="10420" priority="13929" operator="between">
      <formula>0.95</formula>
      <formula>1</formula>
    </cfRule>
    <cfRule type="cellIs" dxfId="10419" priority="13930" stopIfTrue="1" operator="between">
      <formula>0</formula>
      <formula>0.5</formula>
    </cfRule>
  </conditionalFormatting>
  <conditionalFormatting sqref="AG194">
    <cfRule type="cellIs" dxfId="10418" priority="13921" operator="between">
      <formula>0.76</formula>
      <formula>0.95</formula>
    </cfRule>
    <cfRule type="cellIs" dxfId="10417" priority="13922" operator="between">
      <formula>0.51</formula>
      <formula>0.75</formula>
    </cfRule>
    <cfRule type="cellIs" dxfId="10416" priority="13923" operator="greaterThan">
      <formula>1</formula>
    </cfRule>
    <cfRule type="cellIs" dxfId="10415" priority="13924" operator="between">
      <formula>0.95</formula>
      <formula>1</formula>
    </cfRule>
    <cfRule type="cellIs" dxfId="10414" priority="13925" stopIfTrue="1" operator="between">
      <formula>0</formula>
      <formula>0.5</formula>
    </cfRule>
  </conditionalFormatting>
  <conditionalFormatting sqref="AI194">
    <cfRule type="cellIs" dxfId="10413" priority="13916" operator="between">
      <formula>0.76</formula>
      <formula>0.95</formula>
    </cfRule>
    <cfRule type="cellIs" dxfId="10412" priority="13917" operator="between">
      <formula>0.51</formula>
      <formula>0.75</formula>
    </cfRule>
    <cfRule type="cellIs" dxfId="10411" priority="13918" operator="greaterThan">
      <formula>1</formula>
    </cfRule>
    <cfRule type="cellIs" dxfId="10410" priority="13919" operator="between">
      <formula>0.95</formula>
      <formula>1</formula>
    </cfRule>
    <cfRule type="cellIs" dxfId="10409" priority="13920" stopIfTrue="1" operator="between">
      <formula>0</formula>
      <formula>0.5</formula>
    </cfRule>
  </conditionalFormatting>
  <conditionalFormatting sqref="AA194">
    <cfRule type="cellIs" dxfId="10408" priority="13911" operator="between">
      <formula>0.56251</formula>
      <formula>0.7125</formula>
    </cfRule>
    <cfRule type="cellIs" dxfId="10407" priority="13912" operator="between">
      <formula>0.3751</formula>
      <formula>0.5625</formula>
    </cfRule>
    <cfRule type="cellIs" dxfId="10406" priority="13913" operator="greaterThan">
      <formula>0.751</formula>
    </cfRule>
    <cfRule type="cellIs" dxfId="10405" priority="13914" operator="between">
      <formula>0.71251</formula>
      <formula>0.75</formula>
    </cfRule>
    <cfRule type="cellIs" dxfId="10404" priority="13915" stopIfTrue="1" operator="between">
      <formula>0</formula>
      <formula>0.375</formula>
    </cfRule>
  </conditionalFormatting>
  <conditionalFormatting sqref="AC194">
    <cfRule type="cellIs" dxfId="10403" priority="13906" operator="between">
      <formula>0.56251</formula>
      <formula>0.7125</formula>
    </cfRule>
    <cfRule type="cellIs" dxfId="10402" priority="13907" operator="between">
      <formula>0.3751</formula>
      <formula>0.5625</formula>
    </cfRule>
    <cfRule type="cellIs" dxfId="10401" priority="13908" operator="greaterThan">
      <formula>0.751</formula>
    </cfRule>
    <cfRule type="cellIs" dxfId="10400" priority="13909" operator="between">
      <formula>0.71251</formula>
      <formula>0.75</formula>
    </cfRule>
    <cfRule type="cellIs" dxfId="10399" priority="13910" stopIfTrue="1" operator="between">
      <formula>0</formula>
      <formula>0.375</formula>
    </cfRule>
  </conditionalFormatting>
  <conditionalFormatting sqref="AB194">
    <cfRule type="cellIs" dxfId="10398" priority="13901" operator="between">
      <formula>0.56251</formula>
      <formula>0.7125</formula>
    </cfRule>
    <cfRule type="cellIs" dxfId="10397" priority="13902" operator="between">
      <formula>0.3751</formula>
      <formula>0.5625</formula>
    </cfRule>
    <cfRule type="cellIs" dxfId="10396" priority="13903" operator="greaterThan">
      <formula>0.751</formula>
    </cfRule>
    <cfRule type="cellIs" dxfId="10395" priority="13904" operator="between">
      <formula>0.71251</formula>
      <formula>0.75</formula>
    </cfRule>
    <cfRule type="cellIs" dxfId="10394" priority="13905" stopIfTrue="1" operator="between">
      <formula>0</formula>
      <formula>0.375</formula>
    </cfRule>
  </conditionalFormatting>
  <conditionalFormatting sqref="AG130 AI130 S130 Z130">
    <cfRule type="cellIs" dxfId="10393" priority="13884" operator="between">
      <formula>0.76</formula>
      <formula>0.95</formula>
    </cfRule>
    <cfRule type="cellIs" dxfId="10392" priority="13885" operator="between">
      <formula>0.51</formula>
      <formula>0.75</formula>
    </cfRule>
    <cfRule type="cellIs" dxfId="10391" priority="13886" operator="greaterThan">
      <formula>1</formula>
    </cfRule>
    <cfRule type="cellIs" dxfId="10390" priority="13887" operator="between">
      <formula>0.95</formula>
      <formula>1</formula>
    </cfRule>
    <cfRule type="cellIs" dxfId="10389" priority="13888" stopIfTrue="1" operator="between">
      <formula>0</formula>
      <formula>0.5</formula>
    </cfRule>
  </conditionalFormatting>
  <conditionalFormatting sqref="R130">
    <cfRule type="cellIs" dxfId="10388" priority="13874" operator="between">
      <formula>0.76</formula>
      <formula>0.95</formula>
    </cfRule>
    <cfRule type="cellIs" dxfId="10387" priority="13875" operator="between">
      <formula>0.51</formula>
      <formula>0.75</formula>
    </cfRule>
    <cfRule type="cellIs" dxfId="10386" priority="13876" operator="greaterThan">
      <formula>1</formula>
    </cfRule>
    <cfRule type="cellIs" dxfId="10385" priority="13877" operator="between">
      <formula>0.95</formula>
      <formula>1</formula>
    </cfRule>
    <cfRule type="cellIs" dxfId="10384" priority="13878" stopIfTrue="1" operator="between">
      <formula>0</formula>
      <formula>0.5</formula>
    </cfRule>
  </conditionalFormatting>
  <conditionalFormatting sqref="Y130">
    <cfRule type="cellIs" dxfId="10383" priority="13869" operator="between">
      <formula>0.76</formula>
      <formula>0.95</formula>
    </cfRule>
    <cfRule type="cellIs" dxfId="10382" priority="13870" operator="between">
      <formula>0.51</formula>
      <formula>0.75</formula>
    </cfRule>
    <cfRule type="cellIs" dxfId="10381" priority="13871" operator="greaterThan">
      <formula>1</formula>
    </cfRule>
    <cfRule type="cellIs" dxfId="10380" priority="13872" operator="between">
      <formula>0.95</formula>
      <formula>1</formula>
    </cfRule>
    <cfRule type="cellIs" dxfId="10379" priority="13873" stopIfTrue="1" operator="between">
      <formula>0</formula>
      <formula>0.5</formula>
    </cfRule>
  </conditionalFormatting>
  <conditionalFormatting sqref="AF130">
    <cfRule type="cellIs" dxfId="10378" priority="13864" operator="between">
      <formula>0.76</formula>
      <formula>0.95</formula>
    </cfRule>
    <cfRule type="cellIs" dxfId="10377" priority="13865" operator="between">
      <formula>0.51</formula>
      <formula>0.75</formula>
    </cfRule>
    <cfRule type="cellIs" dxfId="10376" priority="13866" operator="greaterThan">
      <formula>1</formula>
    </cfRule>
    <cfRule type="cellIs" dxfId="10375" priority="13867" operator="between">
      <formula>0.95</formula>
      <formula>1</formula>
    </cfRule>
    <cfRule type="cellIs" dxfId="10374" priority="13868" stopIfTrue="1" operator="between">
      <formula>0</formula>
      <formula>0.5</formula>
    </cfRule>
  </conditionalFormatting>
  <conditionalFormatting sqref="AH130">
    <cfRule type="cellIs" dxfId="10373" priority="13859" operator="between">
      <formula>0.76</formula>
      <formula>0.95</formula>
    </cfRule>
    <cfRule type="cellIs" dxfId="10372" priority="13860" operator="between">
      <formula>0.51</formula>
      <formula>0.75</formula>
    </cfRule>
    <cfRule type="cellIs" dxfId="10371" priority="13861" operator="greaterThan">
      <formula>1</formula>
    </cfRule>
    <cfRule type="cellIs" dxfId="10370" priority="13862" operator="between">
      <formula>0.95</formula>
      <formula>1</formula>
    </cfRule>
    <cfRule type="cellIs" dxfId="10369" priority="13863" stopIfTrue="1" operator="between">
      <formula>0</formula>
      <formula>0.5</formula>
    </cfRule>
  </conditionalFormatting>
  <conditionalFormatting sqref="T130">
    <cfRule type="cellIs" dxfId="10368" priority="13844" operator="between">
      <formula>0.3751</formula>
      <formula>0.475</formula>
    </cfRule>
    <cfRule type="cellIs" dxfId="10367" priority="13845" operator="between">
      <formula>0.2551</formula>
      <formula>0.375</formula>
    </cfRule>
    <cfRule type="cellIs" dxfId="10366" priority="13846" operator="greaterThan">
      <formula>0.505</formula>
    </cfRule>
    <cfRule type="cellIs" dxfId="10365" priority="13847" operator="between">
      <formula>0.48</formula>
      <formula>0.5</formula>
    </cfRule>
    <cfRule type="cellIs" dxfId="10364" priority="13848" stopIfTrue="1" operator="between">
      <formula>0</formula>
      <formula>0.255</formula>
    </cfRule>
  </conditionalFormatting>
  <conditionalFormatting sqref="U130:V130">
    <cfRule type="cellIs" dxfId="10363" priority="13839" operator="between">
      <formula>0.376</formula>
      <formula>0.475</formula>
    </cfRule>
    <cfRule type="cellIs" dxfId="10362" priority="13840" operator="between">
      <formula>0.2551</formula>
      <formula>0.3751</formula>
    </cfRule>
    <cfRule type="cellIs" dxfId="10361" priority="13841" operator="greaterThan">
      <formula>0.505</formula>
    </cfRule>
    <cfRule type="cellIs" dxfId="10360" priority="13842" operator="between">
      <formula>0.48</formula>
      <formula>0.5</formula>
    </cfRule>
    <cfRule type="cellIs" dxfId="10359" priority="13843" stopIfTrue="1" operator="between">
      <formula>0</formula>
      <formula>0.255</formula>
    </cfRule>
  </conditionalFormatting>
  <conditionalFormatting sqref="AA130">
    <cfRule type="cellIs" dxfId="10358" priority="13834" operator="between">
      <formula>0.56251</formula>
      <formula>0.7125</formula>
    </cfRule>
    <cfRule type="cellIs" dxfId="10357" priority="13835" operator="between">
      <formula>0.3751</formula>
      <formula>0.5625</formula>
    </cfRule>
    <cfRule type="cellIs" dxfId="10356" priority="13836" operator="greaterThan">
      <formula>0.751</formula>
    </cfRule>
    <cfRule type="cellIs" dxfId="10355" priority="13837" operator="between">
      <formula>0.71251</formula>
      <formula>0.75</formula>
    </cfRule>
    <cfRule type="cellIs" dxfId="10354" priority="13838" stopIfTrue="1" operator="between">
      <formula>0</formula>
      <formula>0.375</formula>
    </cfRule>
  </conditionalFormatting>
  <conditionalFormatting sqref="AC130">
    <cfRule type="cellIs" dxfId="10353" priority="13829" operator="between">
      <formula>0.56251</formula>
      <formula>0.7125</formula>
    </cfRule>
    <cfRule type="cellIs" dxfId="10352" priority="13830" operator="between">
      <formula>0.3751</formula>
      <formula>0.5625</formula>
    </cfRule>
    <cfRule type="cellIs" dxfId="10351" priority="13831" operator="greaterThan">
      <formula>0.751</formula>
    </cfRule>
    <cfRule type="cellIs" dxfId="10350" priority="13832" operator="between">
      <formula>0.71251</formula>
      <formula>0.75</formula>
    </cfRule>
    <cfRule type="cellIs" dxfId="10349" priority="13833" stopIfTrue="1" operator="between">
      <formula>0</formula>
      <formula>0.375</formula>
    </cfRule>
  </conditionalFormatting>
  <conditionalFormatting sqref="AB130">
    <cfRule type="cellIs" dxfId="10348" priority="13824" operator="between">
      <formula>0.56251</formula>
      <formula>0.7125</formula>
    </cfRule>
    <cfRule type="cellIs" dxfId="10347" priority="13825" operator="between">
      <formula>0.3751</formula>
      <formula>0.5625</formula>
    </cfRule>
    <cfRule type="cellIs" dxfId="10346" priority="13826" operator="greaterThan">
      <formula>0.751</formula>
    </cfRule>
    <cfRule type="cellIs" dxfId="10345" priority="13827" operator="between">
      <formula>0.71251</formula>
      <formula>0.75</formula>
    </cfRule>
    <cfRule type="cellIs" dxfId="10344" priority="13828" stopIfTrue="1" operator="between">
      <formula>0</formula>
      <formula>0.375</formula>
    </cfRule>
  </conditionalFormatting>
  <conditionalFormatting sqref="Z131 S131 AI131 AG131 S133:S135 Z133:Z135 AG133:AG135 AI133:AI135">
    <cfRule type="cellIs" dxfId="10343" priority="13807" operator="between">
      <formula>0.76</formula>
      <formula>0.95</formula>
    </cfRule>
    <cfRule type="cellIs" dxfId="10342" priority="13808" operator="between">
      <formula>0.51</formula>
      <formula>0.75</formula>
    </cfRule>
    <cfRule type="cellIs" dxfId="10341" priority="13809" operator="greaterThan">
      <formula>1</formula>
    </cfRule>
    <cfRule type="cellIs" dxfId="10340" priority="13810" operator="between">
      <formula>0.95</formula>
      <formula>1</formula>
    </cfRule>
    <cfRule type="cellIs" dxfId="10339" priority="13811" stopIfTrue="1" operator="between">
      <formula>0</formula>
      <formula>0.5</formula>
    </cfRule>
  </conditionalFormatting>
  <conditionalFormatting sqref="R131 R133:R135">
    <cfRule type="cellIs" dxfId="10338" priority="13797" operator="between">
      <formula>0.76</formula>
      <formula>0.95</formula>
    </cfRule>
    <cfRule type="cellIs" dxfId="10337" priority="13798" operator="between">
      <formula>0.51</formula>
      <formula>0.75</formula>
    </cfRule>
    <cfRule type="cellIs" dxfId="10336" priority="13799" operator="greaterThan">
      <formula>1</formula>
    </cfRule>
    <cfRule type="cellIs" dxfId="10335" priority="13800" operator="between">
      <formula>0.95</formula>
      <formula>1</formula>
    </cfRule>
    <cfRule type="cellIs" dxfId="10334" priority="13801" stopIfTrue="1" operator="between">
      <formula>0</formula>
      <formula>0.5</formula>
    </cfRule>
  </conditionalFormatting>
  <conditionalFormatting sqref="Y131 Y133:Y135">
    <cfRule type="cellIs" dxfId="10333" priority="13792" operator="between">
      <formula>0.76</formula>
      <formula>0.95</formula>
    </cfRule>
    <cfRule type="cellIs" dxfId="10332" priority="13793" operator="between">
      <formula>0.51</formula>
      <formula>0.75</formula>
    </cfRule>
    <cfRule type="cellIs" dxfId="10331" priority="13794" operator="greaterThan">
      <formula>1</formula>
    </cfRule>
    <cfRule type="cellIs" dxfId="10330" priority="13795" operator="between">
      <formula>0.95</formula>
      <formula>1</formula>
    </cfRule>
    <cfRule type="cellIs" dxfId="10329" priority="13796" stopIfTrue="1" operator="between">
      <formula>0</formula>
      <formula>0.5</formula>
    </cfRule>
  </conditionalFormatting>
  <conditionalFormatting sqref="AF131 AF133:AF135">
    <cfRule type="cellIs" dxfId="10328" priority="13787" operator="between">
      <formula>0.76</formula>
      <formula>0.95</formula>
    </cfRule>
    <cfRule type="cellIs" dxfId="10327" priority="13788" operator="between">
      <formula>0.51</formula>
      <formula>0.75</formula>
    </cfRule>
    <cfRule type="cellIs" dxfId="10326" priority="13789" operator="greaterThan">
      <formula>1</formula>
    </cfRule>
    <cfRule type="cellIs" dxfId="10325" priority="13790" operator="between">
      <formula>0.95</formula>
      <formula>1</formula>
    </cfRule>
    <cfRule type="cellIs" dxfId="10324" priority="13791" stopIfTrue="1" operator="between">
      <formula>0</formula>
      <formula>0.5</formula>
    </cfRule>
  </conditionalFormatting>
  <conditionalFormatting sqref="AH131 AH133:AH135">
    <cfRule type="cellIs" dxfId="10323" priority="13782" operator="between">
      <formula>0.76</formula>
      <formula>0.95</formula>
    </cfRule>
    <cfRule type="cellIs" dxfId="10322" priority="13783" operator="between">
      <formula>0.51</formula>
      <formula>0.75</formula>
    </cfRule>
    <cfRule type="cellIs" dxfId="10321" priority="13784" operator="greaterThan">
      <formula>1</formula>
    </cfRule>
    <cfRule type="cellIs" dxfId="10320" priority="13785" operator="between">
      <formula>0.95</formula>
      <formula>1</formula>
    </cfRule>
    <cfRule type="cellIs" dxfId="10319" priority="13786" stopIfTrue="1" operator="between">
      <formula>0</formula>
      <formula>0.5</formula>
    </cfRule>
  </conditionalFormatting>
  <conditionalFormatting sqref="T131 T133:T135">
    <cfRule type="cellIs" dxfId="10318" priority="13767" operator="between">
      <formula>0.3751</formula>
      <formula>0.475</formula>
    </cfRule>
    <cfRule type="cellIs" dxfId="10317" priority="13768" operator="between">
      <formula>0.2551</formula>
      <formula>0.375</formula>
    </cfRule>
    <cfRule type="cellIs" dxfId="10316" priority="13769" operator="greaterThan">
      <formula>0.505</formula>
    </cfRule>
    <cfRule type="cellIs" dxfId="10315" priority="13770" operator="between">
      <formula>0.48</formula>
      <formula>0.5</formula>
    </cfRule>
    <cfRule type="cellIs" dxfId="10314" priority="13771" stopIfTrue="1" operator="between">
      <formula>0</formula>
      <formula>0.255</formula>
    </cfRule>
  </conditionalFormatting>
  <conditionalFormatting sqref="U131:V131 U133:V135">
    <cfRule type="cellIs" dxfId="10313" priority="13762" operator="between">
      <formula>0.376</formula>
      <formula>0.475</formula>
    </cfRule>
    <cfRule type="cellIs" dxfId="10312" priority="13763" operator="between">
      <formula>0.2551</formula>
      <formula>0.3751</formula>
    </cfRule>
    <cfRule type="cellIs" dxfId="10311" priority="13764" operator="greaterThan">
      <formula>0.505</formula>
    </cfRule>
    <cfRule type="cellIs" dxfId="10310" priority="13765" operator="between">
      <formula>0.48</formula>
      <formula>0.5</formula>
    </cfRule>
    <cfRule type="cellIs" dxfId="10309" priority="13766" stopIfTrue="1" operator="between">
      <formula>0</formula>
      <formula>0.255</formula>
    </cfRule>
  </conditionalFormatting>
  <conditionalFormatting sqref="AA131 AA133:AA135">
    <cfRule type="cellIs" dxfId="10308" priority="13757" operator="between">
      <formula>0.56251</formula>
      <formula>0.7125</formula>
    </cfRule>
    <cfRule type="cellIs" dxfId="10307" priority="13758" operator="between">
      <formula>0.3751</formula>
      <formula>0.5625</formula>
    </cfRule>
    <cfRule type="cellIs" dxfId="10306" priority="13759" operator="greaterThan">
      <formula>0.751</formula>
    </cfRule>
    <cfRule type="cellIs" dxfId="10305" priority="13760" operator="between">
      <formula>0.71251</formula>
      <formula>0.75</formula>
    </cfRule>
    <cfRule type="cellIs" dxfId="10304" priority="13761" stopIfTrue="1" operator="between">
      <formula>0</formula>
      <formula>0.375</formula>
    </cfRule>
  </conditionalFormatting>
  <conditionalFormatting sqref="AC131 AC133:AC135">
    <cfRule type="cellIs" dxfId="10303" priority="13752" operator="between">
      <formula>0.56251</formula>
      <formula>0.7125</formula>
    </cfRule>
    <cfRule type="cellIs" dxfId="10302" priority="13753" operator="between">
      <formula>0.3751</formula>
      <formula>0.5625</formula>
    </cfRule>
    <cfRule type="cellIs" dxfId="10301" priority="13754" operator="greaterThan">
      <formula>0.751</formula>
    </cfRule>
    <cfRule type="cellIs" dxfId="10300" priority="13755" operator="between">
      <formula>0.71251</formula>
      <formula>0.75</formula>
    </cfRule>
    <cfRule type="cellIs" dxfId="10299" priority="13756" stopIfTrue="1" operator="between">
      <formula>0</formula>
      <formula>0.375</formula>
    </cfRule>
  </conditionalFormatting>
  <conditionalFormatting sqref="AB131 AB133:AB135">
    <cfRule type="cellIs" dxfId="10298" priority="13747" operator="between">
      <formula>0.56251</formula>
      <formula>0.7125</formula>
    </cfRule>
    <cfRule type="cellIs" dxfId="10297" priority="13748" operator="between">
      <formula>0.3751</formula>
      <formula>0.5625</formula>
    </cfRule>
    <cfRule type="cellIs" dxfId="10296" priority="13749" operator="greaterThan">
      <formula>0.751</formula>
    </cfRule>
    <cfRule type="cellIs" dxfId="10295" priority="13750" operator="between">
      <formula>0.71251</formula>
      <formula>0.75</formula>
    </cfRule>
    <cfRule type="cellIs" dxfId="10294" priority="13751" stopIfTrue="1" operator="between">
      <formula>0</formula>
      <formula>0.375</formula>
    </cfRule>
  </conditionalFormatting>
  <conditionalFormatting sqref="AG18 AI18 Z18">
    <cfRule type="cellIs" dxfId="10293" priority="13730" operator="between">
      <formula>0.76</formula>
      <formula>0.95</formula>
    </cfRule>
    <cfRule type="cellIs" dxfId="10292" priority="13731" operator="between">
      <formula>0.51</formula>
      <formula>0.75</formula>
    </cfRule>
    <cfRule type="cellIs" dxfId="10291" priority="13732" operator="greaterThan">
      <formula>1</formula>
    </cfRule>
    <cfRule type="cellIs" dxfId="10290" priority="13733" operator="between">
      <formula>0.95</formula>
      <formula>1</formula>
    </cfRule>
    <cfRule type="cellIs" dxfId="10289" priority="13734" stopIfTrue="1" operator="between">
      <formula>0</formula>
      <formula>0.5</formula>
    </cfRule>
  </conditionalFormatting>
  <conditionalFormatting sqref="R18:S18">
    <cfRule type="cellIs" dxfId="10288" priority="13725" operator="between">
      <formula>0.76</formula>
      <formula>0.95</formula>
    </cfRule>
    <cfRule type="cellIs" dxfId="10287" priority="13726" operator="between">
      <formula>0.51</formula>
      <formula>0.75</formula>
    </cfRule>
    <cfRule type="cellIs" dxfId="10286" priority="13727" operator="greaterThan">
      <formula>1</formula>
    </cfRule>
    <cfRule type="cellIs" dxfId="10285" priority="13728" operator="between">
      <formula>0.95</formula>
      <formula>1</formula>
    </cfRule>
    <cfRule type="cellIs" dxfId="10284" priority="13729" stopIfTrue="1" operator="between">
      <formula>0</formula>
      <formula>0.5</formula>
    </cfRule>
  </conditionalFormatting>
  <conditionalFormatting sqref="Y18">
    <cfRule type="cellIs" dxfId="10283" priority="13720" operator="between">
      <formula>0.76</formula>
      <formula>0.95</formula>
    </cfRule>
    <cfRule type="cellIs" dxfId="10282" priority="13721" operator="between">
      <formula>0.51</formula>
      <formula>0.75</formula>
    </cfRule>
    <cfRule type="cellIs" dxfId="10281" priority="13722" operator="greaterThan">
      <formula>1</formula>
    </cfRule>
    <cfRule type="cellIs" dxfId="10280" priority="13723" operator="between">
      <formula>0.95</formula>
      <formula>1</formula>
    </cfRule>
    <cfRule type="cellIs" dxfId="10279" priority="13724" stopIfTrue="1" operator="between">
      <formula>0</formula>
      <formula>0.5</formula>
    </cfRule>
  </conditionalFormatting>
  <conditionalFormatting sqref="AF18">
    <cfRule type="cellIs" dxfId="10278" priority="13715" operator="between">
      <formula>0.76</formula>
      <formula>0.95</formula>
    </cfRule>
    <cfRule type="cellIs" dxfId="10277" priority="13716" operator="between">
      <formula>0.51</formula>
      <formula>0.75</formula>
    </cfRule>
    <cfRule type="cellIs" dxfId="10276" priority="13717" operator="greaterThan">
      <formula>1</formula>
    </cfRule>
    <cfRule type="cellIs" dxfId="10275" priority="13718" operator="between">
      <formula>0.95</formula>
      <formula>1</formula>
    </cfRule>
    <cfRule type="cellIs" dxfId="10274" priority="13719" stopIfTrue="1" operator="between">
      <formula>0</formula>
      <formula>0.5</formula>
    </cfRule>
  </conditionalFormatting>
  <conditionalFormatting sqref="T18">
    <cfRule type="cellIs" dxfId="10273" priority="13710" operator="between">
      <formula>0.3751</formula>
      <formula>0.475</formula>
    </cfRule>
    <cfRule type="cellIs" dxfId="10272" priority="13711" operator="between">
      <formula>0.2551</formula>
      <formula>0.375</formula>
    </cfRule>
    <cfRule type="cellIs" dxfId="10271" priority="13712" operator="greaterThan">
      <formula>0.505</formula>
    </cfRule>
    <cfRule type="cellIs" dxfId="10270" priority="13713" operator="between">
      <formula>0.48</formula>
      <formula>0.5</formula>
    </cfRule>
    <cfRule type="cellIs" dxfId="10269" priority="13714" stopIfTrue="1" operator="between">
      <formula>0</formula>
      <formula>0.255</formula>
    </cfRule>
  </conditionalFormatting>
  <conditionalFormatting sqref="AA18:AC18">
    <cfRule type="cellIs" dxfId="10268" priority="13705" operator="between">
      <formula>0.56251</formula>
      <formula>0.7125</formula>
    </cfRule>
    <cfRule type="cellIs" dxfId="10267" priority="13706" operator="between">
      <formula>0.3751</formula>
      <formula>0.5625</formula>
    </cfRule>
    <cfRule type="cellIs" dxfId="10266" priority="13707" operator="greaterThan">
      <formula>0.751</formula>
    </cfRule>
    <cfRule type="cellIs" dxfId="10265" priority="13708" operator="between">
      <formula>0.71251</formula>
      <formula>0.75</formula>
    </cfRule>
    <cfRule type="cellIs" dxfId="10264" priority="13709" stopIfTrue="1" operator="between">
      <formula>0</formula>
      <formula>0.375</formula>
    </cfRule>
  </conditionalFormatting>
  <conditionalFormatting sqref="AH18">
    <cfRule type="cellIs" dxfId="10263" priority="13700" operator="between">
      <formula>0.76</formula>
      <formula>0.95</formula>
    </cfRule>
    <cfRule type="cellIs" dxfId="10262" priority="13701" operator="between">
      <formula>0.51</formula>
      <formula>0.75</formula>
    </cfRule>
    <cfRule type="cellIs" dxfId="10261" priority="13702" operator="greaterThan">
      <formula>1</formula>
    </cfRule>
    <cfRule type="cellIs" dxfId="10260" priority="13703" operator="between">
      <formula>0.95</formula>
      <formula>1</formula>
    </cfRule>
    <cfRule type="cellIs" dxfId="10259" priority="13704" stopIfTrue="1" operator="between">
      <formula>0</formula>
      <formula>0.5</formula>
    </cfRule>
  </conditionalFormatting>
  <conditionalFormatting sqref="U18:V18">
    <cfRule type="cellIs" dxfId="10258" priority="13690" operator="between">
      <formula>0.376</formula>
      <formula>0.475</formula>
    </cfRule>
    <cfRule type="cellIs" dxfId="10257" priority="13691" operator="between">
      <formula>0.2551</formula>
      <formula>0.3751</formula>
    </cfRule>
    <cfRule type="cellIs" dxfId="10256" priority="13692" operator="greaterThan">
      <formula>0.505</formula>
    </cfRule>
    <cfRule type="cellIs" dxfId="10255" priority="13693" operator="between">
      <formula>0.48</formula>
      <formula>0.5</formula>
    </cfRule>
    <cfRule type="cellIs" dxfId="10254" priority="13694" stopIfTrue="1" operator="between">
      <formula>0</formula>
      <formula>0.255</formula>
    </cfRule>
  </conditionalFormatting>
  <conditionalFormatting sqref="AG22 AI22 Z22">
    <cfRule type="cellIs" dxfId="10253" priority="13658" operator="between">
      <formula>0.76</formula>
      <formula>0.95</formula>
    </cfRule>
    <cfRule type="cellIs" dxfId="10252" priority="13659" operator="between">
      <formula>0.51</formula>
      <formula>0.75</formula>
    </cfRule>
    <cfRule type="cellIs" dxfId="10251" priority="13660" operator="greaterThan">
      <formula>1</formula>
    </cfRule>
    <cfRule type="cellIs" dxfId="10250" priority="13661" operator="between">
      <formula>0.95</formula>
      <formula>1</formula>
    </cfRule>
    <cfRule type="cellIs" dxfId="10249" priority="13662" stopIfTrue="1" operator="between">
      <formula>0</formula>
      <formula>0.5</formula>
    </cfRule>
  </conditionalFormatting>
  <conditionalFormatting sqref="R22:S22">
    <cfRule type="cellIs" dxfId="10248" priority="13653" operator="between">
      <formula>0.76</formula>
      <formula>0.95</formula>
    </cfRule>
    <cfRule type="cellIs" dxfId="10247" priority="13654" operator="between">
      <formula>0.51</formula>
      <formula>0.75</formula>
    </cfRule>
    <cfRule type="cellIs" dxfId="10246" priority="13655" operator="greaterThan">
      <formula>1</formula>
    </cfRule>
    <cfRule type="cellIs" dxfId="10245" priority="13656" operator="between">
      <formula>0.95</formula>
      <formula>1</formula>
    </cfRule>
    <cfRule type="cellIs" dxfId="10244" priority="13657" stopIfTrue="1" operator="between">
      <formula>0</formula>
      <formula>0.5</formula>
    </cfRule>
  </conditionalFormatting>
  <conditionalFormatting sqref="Y22">
    <cfRule type="cellIs" dxfId="10243" priority="13648" operator="between">
      <formula>0.76</formula>
      <formula>0.95</formula>
    </cfRule>
    <cfRule type="cellIs" dxfId="10242" priority="13649" operator="between">
      <formula>0.51</formula>
      <formula>0.75</formula>
    </cfRule>
    <cfRule type="cellIs" dxfId="10241" priority="13650" operator="greaterThan">
      <formula>1</formula>
    </cfRule>
    <cfRule type="cellIs" dxfId="10240" priority="13651" operator="between">
      <formula>0.95</formula>
      <formula>1</formula>
    </cfRule>
    <cfRule type="cellIs" dxfId="10239" priority="13652" stopIfTrue="1" operator="between">
      <formula>0</formula>
      <formula>0.5</formula>
    </cfRule>
  </conditionalFormatting>
  <conditionalFormatting sqref="AF22">
    <cfRule type="cellIs" dxfId="10238" priority="13643" operator="between">
      <formula>0.76</formula>
      <formula>0.95</formula>
    </cfRule>
    <cfRule type="cellIs" dxfId="10237" priority="13644" operator="between">
      <formula>0.51</formula>
      <formula>0.75</formula>
    </cfRule>
    <cfRule type="cellIs" dxfId="10236" priority="13645" operator="greaterThan">
      <formula>1</formula>
    </cfRule>
    <cfRule type="cellIs" dxfId="10235" priority="13646" operator="between">
      <formula>0.95</formula>
      <formula>1</formula>
    </cfRule>
    <cfRule type="cellIs" dxfId="10234" priority="13647" stopIfTrue="1" operator="between">
      <formula>0</formula>
      <formula>0.5</formula>
    </cfRule>
  </conditionalFormatting>
  <conditionalFormatting sqref="T22">
    <cfRule type="cellIs" dxfId="10233" priority="13638" operator="between">
      <formula>0.3751</formula>
      <formula>0.475</formula>
    </cfRule>
    <cfRule type="cellIs" dxfId="10232" priority="13639" operator="between">
      <formula>0.2551</formula>
      <formula>0.375</formula>
    </cfRule>
    <cfRule type="cellIs" dxfId="10231" priority="13640" operator="greaterThan">
      <formula>0.505</formula>
    </cfRule>
    <cfRule type="cellIs" dxfId="10230" priority="13641" operator="between">
      <formula>0.48</formula>
      <formula>0.5</formula>
    </cfRule>
    <cfRule type="cellIs" dxfId="10229" priority="13642" stopIfTrue="1" operator="between">
      <formula>0</formula>
      <formula>0.255</formula>
    </cfRule>
  </conditionalFormatting>
  <conditionalFormatting sqref="AA22:AC22">
    <cfRule type="cellIs" dxfId="10228" priority="13633" operator="between">
      <formula>0.56251</formula>
      <formula>0.7125</formula>
    </cfRule>
    <cfRule type="cellIs" dxfId="10227" priority="13634" operator="between">
      <formula>0.3751</formula>
      <formula>0.5625</formula>
    </cfRule>
    <cfRule type="cellIs" dxfId="10226" priority="13635" operator="greaterThan">
      <formula>0.751</formula>
    </cfRule>
    <cfRule type="cellIs" dxfId="10225" priority="13636" operator="between">
      <formula>0.71251</formula>
      <formula>0.75</formula>
    </cfRule>
    <cfRule type="cellIs" dxfId="10224" priority="13637" stopIfTrue="1" operator="between">
      <formula>0</formula>
      <formula>0.375</formula>
    </cfRule>
  </conditionalFormatting>
  <conditionalFormatting sqref="AH22">
    <cfRule type="cellIs" dxfId="10223" priority="13628" operator="between">
      <formula>0.76</formula>
      <formula>0.95</formula>
    </cfRule>
    <cfRule type="cellIs" dxfId="10222" priority="13629" operator="between">
      <formula>0.51</formula>
      <formula>0.75</formula>
    </cfRule>
    <cfRule type="cellIs" dxfId="10221" priority="13630" operator="greaterThan">
      <formula>1</formula>
    </cfRule>
    <cfRule type="cellIs" dxfId="10220" priority="13631" operator="between">
      <formula>0.95</formula>
      <formula>1</formula>
    </cfRule>
    <cfRule type="cellIs" dxfId="10219" priority="13632" stopIfTrue="1" operator="between">
      <formula>0</formula>
      <formula>0.5</formula>
    </cfRule>
  </conditionalFormatting>
  <conditionalFormatting sqref="U22:V22">
    <cfRule type="cellIs" dxfId="10218" priority="13618" operator="between">
      <formula>0.376</formula>
      <formula>0.475</formula>
    </cfRule>
    <cfRule type="cellIs" dxfId="10217" priority="13619" operator="between">
      <formula>0.2551</formula>
      <formula>0.3751</formula>
    </cfRule>
    <cfRule type="cellIs" dxfId="10216" priority="13620" operator="greaterThan">
      <formula>0.505</formula>
    </cfRule>
    <cfRule type="cellIs" dxfId="10215" priority="13621" operator="between">
      <formula>0.48</formula>
      <formula>0.5</formula>
    </cfRule>
    <cfRule type="cellIs" dxfId="10214" priority="13622" stopIfTrue="1" operator="between">
      <formula>0</formula>
      <formula>0.255</formula>
    </cfRule>
  </conditionalFormatting>
  <conditionalFormatting sqref="AG136:AG137 AI136:AI137 S136:S137 Z136:Z137 S139 Z139 AG139 AI139">
    <cfRule type="cellIs" dxfId="10213" priority="13586" operator="between">
      <formula>0.76</formula>
      <formula>0.95</formula>
    </cfRule>
    <cfRule type="cellIs" dxfId="10212" priority="13587" operator="between">
      <formula>0.51</formula>
      <formula>0.75</formula>
    </cfRule>
    <cfRule type="cellIs" dxfId="10211" priority="13588" operator="greaterThan">
      <formula>1</formula>
    </cfRule>
    <cfRule type="cellIs" dxfId="10210" priority="13589" operator="between">
      <formula>0.95</formula>
      <formula>1</formula>
    </cfRule>
    <cfRule type="cellIs" dxfId="10209" priority="13590" stopIfTrue="1" operator="between">
      <formula>0</formula>
      <formula>0.5</formula>
    </cfRule>
  </conditionalFormatting>
  <conditionalFormatting sqref="R136:R137 R139">
    <cfRule type="cellIs" dxfId="10208" priority="13576" operator="between">
      <formula>0.76</formula>
      <formula>0.95</formula>
    </cfRule>
    <cfRule type="cellIs" dxfId="10207" priority="13577" operator="between">
      <formula>0.51</formula>
      <formula>0.75</formula>
    </cfRule>
    <cfRule type="cellIs" dxfId="10206" priority="13578" operator="greaterThan">
      <formula>1</formula>
    </cfRule>
    <cfRule type="cellIs" dxfId="10205" priority="13579" operator="between">
      <formula>0.95</formula>
      <formula>1</formula>
    </cfRule>
    <cfRule type="cellIs" dxfId="10204" priority="13580" stopIfTrue="1" operator="between">
      <formula>0</formula>
      <formula>0.5</formula>
    </cfRule>
  </conditionalFormatting>
  <conditionalFormatting sqref="Y136:Y137 Y139">
    <cfRule type="cellIs" dxfId="10203" priority="13571" operator="between">
      <formula>0.76</formula>
      <formula>0.95</formula>
    </cfRule>
    <cfRule type="cellIs" dxfId="10202" priority="13572" operator="between">
      <formula>0.51</formula>
      <formula>0.75</formula>
    </cfRule>
    <cfRule type="cellIs" dxfId="10201" priority="13573" operator="greaterThan">
      <formula>1</formula>
    </cfRule>
    <cfRule type="cellIs" dxfId="10200" priority="13574" operator="between">
      <formula>0.95</formula>
      <formula>1</formula>
    </cfRule>
    <cfRule type="cellIs" dxfId="10199" priority="13575" stopIfTrue="1" operator="between">
      <formula>0</formula>
      <formula>0.5</formula>
    </cfRule>
  </conditionalFormatting>
  <conditionalFormatting sqref="AF136:AF137 AF139">
    <cfRule type="cellIs" dxfId="10198" priority="13566" operator="between">
      <formula>0.76</formula>
      <formula>0.95</formula>
    </cfRule>
    <cfRule type="cellIs" dxfId="10197" priority="13567" operator="between">
      <formula>0.51</formula>
      <formula>0.75</formula>
    </cfRule>
    <cfRule type="cellIs" dxfId="10196" priority="13568" operator="greaterThan">
      <formula>1</formula>
    </cfRule>
    <cfRule type="cellIs" dxfId="10195" priority="13569" operator="between">
      <formula>0.95</formula>
      <formula>1</formula>
    </cfRule>
    <cfRule type="cellIs" dxfId="10194" priority="13570" stopIfTrue="1" operator="between">
      <formula>0</formula>
      <formula>0.5</formula>
    </cfRule>
  </conditionalFormatting>
  <conditionalFormatting sqref="AH136:AH137 AH139">
    <cfRule type="cellIs" dxfId="10193" priority="13561" operator="between">
      <formula>0.76</formula>
      <formula>0.95</formula>
    </cfRule>
    <cfRule type="cellIs" dxfId="10192" priority="13562" operator="between">
      <formula>0.51</formula>
      <formula>0.75</formula>
    </cfRule>
    <cfRule type="cellIs" dxfId="10191" priority="13563" operator="greaterThan">
      <formula>1</formula>
    </cfRule>
    <cfRule type="cellIs" dxfId="10190" priority="13564" operator="between">
      <formula>0.95</formula>
      <formula>1</formula>
    </cfRule>
    <cfRule type="cellIs" dxfId="10189" priority="13565" stopIfTrue="1" operator="between">
      <formula>0</formula>
      <formula>0.5</formula>
    </cfRule>
  </conditionalFormatting>
  <conditionalFormatting sqref="T136:T137 T139">
    <cfRule type="cellIs" dxfId="10188" priority="13546" operator="between">
      <formula>0.3751</formula>
      <formula>0.475</formula>
    </cfRule>
    <cfRule type="cellIs" dxfId="10187" priority="13547" operator="between">
      <formula>0.2551</formula>
      <formula>0.375</formula>
    </cfRule>
    <cfRule type="cellIs" dxfId="10186" priority="13548" operator="greaterThan">
      <formula>0.505</formula>
    </cfRule>
    <cfRule type="cellIs" dxfId="10185" priority="13549" operator="between">
      <formula>0.48</formula>
      <formula>0.5</formula>
    </cfRule>
    <cfRule type="cellIs" dxfId="10184" priority="13550" stopIfTrue="1" operator="between">
      <formula>0</formula>
      <formula>0.255</formula>
    </cfRule>
  </conditionalFormatting>
  <conditionalFormatting sqref="U136:V137 U139:V139">
    <cfRule type="cellIs" dxfId="10183" priority="13541" operator="between">
      <formula>0.376</formula>
      <formula>0.475</formula>
    </cfRule>
    <cfRule type="cellIs" dxfId="10182" priority="13542" operator="between">
      <formula>0.2551</formula>
      <formula>0.3751</formula>
    </cfRule>
    <cfRule type="cellIs" dxfId="10181" priority="13543" operator="greaterThan">
      <formula>0.505</formula>
    </cfRule>
    <cfRule type="cellIs" dxfId="10180" priority="13544" operator="between">
      <formula>0.48</formula>
      <formula>0.5</formula>
    </cfRule>
    <cfRule type="cellIs" dxfId="10179" priority="13545" stopIfTrue="1" operator="between">
      <formula>0</formula>
      <formula>0.255</formula>
    </cfRule>
  </conditionalFormatting>
  <conditionalFormatting sqref="AA136:AA137 AA139">
    <cfRule type="cellIs" dxfId="10178" priority="13536" operator="between">
      <formula>0.56251</formula>
      <formula>0.7125</formula>
    </cfRule>
    <cfRule type="cellIs" dxfId="10177" priority="13537" operator="between">
      <formula>0.3751</formula>
      <formula>0.5625</formula>
    </cfRule>
    <cfRule type="cellIs" dxfId="10176" priority="13538" operator="greaterThan">
      <formula>0.751</formula>
    </cfRule>
    <cfRule type="cellIs" dxfId="10175" priority="13539" operator="between">
      <formula>0.71251</formula>
      <formula>0.75</formula>
    </cfRule>
    <cfRule type="cellIs" dxfId="10174" priority="13540" stopIfTrue="1" operator="between">
      <formula>0</formula>
      <formula>0.375</formula>
    </cfRule>
  </conditionalFormatting>
  <conditionalFormatting sqref="AC136:AC137 AC139">
    <cfRule type="cellIs" dxfId="10173" priority="13531" operator="between">
      <formula>0.56251</formula>
      <formula>0.7125</formula>
    </cfRule>
    <cfRule type="cellIs" dxfId="10172" priority="13532" operator="between">
      <formula>0.3751</formula>
      <formula>0.5625</formula>
    </cfRule>
    <cfRule type="cellIs" dxfId="10171" priority="13533" operator="greaterThan">
      <formula>0.751</formula>
    </cfRule>
    <cfRule type="cellIs" dxfId="10170" priority="13534" operator="between">
      <formula>0.71251</formula>
      <formula>0.75</formula>
    </cfRule>
    <cfRule type="cellIs" dxfId="10169" priority="13535" stopIfTrue="1" operator="between">
      <formula>0</formula>
      <formula>0.375</formula>
    </cfRule>
  </conditionalFormatting>
  <conditionalFormatting sqref="AB136:AB137 AB139">
    <cfRule type="cellIs" dxfId="10168" priority="13526" operator="between">
      <formula>0.56251</formula>
      <formula>0.7125</formula>
    </cfRule>
    <cfRule type="cellIs" dxfId="10167" priority="13527" operator="between">
      <formula>0.3751</formula>
      <formula>0.5625</formula>
    </cfRule>
    <cfRule type="cellIs" dxfId="10166" priority="13528" operator="greaterThan">
      <formula>0.751</formula>
    </cfRule>
    <cfRule type="cellIs" dxfId="10165" priority="13529" operator="between">
      <formula>0.71251</formula>
      <formula>0.75</formula>
    </cfRule>
    <cfRule type="cellIs" dxfId="10164" priority="13530" stopIfTrue="1" operator="between">
      <formula>0</formula>
      <formula>0.375</formula>
    </cfRule>
  </conditionalFormatting>
  <conditionalFormatting sqref="S195">
    <cfRule type="cellIs" dxfId="10163" priority="13499" operator="between">
      <formula>0.76</formula>
      <formula>0.95</formula>
    </cfRule>
    <cfRule type="cellIs" dxfId="10162" priority="13500" operator="between">
      <formula>0.51</formula>
      <formula>0.75</formula>
    </cfRule>
    <cfRule type="cellIs" dxfId="10161" priority="13501" operator="greaterThan">
      <formula>1</formula>
    </cfRule>
    <cfRule type="cellIs" dxfId="10160" priority="13502" operator="between">
      <formula>0.95</formula>
      <formula>1</formula>
    </cfRule>
    <cfRule type="cellIs" dxfId="10159" priority="13503" stopIfTrue="1" operator="between">
      <formula>0</formula>
      <formula>0.5</formula>
    </cfRule>
  </conditionalFormatting>
  <conditionalFormatting sqref="R195">
    <cfRule type="cellIs" dxfId="10158" priority="13494" operator="between">
      <formula>0.76</formula>
      <formula>0.95</formula>
    </cfRule>
    <cfRule type="cellIs" dxfId="10157" priority="13495" operator="between">
      <formula>0.51</formula>
      <formula>0.75</formula>
    </cfRule>
    <cfRule type="cellIs" dxfId="10156" priority="13496" operator="greaterThan">
      <formula>1</formula>
    </cfRule>
    <cfRule type="cellIs" dxfId="10155" priority="13497" operator="between">
      <formula>0.95</formula>
      <formula>1</formula>
    </cfRule>
    <cfRule type="cellIs" dxfId="10154" priority="13498" stopIfTrue="1" operator="between">
      <formula>0</formula>
      <formula>0.5</formula>
    </cfRule>
  </conditionalFormatting>
  <conditionalFormatting sqref="Y195">
    <cfRule type="cellIs" dxfId="10153" priority="13489" operator="between">
      <formula>0.76</formula>
      <formula>0.95</formula>
    </cfRule>
    <cfRule type="cellIs" dxfId="10152" priority="13490" operator="between">
      <formula>0.51</formula>
      <formula>0.75</formula>
    </cfRule>
    <cfRule type="cellIs" dxfId="10151" priority="13491" operator="greaterThan">
      <formula>1</formula>
    </cfRule>
    <cfRule type="cellIs" dxfId="10150" priority="13492" operator="between">
      <formula>0.95</formula>
      <formula>1</formula>
    </cfRule>
    <cfRule type="cellIs" dxfId="10149" priority="13493" stopIfTrue="1" operator="between">
      <formula>0</formula>
      <formula>0.5</formula>
    </cfRule>
  </conditionalFormatting>
  <conditionalFormatting sqref="AF195">
    <cfRule type="cellIs" dxfId="10148" priority="13484" operator="between">
      <formula>0.76</formula>
      <formula>0.95</formula>
    </cfRule>
    <cfRule type="cellIs" dxfId="10147" priority="13485" operator="between">
      <formula>0.51</formula>
      <formula>0.75</formula>
    </cfRule>
    <cfRule type="cellIs" dxfId="10146" priority="13486" operator="greaterThan">
      <formula>1</formula>
    </cfRule>
    <cfRule type="cellIs" dxfId="10145" priority="13487" operator="between">
      <formula>0.95</formula>
      <formula>1</formula>
    </cfRule>
    <cfRule type="cellIs" dxfId="10144" priority="13488" stopIfTrue="1" operator="between">
      <formula>0</formula>
      <formula>0.5</formula>
    </cfRule>
  </conditionalFormatting>
  <conditionalFormatting sqref="AH195">
    <cfRule type="cellIs" dxfId="10143" priority="13479" operator="between">
      <formula>0.76</formula>
      <formula>0.95</formula>
    </cfRule>
    <cfRule type="cellIs" dxfId="10142" priority="13480" operator="between">
      <formula>0.51</formula>
      <formula>0.75</formula>
    </cfRule>
    <cfRule type="cellIs" dxfId="10141" priority="13481" operator="greaterThan">
      <formula>1</formula>
    </cfRule>
    <cfRule type="cellIs" dxfId="10140" priority="13482" operator="between">
      <formula>0.95</formula>
      <formula>1</formula>
    </cfRule>
    <cfRule type="cellIs" dxfId="10139" priority="13483" stopIfTrue="1" operator="between">
      <formula>0</formula>
      <formula>0.5</formula>
    </cfRule>
  </conditionalFormatting>
  <conditionalFormatting sqref="T195">
    <cfRule type="cellIs" dxfId="10138" priority="13464" operator="between">
      <formula>0.3751</formula>
      <formula>0.475</formula>
    </cfRule>
    <cfRule type="cellIs" dxfId="10137" priority="13465" operator="between">
      <formula>0.2551</formula>
      <formula>0.375</formula>
    </cfRule>
    <cfRule type="cellIs" dxfId="10136" priority="13466" operator="greaterThan">
      <formula>0.505</formula>
    </cfRule>
    <cfRule type="cellIs" dxfId="10135" priority="13467" operator="between">
      <formula>0.48</formula>
      <formula>0.5</formula>
    </cfRule>
    <cfRule type="cellIs" dxfId="10134" priority="13468" stopIfTrue="1" operator="between">
      <formula>0</formula>
      <formula>0.255</formula>
    </cfRule>
  </conditionalFormatting>
  <conditionalFormatting sqref="U195:V195">
    <cfRule type="cellIs" dxfId="10133" priority="13459" operator="between">
      <formula>0.376</formula>
      <formula>0.475</formula>
    </cfRule>
    <cfRule type="cellIs" dxfId="10132" priority="13460" operator="between">
      <formula>0.2551</formula>
      <formula>0.3751</formula>
    </cfRule>
    <cfRule type="cellIs" dxfId="10131" priority="13461" operator="greaterThan">
      <formula>0.505</formula>
    </cfRule>
    <cfRule type="cellIs" dxfId="10130" priority="13462" operator="between">
      <formula>0.48</formula>
      <formula>0.5</formula>
    </cfRule>
    <cfRule type="cellIs" dxfId="10129" priority="13463" stopIfTrue="1" operator="between">
      <formula>0</formula>
      <formula>0.255</formula>
    </cfRule>
  </conditionalFormatting>
  <conditionalFormatting sqref="Z195">
    <cfRule type="cellIs" dxfId="10128" priority="13454" operator="between">
      <formula>0.76</formula>
      <formula>0.95</formula>
    </cfRule>
    <cfRule type="cellIs" dxfId="10127" priority="13455" operator="between">
      <formula>0.51</formula>
      <formula>0.75</formula>
    </cfRule>
    <cfRule type="cellIs" dxfId="10126" priority="13456" operator="greaterThan">
      <formula>1</formula>
    </cfRule>
    <cfRule type="cellIs" dxfId="10125" priority="13457" operator="between">
      <formula>0.95</formula>
      <formula>1</formula>
    </cfRule>
    <cfRule type="cellIs" dxfId="10124" priority="13458" stopIfTrue="1" operator="between">
      <formula>0</formula>
      <formula>0.5</formula>
    </cfRule>
  </conditionalFormatting>
  <conditionalFormatting sqref="AG195">
    <cfRule type="cellIs" dxfId="10123" priority="13449" operator="between">
      <formula>0.76</formula>
      <formula>0.95</formula>
    </cfRule>
    <cfRule type="cellIs" dxfId="10122" priority="13450" operator="between">
      <formula>0.51</formula>
      <formula>0.75</formula>
    </cfRule>
    <cfRule type="cellIs" dxfId="10121" priority="13451" operator="greaterThan">
      <formula>1</formula>
    </cfRule>
    <cfRule type="cellIs" dxfId="10120" priority="13452" operator="between">
      <formula>0.95</formula>
      <formula>1</formula>
    </cfRule>
    <cfRule type="cellIs" dxfId="10119" priority="13453" stopIfTrue="1" operator="between">
      <formula>0</formula>
      <formula>0.5</formula>
    </cfRule>
  </conditionalFormatting>
  <conditionalFormatting sqref="AI195">
    <cfRule type="cellIs" dxfId="10118" priority="13444" operator="between">
      <formula>0.76</formula>
      <formula>0.95</formula>
    </cfRule>
    <cfRule type="cellIs" dxfId="10117" priority="13445" operator="between">
      <formula>0.51</formula>
      <formula>0.75</formula>
    </cfRule>
    <cfRule type="cellIs" dxfId="10116" priority="13446" operator="greaterThan">
      <formula>1</formula>
    </cfRule>
    <cfRule type="cellIs" dxfId="10115" priority="13447" operator="between">
      <formula>0.95</formula>
      <formula>1</formula>
    </cfRule>
    <cfRule type="cellIs" dxfId="10114" priority="13448" stopIfTrue="1" operator="between">
      <formula>0</formula>
      <formula>0.5</formula>
    </cfRule>
  </conditionalFormatting>
  <conditionalFormatting sqref="AA195">
    <cfRule type="cellIs" dxfId="10113" priority="13439" operator="between">
      <formula>0.56251</formula>
      <formula>0.7125</formula>
    </cfRule>
    <cfRule type="cellIs" dxfId="10112" priority="13440" operator="between">
      <formula>0.3751</formula>
      <formula>0.5625</formula>
    </cfRule>
    <cfRule type="cellIs" dxfId="10111" priority="13441" operator="greaterThan">
      <formula>0.751</formula>
    </cfRule>
    <cfRule type="cellIs" dxfId="10110" priority="13442" operator="between">
      <formula>0.71251</formula>
      <formula>0.75</formula>
    </cfRule>
    <cfRule type="cellIs" dxfId="10109" priority="13443" stopIfTrue="1" operator="between">
      <formula>0</formula>
      <formula>0.375</formula>
    </cfRule>
  </conditionalFormatting>
  <conditionalFormatting sqref="AC195">
    <cfRule type="cellIs" dxfId="10108" priority="13434" operator="between">
      <formula>0.56251</formula>
      <formula>0.7125</formula>
    </cfRule>
    <cfRule type="cellIs" dxfId="10107" priority="13435" operator="between">
      <formula>0.3751</formula>
      <formula>0.5625</formula>
    </cfRule>
    <cfRule type="cellIs" dxfId="10106" priority="13436" operator="greaterThan">
      <formula>0.751</formula>
    </cfRule>
    <cfRule type="cellIs" dxfId="10105" priority="13437" operator="between">
      <formula>0.71251</formula>
      <formula>0.75</formula>
    </cfRule>
    <cfRule type="cellIs" dxfId="10104" priority="13438" stopIfTrue="1" operator="between">
      <formula>0</formula>
      <formula>0.375</formula>
    </cfRule>
  </conditionalFormatting>
  <conditionalFormatting sqref="AB195">
    <cfRule type="cellIs" dxfId="10103" priority="13429" operator="between">
      <formula>0.56251</formula>
      <formula>0.7125</formula>
    </cfRule>
    <cfRule type="cellIs" dxfId="10102" priority="13430" operator="between">
      <formula>0.3751</formula>
      <formula>0.5625</formula>
    </cfRule>
    <cfRule type="cellIs" dxfId="10101" priority="13431" operator="greaterThan">
      <formula>0.751</formula>
    </cfRule>
    <cfRule type="cellIs" dxfId="10100" priority="13432" operator="between">
      <formula>0.71251</formula>
      <formula>0.75</formula>
    </cfRule>
    <cfRule type="cellIs" dxfId="10099" priority="13433" stopIfTrue="1" operator="between">
      <formula>0</formula>
      <formula>0.375</formula>
    </cfRule>
  </conditionalFormatting>
  <conditionalFormatting sqref="AG23 AI23 Z23">
    <cfRule type="cellIs" dxfId="10098" priority="13412" operator="between">
      <formula>0.76</formula>
      <formula>0.95</formula>
    </cfRule>
    <cfRule type="cellIs" dxfId="10097" priority="13413" operator="between">
      <formula>0.51</formula>
      <formula>0.75</formula>
    </cfRule>
    <cfRule type="cellIs" dxfId="10096" priority="13414" operator="greaterThan">
      <formula>1</formula>
    </cfRule>
    <cfRule type="cellIs" dxfId="10095" priority="13415" operator="between">
      <formula>0.95</formula>
      <formula>1</formula>
    </cfRule>
    <cfRule type="cellIs" dxfId="10094" priority="13416" stopIfTrue="1" operator="between">
      <formula>0</formula>
      <formula>0.5</formula>
    </cfRule>
  </conditionalFormatting>
  <conditionalFormatting sqref="R23:S23">
    <cfRule type="cellIs" dxfId="10093" priority="13407" operator="between">
      <formula>0.76</formula>
      <formula>0.95</formula>
    </cfRule>
    <cfRule type="cellIs" dxfId="10092" priority="13408" operator="between">
      <formula>0.51</formula>
      <formula>0.75</formula>
    </cfRule>
    <cfRule type="cellIs" dxfId="10091" priority="13409" operator="greaterThan">
      <formula>1</formula>
    </cfRule>
    <cfRule type="cellIs" dxfId="10090" priority="13410" operator="between">
      <formula>0.95</formula>
      <formula>1</formula>
    </cfRule>
    <cfRule type="cellIs" dxfId="10089" priority="13411" stopIfTrue="1" operator="between">
      <formula>0</formula>
      <formula>0.5</formula>
    </cfRule>
  </conditionalFormatting>
  <conditionalFormatting sqref="Y23">
    <cfRule type="cellIs" dxfId="10088" priority="13402" operator="between">
      <formula>0.76</formula>
      <formula>0.95</formula>
    </cfRule>
    <cfRule type="cellIs" dxfId="10087" priority="13403" operator="between">
      <formula>0.51</formula>
      <formula>0.75</formula>
    </cfRule>
    <cfRule type="cellIs" dxfId="10086" priority="13404" operator="greaterThan">
      <formula>1</formula>
    </cfRule>
    <cfRule type="cellIs" dxfId="10085" priority="13405" operator="between">
      <formula>0.95</formula>
      <formula>1</formula>
    </cfRule>
    <cfRule type="cellIs" dxfId="10084" priority="13406" stopIfTrue="1" operator="between">
      <formula>0</formula>
      <formula>0.5</formula>
    </cfRule>
  </conditionalFormatting>
  <conditionalFormatting sqref="AF23">
    <cfRule type="cellIs" dxfId="10083" priority="13397" operator="between">
      <formula>0.76</formula>
      <formula>0.95</formula>
    </cfRule>
    <cfRule type="cellIs" dxfId="10082" priority="13398" operator="between">
      <formula>0.51</formula>
      <formula>0.75</formula>
    </cfRule>
    <cfRule type="cellIs" dxfId="10081" priority="13399" operator="greaterThan">
      <formula>1</formula>
    </cfRule>
    <cfRule type="cellIs" dxfId="10080" priority="13400" operator="between">
      <formula>0.95</formula>
      <formula>1</formula>
    </cfRule>
    <cfRule type="cellIs" dxfId="10079" priority="13401" stopIfTrue="1" operator="between">
      <formula>0</formula>
      <formula>0.5</formula>
    </cfRule>
  </conditionalFormatting>
  <conditionalFormatting sqref="T23">
    <cfRule type="cellIs" dxfId="10078" priority="13392" operator="between">
      <formula>0.3751</formula>
      <formula>0.475</formula>
    </cfRule>
    <cfRule type="cellIs" dxfId="10077" priority="13393" operator="between">
      <formula>0.2551</formula>
      <formula>0.375</formula>
    </cfRule>
    <cfRule type="cellIs" dxfId="10076" priority="13394" operator="greaterThan">
      <formula>0.505</formula>
    </cfRule>
    <cfRule type="cellIs" dxfId="10075" priority="13395" operator="between">
      <formula>0.48</formula>
      <formula>0.5</formula>
    </cfRule>
    <cfRule type="cellIs" dxfId="10074" priority="13396" stopIfTrue="1" operator="between">
      <formula>0</formula>
      <formula>0.255</formula>
    </cfRule>
  </conditionalFormatting>
  <conditionalFormatting sqref="AA23:AC23">
    <cfRule type="cellIs" dxfId="10073" priority="13387" operator="between">
      <formula>0.56251</formula>
      <formula>0.7125</formula>
    </cfRule>
    <cfRule type="cellIs" dxfId="10072" priority="13388" operator="between">
      <formula>0.3751</formula>
      <formula>0.5625</formula>
    </cfRule>
    <cfRule type="cellIs" dxfId="10071" priority="13389" operator="greaterThan">
      <formula>0.751</formula>
    </cfRule>
    <cfRule type="cellIs" dxfId="10070" priority="13390" operator="between">
      <formula>0.71251</formula>
      <formula>0.75</formula>
    </cfRule>
    <cfRule type="cellIs" dxfId="10069" priority="13391" stopIfTrue="1" operator="between">
      <formula>0</formula>
      <formula>0.375</formula>
    </cfRule>
  </conditionalFormatting>
  <conditionalFormatting sqref="AH23">
    <cfRule type="cellIs" dxfId="10068" priority="13382" operator="between">
      <formula>0.76</formula>
      <formula>0.95</formula>
    </cfRule>
    <cfRule type="cellIs" dxfId="10067" priority="13383" operator="between">
      <formula>0.51</formula>
      <formula>0.75</formula>
    </cfRule>
    <cfRule type="cellIs" dxfId="10066" priority="13384" operator="greaterThan">
      <formula>1</formula>
    </cfRule>
    <cfRule type="cellIs" dxfId="10065" priority="13385" operator="between">
      <formula>0.95</formula>
      <formula>1</formula>
    </cfRule>
    <cfRule type="cellIs" dxfId="10064" priority="13386" stopIfTrue="1" operator="between">
      <formula>0</formula>
      <formula>0.5</formula>
    </cfRule>
  </conditionalFormatting>
  <conditionalFormatting sqref="U23:V23">
    <cfRule type="cellIs" dxfId="10063" priority="13372" operator="between">
      <formula>0.376</formula>
      <formula>0.475</formula>
    </cfRule>
    <cfRule type="cellIs" dxfId="10062" priority="13373" operator="between">
      <formula>0.2551</formula>
      <formula>0.3751</formula>
    </cfRule>
    <cfRule type="cellIs" dxfId="10061" priority="13374" operator="greaterThan">
      <formula>0.505</formula>
    </cfRule>
    <cfRule type="cellIs" dxfId="10060" priority="13375" operator="between">
      <formula>0.48</formula>
      <formula>0.5</formula>
    </cfRule>
    <cfRule type="cellIs" dxfId="10059" priority="13376" stopIfTrue="1" operator="between">
      <formula>0</formula>
      <formula>0.255</formula>
    </cfRule>
  </conditionalFormatting>
  <conditionalFormatting sqref="AG24:AG27 AI24:AI27 Z24:Z27">
    <cfRule type="cellIs" dxfId="10058" priority="13268" operator="between">
      <formula>0.76</formula>
      <formula>0.95</formula>
    </cfRule>
    <cfRule type="cellIs" dxfId="10057" priority="13269" operator="between">
      <formula>0.51</formula>
      <formula>0.75</formula>
    </cfRule>
    <cfRule type="cellIs" dxfId="10056" priority="13270" operator="greaterThan">
      <formula>1</formula>
    </cfRule>
    <cfRule type="cellIs" dxfId="10055" priority="13271" operator="between">
      <formula>0.95</formula>
      <formula>1</formula>
    </cfRule>
    <cfRule type="cellIs" dxfId="10054" priority="13272" stopIfTrue="1" operator="between">
      <formula>0</formula>
      <formula>0.5</formula>
    </cfRule>
  </conditionalFormatting>
  <conditionalFormatting sqref="R24:S27">
    <cfRule type="cellIs" dxfId="10053" priority="13263" operator="between">
      <formula>0.76</formula>
      <formula>0.95</formula>
    </cfRule>
    <cfRule type="cellIs" dxfId="10052" priority="13264" operator="between">
      <formula>0.51</formula>
      <formula>0.75</formula>
    </cfRule>
    <cfRule type="cellIs" dxfId="10051" priority="13265" operator="greaterThan">
      <formula>1</formula>
    </cfRule>
    <cfRule type="cellIs" dxfId="10050" priority="13266" operator="between">
      <formula>0.95</formula>
      <formula>1</formula>
    </cfRule>
    <cfRule type="cellIs" dxfId="10049" priority="13267" stopIfTrue="1" operator="between">
      <formula>0</formula>
      <formula>0.5</formula>
    </cfRule>
  </conditionalFormatting>
  <conditionalFormatting sqref="Y24:Y27">
    <cfRule type="cellIs" dxfId="10048" priority="13258" operator="between">
      <formula>0.76</formula>
      <formula>0.95</formula>
    </cfRule>
    <cfRule type="cellIs" dxfId="10047" priority="13259" operator="between">
      <formula>0.51</formula>
      <formula>0.75</formula>
    </cfRule>
    <cfRule type="cellIs" dxfId="10046" priority="13260" operator="greaterThan">
      <formula>1</formula>
    </cfRule>
    <cfRule type="cellIs" dxfId="10045" priority="13261" operator="between">
      <formula>0.95</formula>
      <formula>1</formula>
    </cfRule>
    <cfRule type="cellIs" dxfId="10044" priority="13262" stopIfTrue="1" operator="between">
      <formula>0</formula>
      <formula>0.5</formula>
    </cfRule>
  </conditionalFormatting>
  <conditionalFormatting sqref="AF24:AF27">
    <cfRule type="cellIs" dxfId="10043" priority="13253" operator="between">
      <formula>0.76</formula>
      <formula>0.95</formula>
    </cfRule>
    <cfRule type="cellIs" dxfId="10042" priority="13254" operator="between">
      <formula>0.51</formula>
      <formula>0.75</formula>
    </cfRule>
    <cfRule type="cellIs" dxfId="10041" priority="13255" operator="greaterThan">
      <formula>1</formula>
    </cfRule>
    <cfRule type="cellIs" dxfId="10040" priority="13256" operator="between">
      <formula>0.95</formula>
      <formula>1</formula>
    </cfRule>
    <cfRule type="cellIs" dxfId="10039" priority="13257" stopIfTrue="1" operator="between">
      <formula>0</formula>
      <formula>0.5</formula>
    </cfRule>
  </conditionalFormatting>
  <conditionalFormatting sqref="T24:T27">
    <cfRule type="cellIs" dxfId="10038" priority="13248" operator="between">
      <formula>0.3751</formula>
      <formula>0.475</formula>
    </cfRule>
    <cfRule type="cellIs" dxfId="10037" priority="13249" operator="between">
      <formula>0.2551</formula>
      <formula>0.375</formula>
    </cfRule>
    <cfRule type="cellIs" dxfId="10036" priority="13250" operator="greaterThan">
      <formula>0.505</formula>
    </cfRule>
    <cfRule type="cellIs" dxfId="10035" priority="13251" operator="between">
      <formula>0.48</formula>
      <formula>0.5</formula>
    </cfRule>
    <cfRule type="cellIs" dxfId="10034" priority="13252" stopIfTrue="1" operator="between">
      <formula>0</formula>
      <formula>0.255</formula>
    </cfRule>
  </conditionalFormatting>
  <conditionalFormatting sqref="AA24:AC27">
    <cfRule type="cellIs" dxfId="10033" priority="13243" operator="between">
      <formula>0.56251</formula>
      <formula>0.7125</formula>
    </cfRule>
    <cfRule type="cellIs" dxfId="10032" priority="13244" operator="between">
      <formula>0.3751</formula>
      <formula>0.5625</formula>
    </cfRule>
    <cfRule type="cellIs" dxfId="10031" priority="13245" operator="greaterThan">
      <formula>0.751</formula>
    </cfRule>
    <cfRule type="cellIs" dxfId="10030" priority="13246" operator="between">
      <formula>0.71251</formula>
      <formula>0.75</formula>
    </cfRule>
    <cfRule type="cellIs" dxfId="10029" priority="13247" stopIfTrue="1" operator="between">
      <formula>0</formula>
      <formula>0.375</formula>
    </cfRule>
  </conditionalFormatting>
  <conditionalFormatting sqref="AH24:AH27">
    <cfRule type="cellIs" dxfId="10028" priority="13238" operator="between">
      <formula>0.76</formula>
      <formula>0.95</formula>
    </cfRule>
    <cfRule type="cellIs" dxfId="10027" priority="13239" operator="between">
      <formula>0.51</formula>
      <formula>0.75</formula>
    </cfRule>
    <cfRule type="cellIs" dxfId="10026" priority="13240" operator="greaterThan">
      <formula>1</formula>
    </cfRule>
    <cfRule type="cellIs" dxfId="10025" priority="13241" operator="between">
      <formula>0.95</formula>
      <formula>1</formula>
    </cfRule>
    <cfRule type="cellIs" dxfId="10024" priority="13242" stopIfTrue="1" operator="between">
      <formula>0</formula>
      <formula>0.5</formula>
    </cfRule>
  </conditionalFormatting>
  <conditionalFormatting sqref="U24:V27">
    <cfRule type="cellIs" dxfId="10023" priority="13228" operator="between">
      <formula>0.376</formula>
      <formula>0.475</formula>
    </cfRule>
    <cfRule type="cellIs" dxfId="10022" priority="13229" operator="between">
      <formula>0.2551</formula>
      <formula>0.3751</formula>
    </cfRule>
    <cfRule type="cellIs" dxfId="10021" priority="13230" operator="greaterThan">
      <formula>0.505</formula>
    </cfRule>
    <cfRule type="cellIs" dxfId="10020" priority="13231" operator="between">
      <formula>0.48</formula>
      <formula>0.5</formula>
    </cfRule>
    <cfRule type="cellIs" dxfId="10019" priority="13232" stopIfTrue="1" operator="between">
      <formula>0</formula>
      <formula>0.255</formula>
    </cfRule>
  </conditionalFormatting>
  <conditionalFormatting sqref="AG140 AI140 S140 Z140">
    <cfRule type="cellIs" dxfId="10018" priority="13196" operator="between">
      <formula>0.76</formula>
      <formula>0.95</formula>
    </cfRule>
    <cfRule type="cellIs" dxfId="10017" priority="13197" operator="between">
      <formula>0.51</formula>
      <formula>0.75</formula>
    </cfRule>
    <cfRule type="cellIs" dxfId="10016" priority="13198" operator="greaterThan">
      <formula>1</formula>
    </cfRule>
    <cfRule type="cellIs" dxfId="10015" priority="13199" operator="between">
      <formula>0.95</formula>
      <formula>1</formula>
    </cfRule>
    <cfRule type="cellIs" dxfId="10014" priority="13200" stopIfTrue="1" operator="between">
      <formula>0</formula>
      <formula>0.5</formula>
    </cfRule>
  </conditionalFormatting>
  <conditionalFormatting sqref="R140">
    <cfRule type="cellIs" dxfId="10013" priority="13186" operator="between">
      <formula>0.76</formula>
      <formula>0.95</formula>
    </cfRule>
    <cfRule type="cellIs" dxfId="10012" priority="13187" operator="between">
      <formula>0.51</formula>
      <formula>0.75</formula>
    </cfRule>
    <cfRule type="cellIs" dxfId="10011" priority="13188" operator="greaterThan">
      <formula>1</formula>
    </cfRule>
    <cfRule type="cellIs" dxfId="10010" priority="13189" operator="between">
      <formula>0.95</formula>
      <formula>1</formula>
    </cfRule>
    <cfRule type="cellIs" dxfId="10009" priority="13190" stopIfTrue="1" operator="between">
      <formula>0</formula>
      <formula>0.5</formula>
    </cfRule>
  </conditionalFormatting>
  <conditionalFormatting sqref="Y140">
    <cfRule type="cellIs" dxfId="10008" priority="13181" operator="between">
      <formula>0.76</formula>
      <formula>0.95</formula>
    </cfRule>
    <cfRule type="cellIs" dxfId="10007" priority="13182" operator="between">
      <formula>0.51</formula>
      <formula>0.75</formula>
    </cfRule>
    <cfRule type="cellIs" dxfId="10006" priority="13183" operator="greaterThan">
      <formula>1</formula>
    </cfRule>
    <cfRule type="cellIs" dxfId="10005" priority="13184" operator="between">
      <formula>0.95</formula>
      <formula>1</formula>
    </cfRule>
    <cfRule type="cellIs" dxfId="10004" priority="13185" stopIfTrue="1" operator="between">
      <formula>0</formula>
      <formula>0.5</formula>
    </cfRule>
  </conditionalFormatting>
  <conditionalFormatting sqref="AF140">
    <cfRule type="cellIs" dxfId="10003" priority="13176" operator="between">
      <formula>0.76</formula>
      <formula>0.95</formula>
    </cfRule>
    <cfRule type="cellIs" dxfId="10002" priority="13177" operator="between">
      <formula>0.51</formula>
      <formula>0.75</formula>
    </cfRule>
    <cfRule type="cellIs" dxfId="10001" priority="13178" operator="greaterThan">
      <formula>1</formula>
    </cfRule>
    <cfRule type="cellIs" dxfId="10000" priority="13179" operator="between">
      <formula>0.95</formula>
      <formula>1</formula>
    </cfRule>
    <cfRule type="cellIs" dxfId="9999" priority="13180" stopIfTrue="1" operator="between">
      <formula>0</formula>
      <formula>0.5</formula>
    </cfRule>
  </conditionalFormatting>
  <conditionalFormatting sqref="AH140">
    <cfRule type="cellIs" dxfId="9998" priority="13171" operator="between">
      <formula>0.76</formula>
      <formula>0.95</formula>
    </cfRule>
    <cfRule type="cellIs" dxfId="9997" priority="13172" operator="between">
      <formula>0.51</formula>
      <formula>0.75</formula>
    </cfRule>
    <cfRule type="cellIs" dxfId="9996" priority="13173" operator="greaterThan">
      <formula>1</formula>
    </cfRule>
    <cfRule type="cellIs" dxfId="9995" priority="13174" operator="between">
      <formula>0.95</formula>
      <formula>1</formula>
    </cfRule>
    <cfRule type="cellIs" dxfId="9994" priority="13175" stopIfTrue="1" operator="between">
      <formula>0</formula>
      <formula>0.5</formula>
    </cfRule>
  </conditionalFormatting>
  <conditionalFormatting sqref="T140">
    <cfRule type="cellIs" dxfId="9993" priority="13156" operator="between">
      <formula>0.3751</formula>
      <formula>0.475</formula>
    </cfRule>
    <cfRule type="cellIs" dxfId="9992" priority="13157" operator="between">
      <formula>0.2551</formula>
      <formula>0.375</formula>
    </cfRule>
    <cfRule type="cellIs" dxfId="9991" priority="13158" operator="greaterThan">
      <formula>0.505</formula>
    </cfRule>
    <cfRule type="cellIs" dxfId="9990" priority="13159" operator="between">
      <formula>0.48</formula>
      <formula>0.5</formula>
    </cfRule>
    <cfRule type="cellIs" dxfId="9989" priority="13160" stopIfTrue="1" operator="between">
      <formula>0</formula>
      <formula>0.255</formula>
    </cfRule>
  </conditionalFormatting>
  <conditionalFormatting sqref="U140:V140">
    <cfRule type="cellIs" dxfId="9988" priority="13151" operator="between">
      <formula>0.376</formula>
      <formula>0.475</formula>
    </cfRule>
    <cfRule type="cellIs" dxfId="9987" priority="13152" operator="between">
      <formula>0.2551</formula>
      <formula>0.3751</formula>
    </cfRule>
    <cfRule type="cellIs" dxfId="9986" priority="13153" operator="greaterThan">
      <formula>0.505</formula>
    </cfRule>
    <cfRule type="cellIs" dxfId="9985" priority="13154" operator="between">
      <formula>0.48</formula>
      <formula>0.5</formula>
    </cfRule>
    <cfRule type="cellIs" dxfId="9984" priority="13155" stopIfTrue="1" operator="between">
      <formula>0</formula>
      <formula>0.255</formula>
    </cfRule>
  </conditionalFormatting>
  <conditionalFormatting sqref="AA140">
    <cfRule type="cellIs" dxfId="9983" priority="13146" operator="between">
      <formula>0.56251</formula>
      <formula>0.7125</formula>
    </cfRule>
    <cfRule type="cellIs" dxfId="9982" priority="13147" operator="between">
      <formula>0.3751</formula>
      <formula>0.5625</formula>
    </cfRule>
    <cfRule type="cellIs" dxfId="9981" priority="13148" operator="greaterThan">
      <formula>0.751</formula>
    </cfRule>
    <cfRule type="cellIs" dxfId="9980" priority="13149" operator="between">
      <formula>0.71251</formula>
      <formula>0.75</formula>
    </cfRule>
    <cfRule type="cellIs" dxfId="9979" priority="13150" stopIfTrue="1" operator="between">
      <formula>0</formula>
      <formula>0.375</formula>
    </cfRule>
  </conditionalFormatting>
  <conditionalFormatting sqref="AC140">
    <cfRule type="cellIs" dxfId="9978" priority="13141" operator="between">
      <formula>0.56251</formula>
      <formula>0.7125</formula>
    </cfRule>
    <cfRule type="cellIs" dxfId="9977" priority="13142" operator="between">
      <formula>0.3751</formula>
      <formula>0.5625</formula>
    </cfRule>
    <cfRule type="cellIs" dxfId="9976" priority="13143" operator="greaterThan">
      <formula>0.751</formula>
    </cfRule>
    <cfRule type="cellIs" dxfId="9975" priority="13144" operator="between">
      <formula>0.71251</formula>
      <formula>0.75</formula>
    </cfRule>
    <cfRule type="cellIs" dxfId="9974" priority="13145" stopIfTrue="1" operator="between">
      <formula>0</formula>
      <formula>0.375</formula>
    </cfRule>
  </conditionalFormatting>
  <conditionalFormatting sqref="AB140">
    <cfRule type="cellIs" dxfId="9973" priority="13136" operator="between">
      <formula>0.56251</formula>
      <formula>0.7125</formula>
    </cfRule>
    <cfRule type="cellIs" dxfId="9972" priority="13137" operator="between">
      <formula>0.3751</formula>
      <formula>0.5625</formula>
    </cfRule>
    <cfRule type="cellIs" dxfId="9971" priority="13138" operator="greaterThan">
      <formula>0.751</formula>
    </cfRule>
    <cfRule type="cellIs" dxfId="9970" priority="13139" operator="between">
      <formula>0.71251</formula>
      <formula>0.75</formula>
    </cfRule>
    <cfRule type="cellIs" dxfId="9969" priority="13140" stopIfTrue="1" operator="between">
      <formula>0</formula>
      <formula>0.375</formula>
    </cfRule>
  </conditionalFormatting>
  <conditionalFormatting sqref="AG141 AI141 S141 Z141">
    <cfRule type="cellIs" dxfId="9968" priority="13119" operator="between">
      <formula>0.76</formula>
      <formula>0.95</formula>
    </cfRule>
    <cfRule type="cellIs" dxfId="9967" priority="13120" operator="between">
      <formula>0.51</formula>
      <formula>0.75</formula>
    </cfRule>
    <cfRule type="cellIs" dxfId="9966" priority="13121" operator="greaterThan">
      <formula>1</formula>
    </cfRule>
    <cfRule type="cellIs" dxfId="9965" priority="13122" operator="between">
      <formula>0.95</formula>
      <formula>1</formula>
    </cfRule>
    <cfRule type="cellIs" dxfId="9964" priority="13123" stopIfTrue="1" operator="between">
      <formula>0</formula>
      <formula>0.5</formula>
    </cfRule>
  </conditionalFormatting>
  <conditionalFormatting sqref="R141">
    <cfRule type="cellIs" dxfId="9963" priority="13109" operator="between">
      <formula>0.76</formula>
      <formula>0.95</formula>
    </cfRule>
    <cfRule type="cellIs" dxfId="9962" priority="13110" operator="between">
      <formula>0.51</formula>
      <formula>0.75</formula>
    </cfRule>
    <cfRule type="cellIs" dxfId="9961" priority="13111" operator="greaterThan">
      <formula>1</formula>
    </cfRule>
    <cfRule type="cellIs" dxfId="9960" priority="13112" operator="between">
      <formula>0.95</formula>
      <formula>1</formula>
    </cfRule>
    <cfRule type="cellIs" dxfId="9959" priority="13113" stopIfTrue="1" operator="between">
      <formula>0</formula>
      <formula>0.5</formula>
    </cfRule>
  </conditionalFormatting>
  <conditionalFormatting sqref="Y141">
    <cfRule type="cellIs" dxfId="9958" priority="13104" operator="between">
      <formula>0.76</formula>
      <formula>0.95</formula>
    </cfRule>
    <cfRule type="cellIs" dxfId="9957" priority="13105" operator="between">
      <formula>0.51</formula>
      <formula>0.75</formula>
    </cfRule>
    <cfRule type="cellIs" dxfId="9956" priority="13106" operator="greaterThan">
      <formula>1</formula>
    </cfRule>
    <cfRule type="cellIs" dxfId="9955" priority="13107" operator="between">
      <formula>0.95</formula>
      <formula>1</formula>
    </cfRule>
    <cfRule type="cellIs" dxfId="9954" priority="13108" stopIfTrue="1" operator="between">
      <formula>0</formula>
      <formula>0.5</formula>
    </cfRule>
  </conditionalFormatting>
  <conditionalFormatting sqref="AF141">
    <cfRule type="cellIs" dxfId="9953" priority="13099" operator="between">
      <formula>0.76</formula>
      <formula>0.95</formula>
    </cfRule>
    <cfRule type="cellIs" dxfId="9952" priority="13100" operator="between">
      <formula>0.51</formula>
      <formula>0.75</formula>
    </cfRule>
    <cfRule type="cellIs" dxfId="9951" priority="13101" operator="greaterThan">
      <formula>1</formula>
    </cfRule>
    <cfRule type="cellIs" dxfId="9950" priority="13102" operator="between">
      <formula>0.95</formula>
      <formula>1</formula>
    </cfRule>
    <cfRule type="cellIs" dxfId="9949" priority="13103" stopIfTrue="1" operator="between">
      <formula>0</formula>
      <formula>0.5</formula>
    </cfRule>
  </conditionalFormatting>
  <conditionalFormatting sqref="AH141">
    <cfRule type="cellIs" dxfId="9948" priority="13094" operator="between">
      <formula>0.76</formula>
      <formula>0.95</formula>
    </cfRule>
    <cfRule type="cellIs" dxfId="9947" priority="13095" operator="between">
      <formula>0.51</formula>
      <formula>0.75</formula>
    </cfRule>
    <cfRule type="cellIs" dxfId="9946" priority="13096" operator="greaterThan">
      <formula>1</formula>
    </cfRule>
    <cfRule type="cellIs" dxfId="9945" priority="13097" operator="between">
      <formula>0.95</formula>
      <formula>1</formula>
    </cfRule>
    <cfRule type="cellIs" dxfId="9944" priority="13098" stopIfTrue="1" operator="between">
      <formula>0</formula>
      <formula>0.5</formula>
    </cfRule>
  </conditionalFormatting>
  <conditionalFormatting sqref="T141">
    <cfRule type="cellIs" dxfId="9943" priority="13079" operator="between">
      <formula>0.3751</formula>
      <formula>0.475</formula>
    </cfRule>
    <cfRule type="cellIs" dxfId="9942" priority="13080" operator="between">
      <formula>0.2551</formula>
      <formula>0.375</formula>
    </cfRule>
    <cfRule type="cellIs" dxfId="9941" priority="13081" operator="greaterThan">
      <formula>0.505</formula>
    </cfRule>
    <cfRule type="cellIs" dxfId="9940" priority="13082" operator="between">
      <formula>0.48</formula>
      <formula>0.5</formula>
    </cfRule>
    <cfRule type="cellIs" dxfId="9939" priority="13083" stopIfTrue="1" operator="between">
      <formula>0</formula>
      <formula>0.255</formula>
    </cfRule>
  </conditionalFormatting>
  <conditionalFormatting sqref="U141:V141">
    <cfRule type="cellIs" dxfId="9938" priority="13074" operator="between">
      <formula>0.376</formula>
      <formula>0.475</formula>
    </cfRule>
    <cfRule type="cellIs" dxfId="9937" priority="13075" operator="between">
      <formula>0.2551</formula>
      <formula>0.3751</formula>
    </cfRule>
    <cfRule type="cellIs" dxfId="9936" priority="13076" operator="greaterThan">
      <formula>0.505</formula>
    </cfRule>
    <cfRule type="cellIs" dxfId="9935" priority="13077" operator="between">
      <formula>0.48</formula>
      <formula>0.5</formula>
    </cfRule>
    <cfRule type="cellIs" dxfId="9934" priority="13078" stopIfTrue="1" operator="between">
      <formula>0</formula>
      <formula>0.255</formula>
    </cfRule>
  </conditionalFormatting>
  <conditionalFormatting sqref="AA141">
    <cfRule type="cellIs" dxfId="9933" priority="13069" operator="between">
      <formula>0.56251</formula>
      <formula>0.7125</formula>
    </cfRule>
    <cfRule type="cellIs" dxfId="9932" priority="13070" operator="between">
      <formula>0.3751</formula>
      <formula>0.5625</formula>
    </cfRule>
    <cfRule type="cellIs" dxfId="9931" priority="13071" operator="greaterThan">
      <formula>0.751</formula>
    </cfRule>
    <cfRule type="cellIs" dxfId="9930" priority="13072" operator="between">
      <formula>0.71251</formula>
      <formula>0.75</formula>
    </cfRule>
    <cfRule type="cellIs" dxfId="9929" priority="13073" stopIfTrue="1" operator="between">
      <formula>0</formula>
      <formula>0.375</formula>
    </cfRule>
  </conditionalFormatting>
  <conditionalFormatting sqref="AC141">
    <cfRule type="cellIs" dxfId="9928" priority="13064" operator="between">
      <formula>0.56251</formula>
      <formula>0.7125</formula>
    </cfRule>
    <cfRule type="cellIs" dxfId="9927" priority="13065" operator="between">
      <formula>0.3751</formula>
      <formula>0.5625</formula>
    </cfRule>
    <cfRule type="cellIs" dxfId="9926" priority="13066" operator="greaterThan">
      <formula>0.751</formula>
    </cfRule>
    <cfRule type="cellIs" dxfId="9925" priority="13067" operator="between">
      <formula>0.71251</formula>
      <formula>0.75</formula>
    </cfRule>
    <cfRule type="cellIs" dxfId="9924" priority="13068" stopIfTrue="1" operator="between">
      <formula>0</formula>
      <formula>0.375</formula>
    </cfRule>
  </conditionalFormatting>
  <conditionalFormatting sqref="AB141">
    <cfRule type="cellIs" dxfId="9923" priority="13059" operator="between">
      <formula>0.56251</formula>
      <formula>0.7125</formula>
    </cfRule>
    <cfRule type="cellIs" dxfId="9922" priority="13060" operator="between">
      <formula>0.3751</formula>
      <formula>0.5625</formula>
    </cfRule>
    <cfRule type="cellIs" dxfId="9921" priority="13061" operator="greaterThan">
      <formula>0.751</formula>
    </cfRule>
    <cfRule type="cellIs" dxfId="9920" priority="13062" operator="between">
      <formula>0.71251</formula>
      <formula>0.75</formula>
    </cfRule>
    <cfRule type="cellIs" dxfId="9919" priority="13063" stopIfTrue="1" operator="between">
      <formula>0</formula>
      <formula>0.375</formula>
    </cfRule>
  </conditionalFormatting>
  <conditionalFormatting sqref="AG142 AI142 S142 Z142">
    <cfRule type="cellIs" dxfId="9918" priority="13042" operator="between">
      <formula>0.76</formula>
      <formula>0.95</formula>
    </cfRule>
    <cfRule type="cellIs" dxfId="9917" priority="13043" operator="between">
      <formula>0.51</formula>
      <formula>0.75</formula>
    </cfRule>
    <cfRule type="cellIs" dxfId="9916" priority="13044" operator="greaterThan">
      <formula>1</formula>
    </cfRule>
    <cfRule type="cellIs" dxfId="9915" priority="13045" operator="between">
      <formula>0.95</formula>
      <formula>1</formula>
    </cfRule>
    <cfRule type="cellIs" dxfId="9914" priority="13046" stopIfTrue="1" operator="between">
      <formula>0</formula>
      <formula>0.5</formula>
    </cfRule>
  </conditionalFormatting>
  <conditionalFormatting sqref="R142">
    <cfRule type="cellIs" dxfId="9913" priority="13032" operator="between">
      <formula>0.76</formula>
      <formula>0.95</formula>
    </cfRule>
    <cfRule type="cellIs" dxfId="9912" priority="13033" operator="between">
      <formula>0.51</formula>
      <formula>0.75</formula>
    </cfRule>
    <cfRule type="cellIs" dxfId="9911" priority="13034" operator="greaterThan">
      <formula>1</formula>
    </cfRule>
    <cfRule type="cellIs" dxfId="9910" priority="13035" operator="between">
      <formula>0.95</formula>
      <formula>1</formula>
    </cfRule>
    <cfRule type="cellIs" dxfId="9909" priority="13036" stopIfTrue="1" operator="between">
      <formula>0</formula>
      <formula>0.5</formula>
    </cfRule>
  </conditionalFormatting>
  <conditionalFormatting sqref="Y142">
    <cfRule type="cellIs" dxfId="9908" priority="13027" operator="between">
      <formula>0.76</formula>
      <formula>0.95</formula>
    </cfRule>
    <cfRule type="cellIs" dxfId="9907" priority="13028" operator="between">
      <formula>0.51</formula>
      <formula>0.75</formula>
    </cfRule>
    <cfRule type="cellIs" dxfId="9906" priority="13029" operator="greaterThan">
      <formula>1</formula>
    </cfRule>
    <cfRule type="cellIs" dxfId="9905" priority="13030" operator="between">
      <formula>0.95</formula>
      <formula>1</formula>
    </cfRule>
    <cfRule type="cellIs" dxfId="9904" priority="13031" stopIfTrue="1" operator="between">
      <formula>0</formula>
      <formula>0.5</formula>
    </cfRule>
  </conditionalFormatting>
  <conditionalFormatting sqref="AF142">
    <cfRule type="cellIs" dxfId="9903" priority="13022" operator="between">
      <formula>0.76</formula>
      <formula>0.95</formula>
    </cfRule>
    <cfRule type="cellIs" dxfId="9902" priority="13023" operator="between">
      <formula>0.51</formula>
      <formula>0.75</formula>
    </cfRule>
    <cfRule type="cellIs" dxfId="9901" priority="13024" operator="greaterThan">
      <formula>1</formula>
    </cfRule>
    <cfRule type="cellIs" dxfId="9900" priority="13025" operator="between">
      <formula>0.95</formula>
      <formula>1</formula>
    </cfRule>
    <cfRule type="cellIs" dxfId="9899" priority="13026" stopIfTrue="1" operator="between">
      <formula>0</formula>
      <formula>0.5</formula>
    </cfRule>
  </conditionalFormatting>
  <conditionalFormatting sqref="AH142">
    <cfRule type="cellIs" dxfId="9898" priority="13017" operator="between">
      <formula>0.76</formula>
      <formula>0.95</formula>
    </cfRule>
    <cfRule type="cellIs" dxfId="9897" priority="13018" operator="between">
      <formula>0.51</formula>
      <formula>0.75</formula>
    </cfRule>
    <cfRule type="cellIs" dxfId="9896" priority="13019" operator="greaterThan">
      <formula>1</formula>
    </cfRule>
    <cfRule type="cellIs" dxfId="9895" priority="13020" operator="between">
      <formula>0.95</formula>
      <formula>1</formula>
    </cfRule>
    <cfRule type="cellIs" dxfId="9894" priority="13021" stopIfTrue="1" operator="between">
      <formula>0</formula>
      <formula>0.5</formula>
    </cfRule>
  </conditionalFormatting>
  <conditionalFormatting sqref="T142">
    <cfRule type="cellIs" dxfId="9893" priority="13002" operator="between">
      <formula>0.3751</formula>
      <formula>0.475</formula>
    </cfRule>
    <cfRule type="cellIs" dxfId="9892" priority="13003" operator="between">
      <formula>0.2551</formula>
      <formula>0.375</formula>
    </cfRule>
    <cfRule type="cellIs" dxfId="9891" priority="13004" operator="greaterThan">
      <formula>0.505</formula>
    </cfRule>
    <cfRule type="cellIs" dxfId="9890" priority="13005" operator="between">
      <formula>0.48</formula>
      <formula>0.5</formula>
    </cfRule>
    <cfRule type="cellIs" dxfId="9889" priority="13006" stopIfTrue="1" operator="between">
      <formula>0</formula>
      <formula>0.255</formula>
    </cfRule>
  </conditionalFormatting>
  <conditionalFormatting sqref="U142:V142">
    <cfRule type="cellIs" dxfId="9888" priority="12997" operator="between">
      <formula>0.376</formula>
      <formula>0.475</formula>
    </cfRule>
    <cfRule type="cellIs" dxfId="9887" priority="12998" operator="between">
      <formula>0.2551</formula>
      <formula>0.3751</formula>
    </cfRule>
    <cfRule type="cellIs" dxfId="9886" priority="12999" operator="greaterThan">
      <formula>0.505</formula>
    </cfRule>
    <cfRule type="cellIs" dxfId="9885" priority="13000" operator="between">
      <formula>0.48</formula>
      <formula>0.5</formula>
    </cfRule>
    <cfRule type="cellIs" dxfId="9884" priority="13001" stopIfTrue="1" operator="between">
      <formula>0</formula>
      <formula>0.255</formula>
    </cfRule>
  </conditionalFormatting>
  <conditionalFormatting sqref="AA142">
    <cfRule type="cellIs" dxfId="9883" priority="12992" operator="between">
      <formula>0.56251</formula>
      <formula>0.7125</formula>
    </cfRule>
    <cfRule type="cellIs" dxfId="9882" priority="12993" operator="between">
      <formula>0.3751</formula>
      <formula>0.5625</formula>
    </cfRule>
    <cfRule type="cellIs" dxfId="9881" priority="12994" operator="greaterThan">
      <formula>0.751</formula>
    </cfRule>
    <cfRule type="cellIs" dxfId="9880" priority="12995" operator="between">
      <formula>0.71251</formula>
      <formula>0.75</formula>
    </cfRule>
    <cfRule type="cellIs" dxfId="9879" priority="12996" stopIfTrue="1" operator="between">
      <formula>0</formula>
      <formula>0.375</formula>
    </cfRule>
  </conditionalFormatting>
  <conditionalFormatting sqref="AC142">
    <cfRule type="cellIs" dxfId="9878" priority="12987" operator="between">
      <formula>0.56251</formula>
      <formula>0.7125</formula>
    </cfRule>
    <cfRule type="cellIs" dxfId="9877" priority="12988" operator="between">
      <formula>0.3751</formula>
      <formula>0.5625</formula>
    </cfRule>
    <cfRule type="cellIs" dxfId="9876" priority="12989" operator="greaterThan">
      <formula>0.751</formula>
    </cfRule>
    <cfRule type="cellIs" dxfId="9875" priority="12990" operator="between">
      <formula>0.71251</formula>
      <formula>0.75</formula>
    </cfRule>
    <cfRule type="cellIs" dxfId="9874" priority="12991" stopIfTrue="1" operator="between">
      <formula>0</formula>
      <formula>0.375</formula>
    </cfRule>
  </conditionalFormatting>
  <conditionalFormatting sqref="AB142">
    <cfRule type="cellIs" dxfId="9873" priority="12982" operator="between">
      <formula>0.56251</formula>
      <formula>0.7125</formula>
    </cfRule>
    <cfRule type="cellIs" dxfId="9872" priority="12983" operator="between">
      <formula>0.3751</formula>
      <formula>0.5625</formula>
    </cfRule>
    <cfRule type="cellIs" dxfId="9871" priority="12984" operator="greaterThan">
      <formula>0.751</formula>
    </cfRule>
    <cfRule type="cellIs" dxfId="9870" priority="12985" operator="between">
      <formula>0.71251</formula>
      <formula>0.75</formula>
    </cfRule>
    <cfRule type="cellIs" dxfId="9869" priority="12986" stopIfTrue="1" operator="between">
      <formula>0</formula>
      <formula>0.375</formula>
    </cfRule>
  </conditionalFormatting>
  <conditionalFormatting sqref="AG143:AG145 AI143:AI145 S143:S145 Z143:Z145">
    <cfRule type="cellIs" dxfId="9868" priority="12965" operator="between">
      <formula>0.76</formula>
      <formula>0.95</formula>
    </cfRule>
    <cfRule type="cellIs" dxfId="9867" priority="12966" operator="between">
      <formula>0.51</formula>
      <formula>0.75</formula>
    </cfRule>
    <cfRule type="cellIs" dxfId="9866" priority="12967" operator="greaterThan">
      <formula>1</formula>
    </cfRule>
    <cfRule type="cellIs" dxfId="9865" priority="12968" operator="between">
      <formula>0.95</formula>
      <formula>1</formula>
    </cfRule>
    <cfRule type="cellIs" dxfId="9864" priority="12969" stopIfTrue="1" operator="between">
      <formula>0</formula>
      <formula>0.5</formula>
    </cfRule>
  </conditionalFormatting>
  <conditionalFormatting sqref="R143:R145">
    <cfRule type="cellIs" dxfId="9863" priority="12955" operator="between">
      <formula>0.76</formula>
      <formula>0.95</formula>
    </cfRule>
    <cfRule type="cellIs" dxfId="9862" priority="12956" operator="between">
      <formula>0.51</formula>
      <formula>0.75</formula>
    </cfRule>
    <cfRule type="cellIs" dxfId="9861" priority="12957" operator="greaterThan">
      <formula>1</formula>
    </cfRule>
    <cfRule type="cellIs" dxfId="9860" priority="12958" operator="between">
      <formula>0.95</formula>
      <formula>1</formula>
    </cfRule>
    <cfRule type="cellIs" dxfId="9859" priority="12959" stopIfTrue="1" operator="between">
      <formula>0</formula>
      <formula>0.5</formula>
    </cfRule>
  </conditionalFormatting>
  <conditionalFormatting sqref="Y143:Y145">
    <cfRule type="cellIs" dxfId="9858" priority="12950" operator="between">
      <formula>0.76</formula>
      <formula>0.95</formula>
    </cfRule>
    <cfRule type="cellIs" dxfId="9857" priority="12951" operator="between">
      <formula>0.51</formula>
      <formula>0.75</formula>
    </cfRule>
    <cfRule type="cellIs" dxfId="9856" priority="12952" operator="greaterThan">
      <formula>1</formula>
    </cfRule>
    <cfRule type="cellIs" dxfId="9855" priority="12953" operator="between">
      <formula>0.95</formula>
      <formula>1</formula>
    </cfRule>
    <cfRule type="cellIs" dxfId="9854" priority="12954" stopIfTrue="1" operator="between">
      <formula>0</formula>
      <formula>0.5</formula>
    </cfRule>
  </conditionalFormatting>
  <conditionalFormatting sqref="AF143:AF145">
    <cfRule type="cellIs" dxfId="9853" priority="12945" operator="between">
      <formula>0.76</formula>
      <formula>0.95</formula>
    </cfRule>
    <cfRule type="cellIs" dxfId="9852" priority="12946" operator="between">
      <formula>0.51</formula>
      <formula>0.75</formula>
    </cfRule>
    <cfRule type="cellIs" dxfId="9851" priority="12947" operator="greaterThan">
      <formula>1</formula>
    </cfRule>
    <cfRule type="cellIs" dxfId="9850" priority="12948" operator="between">
      <formula>0.95</formula>
      <formula>1</formula>
    </cfRule>
    <cfRule type="cellIs" dxfId="9849" priority="12949" stopIfTrue="1" operator="between">
      <formula>0</formula>
      <formula>0.5</formula>
    </cfRule>
  </conditionalFormatting>
  <conditionalFormatting sqref="AH143:AH145">
    <cfRule type="cellIs" dxfId="9848" priority="12940" operator="between">
      <formula>0.76</formula>
      <formula>0.95</formula>
    </cfRule>
    <cfRule type="cellIs" dxfId="9847" priority="12941" operator="between">
      <formula>0.51</formula>
      <formula>0.75</formula>
    </cfRule>
    <cfRule type="cellIs" dxfId="9846" priority="12942" operator="greaterThan">
      <formula>1</formula>
    </cfRule>
    <cfRule type="cellIs" dxfId="9845" priority="12943" operator="between">
      <formula>0.95</formula>
      <formula>1</formula>
    </cfRule>
    <cfRule type="cellIs" dxfId="9844" priority="12944" stopIfTrue="1" operator="between">
      <formula>0</formula>
      <formula>0.5</formula>
    </cfRule>
  </conditionalFormatting>
  <conditionalFormatting sqref="T143:T145">
    <cfRule type="cellIs" dxfId="9843" priority="12925" operator="between">
      <formula>0.3751</formula>
      <formula>0.475</formula>
    </cfRule>
    <cfRule type="cellIs" dxfId="9842" priority="12926" operator="between">
      <formula>0.2551</formula>
      <formula>0.375</formula>
    </cfRule>
    <cfRule type="cellIs" dxfId="9841" priority="12927" operator="greaterThan">
      <formula>0.505</formula>
    </cfRule>
    <cfRule type="cellIs" dxfId="9840" priority="12928" operator="between">
      <formula>0.48</formula>
      <formula>0.5</formula>
    </cfRule>
    <cfRule type="cellIs" dxfId="9839" priority="12929" stopIfTrue="1" operator="between">
      <formula>0</formula>
      <formula>0.255</formula>
    </cfRule>
  </conditionalFormatting>
  <conditionalFormatting sqref="U143:V145">
    <cfRule type="cellIs" dxfId="9838" priority="12920" operator="between">
      <formula>0.376</formula>
      <formula>0.475</formula>
    </cfRule>
    <cfRule type="cellIs" dxfId="9837" priority="12921" operator="between">
      <formula>0.2551</formula>
      <formula>0.3751</formula>
    </cfRule>
    <cfRule type="cellIs" dxfId="9836" priority="12922" operator="greaterThan">
      <formula>0.505</formula>
    </cfRule>
    <cfRule type="cellIs" dxfId="9835" priority="12923" operator="between">
      <formula>0.48</formula>
      <formula>0.5</formula>
    </cfRule>
    <cfRule type="cellIs" dxfId="9834" priority="12924" stopIfTrue="1" operator="between">
      <formula>0</formula>
      <formula>0.255</formula>
    </cfRule>
  </conditionalFormatting>
  <conditionalFormatting sqref="AA143:AA145">
    <cfRule type="cellIs" dxfId="9833" priority="12915" operator="between">
      <formula>0.56251</formula>
      <formula>0.7125</formula>
    </cfRule>
    <cfRule type="cellIs" dxfId="9832" priority="12916" operator="between">
      <formula>0.3751</formula>
      <formula>0.5625</formula>
    </cfRule>
    <cfRule type="cellIs" dxfId="9831" priority="12917" operator="greaterThan">
      <formula>0.751</formula>
    </cfRule>
    <cfRule type="cellIs" dxfId="9830" priority="12918" operator="between">
      <formula>0.71251</formula>
      <formula>0.75</formula>
    </cfRule>
    <cfRule type="cellIs" dxfId="9829" priority="12919" stopIfTrue="1" operator="between">
      <formula>0</formula>
      <formula>0.375</formula>
    </cfRule>
  </conditionalFormatting>
  <conditionalFormatting sqref="AC143:AC145">
    <cfRule type="cellIs" dxfId="9828" priority="12910" operator="between">
      <formula>0.56251</formula>
      <formula>0.7125</formula>
    </cfRule>
    <cfRule type="cellIs" dxfId="9827" priority="12911" operator="between">
      <formula>0.3751</formula>
      <formula>0.5625</formula>
    </cfRule>
    <cfRule type="cellIs" dxfId="9826" priority="12912" operator="greaterThan">
      <formula>0.751</formula>
    </cfRule>
    <cfRule type="cellIs" dxfId="9825" priority="12913" operator="between">
      <formula>0.71251</formula>
      <formula>0.75</formula>
    </cfRule>
    <cfRule type="cellIs" dxfId="9824" priority="12914" stopIfTrue="1" operator="between">
      <formula>0</formula>
      <formula>0.375</formula>
    </cfRule>
  </conditionalFormatting>
  <conditionalFormatting sqref="AB143:AB145">
    <cfRule type="cellIs" dxfId="9823" priority="12905" operator="between">
      <formula>0.56251</formula>
      <formula>0.7125</formula>
    </cfRule>
    <cfRule type="cellIs" dxfId="9822" priority="12906" operator="between">
      <formula>0.3751</formula>
      <formula>0.5625</formula>
    </cfRule>
    <cfRule type="cellIs" dxfId="9821" priority="12907" operator="greaterThan">
      <formula>0.751</formula>
    </cfRule>
    <cfRule type="cellIs" dxfId="9820" priority="12908" operator="between">
      <formula>0.71251</formula>
      <formula>0.75</formula>
    </cfRule>
    <cfRule type="cellIs" dxfId="9819" priority="12909" stopIfTrue="1" operator="between">
      <formula>0</formula>
      <formula>0.375</formula>
    </cfRule>
  </conditionalFormatting>
  <conditionalFormatting sqref="S196">
    <cfRule type="cellIs" dxfId="9818" priority="12878" operator="between">
      <formula>0.76</formula>
      <formula>0.95</formula>
    </cfRule>
    <cfRule type="cellIs" dxfId="9817" priority="12879" operator="between">
      <formula>0.51</formula>
      <formula>0.75</formula>
    </cfRule>
    <cfRule type="cellIs" dxfId="9816" priority="12880" operator="greaterThan">
      <formula>1</formula>
    </cfRule>
    <cfRule type="cellIs" dxfId="9815" priority="12881" operator="between">
      <formula>0.95</formula>
      <formula>1</formula>
    </cfRule>
    <cfRule type="cellIs" dxfId="9814" priority="12882" stopIfTrue="1" operator="between">
      <formula>0</formula>
      <formula>0.5</formula>
    </cfRule>
  </conditionalFormatting>
  <conditionalFormatting sqref="R196">
    <cfRule type="cellIs" dxfId="9813" priority="12873" operator="between">
      <formula>0.76</formula>
      <formula>0.95</formula>
    </cfRule>
    <cfRule type="cellIs" dxfId="9812" priority="12874" operator="between">
      <formula>0.51</formula>
      <formula>0.75</formula>
    </cfRule>
    <cfRule type="cellIs" dxfId="9811" priority="12875" operator="greaterThan">
      <formula>1</formula>
    </cfRule>
    <cfRule type="cellIs" dxfId="9810" priority="12876" operator="between">
      <formula>0.95</formula>
      <formula>1</formula>
    </cfRule>
    <cfRule type="cellIs" dxfId="9809" priority="12877" stopIfTrue="1" operator="between">
      <formula>0</formula>
      <formula>0.5</formula>
    </cfRule>
  </conditionalFormatting>
  <conditionalFormatting sqref="Y196">
    <cfRule type="cellIs" dxfId="9808" priority="12868" operator="between">
      <formula>0.76</formula>
      <formula>0.95</formula>
    </cfRule>
    <cfRule type="cellIs" dxfId="9807" priority="12869" operator="between">
      <formula>0.51</formula>
      <formula>0.75</formula>
    </cfRule>
    <cfRule type="cellIs" dxfId="9806" priority="12870" operator="greaterThan">
      <formula>1</formula>
    </cfRule>
    <cfRule type="cellIs" dxfId="9805" priority="12871" operator="between">
      <formula>0.95</formula>
      <formula>1</formula>
    </cfRule>
    <cfRule type="cellIs" dxfId="9804" priority="12872" stopIfTrue="1" operator="between">
      <formula>0</formula>
      <formula>0.5</formula>
    </cfRule>
  </conditionalFormatting>
  <conditionalFormatting sqref="AF196">
    <cfRule type="cellIs" dxfId="9803" priority="12863" operator="between">
      <formula>0.76</formula>
      <formula>0.95</formula>
    </cfRule>
    <cfRule type="cellIs" dxfId="9802" priority="12864" operator="between">
      <formula>0.51</formula>
      <formula>0.75</formula>
    </cfRule>
    <cfRule type="cellIs" dxfId="9801" priority="12865" operator="greaterThan">
      <formula>1</formula>
    </cfRule>
    <cfRule type="cellIs" dxfId="9800" priority="12866" operator="between">
      <formula>0.95</formula>
      <formula>1</formula>
    </cfRule>
    <cfRule type="cellIs" dxfId="9799" priority="12867" stopIfTrue="1" operator="between">
      <formula>0</formula>
      <formula>0.5</formula>
    </cfRule>
  </conditionalFormatting>
  <conditionalFormatting sqref="AH196">
    <cfRule type="cellIs" dxfId="9798" priority="12858" operator="between">
      <formula>0.76</formula>
      <formula>0.95</formula>
    </cfRule>
    <cfRule type="cellIs" dxfId="9797" priority="12859" operator="between">
      <formula>0.51</formula>
      <formula>0.75</formula>
    </cfRule>
    <cfRule type="cellIs" dxfId="9796" priority="12860" operator="greaterThan">
      <formula>1</formula>
    </cfRule>
    <cfRule type="cellIs" dxfId="9795" priority="12861" operator="between">
      <formula>0.95</formula>
      <formula>1</formula>
    </cfRule>
    <cfRule type="cellIs" dxfId="9794" priority="12862" stopIfTrue="1" operator="between">
      <formula>0</formula>
      <formula>0.5</formula>
    </cfRule>
  </conditionalFormatting>
  <conditionalFormatting sqref="T196">
    <cfRule type="cellIs" dxfId="9793" priority="12843" operator="between">
      <formula>0.3751</formula>
      <formula>0.475</formula>
    </cfRule>
    <cfRule type="cellIs" dxfId="9792" priority="12844" operator="between">
      <formula>0.2551</formula>
      <formula>0.375</formula>
    </cfRule>
    <cfRule type="cellIs" dxfId="9791" priority="12845" operator="greaterThan">
      <formula>0.505</formula>
    </cfRule>
    <cfRule type="cellIs" dxfId="9790" priority="12846" operator="between">
      <formula>0.48</formula>
      <formula>0.5</formula>
    </cfRule>
    <cfRule type="cellIs" dxfId="9789" priority="12847" stopIfTrue="1" operator="between">
      <formula>0</formula>
      <formula>0.255</formula>
    </cfRule>
  </conditionalFormatting>
  <conditionalFormatting sqref="U196:V196">
    <cfRule type="cellIs" dxfId="9788" priority="12838" operator="between">
      <formula>0.376</formula>
      <formula>0.475</formula>
    </cfRule>
    <cfRule type="cellIs" dxfId="9787" priority="12839" operator="between">
      <formula>0.2551</formula>
      <formula>0.3751</formula>
    </cfRule>
    <cfRule type="cellIs" dxfId="9786" priority="12840" operator="greaterThan">
      <formula>0.505</formula>
    </cfRule>
    <cfRule type="cellIs" dxfId="9785" priority="12841" operator="between">
      <formula>0.48</formula>
      <formula>0.5</formula>
    </cfRule>
    <cfRule type="cellIs" dxfId="9784" priority="12842" stopIfTrue="1" operator="between">
      <formula>0</formula>
      <formula>0.255</formula>
    </cfRule>
  </conditionalFormatting>
  <conditionalFormatting sqref="Z196">
    <cfRule type="cellIs" dxfId="9783" priority="12833" operator="between">
      <formula>0.76</formula>
      <formula>0.95</formula>
    </cfRule>
    <cfRule type="cellIs" dxfId="9782" priority="12834" operator="between">
      <formula>0.51</formula>
      <formula>0.75</formula>
    </cfRule>
    <cfRule type="cellIs" dxfId="9781" priority="12835" operator="greaterThan">
      <formula>1</formula>
    </cfRule>
    <cfRule type="cellIs" dxfId="9780" priority="12836" operator="between">
      <formula>0.95</formula>
      <formula>1</formula>
    </cfRule>
    <cfRule type="cellIs" dxfId="9779" priority="12837" stopIfTrue="1" operator="between">
      <formula>0</formula>
      <formula>0.5</formula>
    </cfRule>
  </conditionalFormatting>
  <conditionalFormatting sqref="AG196">
    <cfRule type="cellIs" dxfId="9778" priority="12828" operator="between">
      <formula>0.76</formula>
      <formula>0.95</formula>
    </cfRule>
    <cfRule type="cellIs" dxfId="9777" priority="12829" operator="between">
      <formula>0.51</formula>
      <formula>0.75</formula>
    </cfRule>
    <cfRule type="cellIs" dxfId="9776" priority="12830" operator="greaterThan">
      <formula>1</formula>
    </cfRule>
    <cfRule type="cellIs" dxfId="9775" priority="12831" operator="between">
      <formula>0.95</formula>
      <formula>1</formula>
    </cfRule>
    <cfRule type="cellIs" dxfId="9774" priority="12832" stopIfTrue="1" operator="between">
      <formula>0</formula>
      <formula>0.5</formula>
    </cfRule>
  </conditionalFormatting>
  <conditionalFormatting sqref="AI196">
    <cfRule type="cellIs" dxfId="9773" priority="12823" operator="between">
      <formula>0.76</formula>
      <formula>0.95</formula>
    </cfRule>
    <cfRule type="cellIs" dxfId="9772" priority="12824" operator="between">
      <formula>0.51</formula>
      <formula>0.75</formula>
    </cfRule>
    <cfRule type="cellIs" dxfId="9771" priority="12825" operator="greaterThan">
      <formula>1</formula>
    </cfRule>
    <cfRule type="cellIs" dxfId="9770" priority="12826" operator="between">
      <formula>0.95</formula>
      <formula>1</formula>
    </cfRule>
    <cfRule type="cellIs" dxfId="9769" priority="12827" stopIfTrue="1" operator="between">
      <formula>0</formula>
      <formula>0.5</formula>
    </cfRule>
  </conditionalFormatting>
  <conditionalFormatting sqref="AA196">
    <cfRule type="cellIs" dxfId="9768" priority="12818" operator="between">
      <formula>0.56251</formula>
      <formula>0.7125</formula>
    </cfRule>
    <cfRule type="cellIs" dxfId="9767" priority="12819" operator="between">
      <formula>0.3751</formula>
      <formula>0.5625</formula>
    </cfRule>
    <cfRule type="cellIs" dxfId="9766" priority="12820" operator="greaterThan">
      <formula>0.751</formula>
    </cfRule>
    <cfRule type="cellIs" dxfId="9765" priority="12821" operator="between">
      <formula>0.71251</formula>
      <formula>0.75</formula>
    </cfRule>
    <cfRule type="cellIs" dxfId="9764" priority="12822" stopIfTrue="1" operator="between">
      <formula>0</formula>
      <formula>0.375</formula>
    </cfRule>
  </conditionalFormatting>
  <conditionalFormatting sqref="AC196">
    <cfRule type="cellIs" dxfId="9763" priority="12813" operator="between">
      <formula>0.56251</formula>
      <formula>0.7125</formula>
    </cfRule>
    <cfRule type="cellIs" dxfId="9762" priority="12814" operator="between">
      <formula>0.3751</formula>
      <formula>0.5625</formula>
    </cfRule>
    <cfRule type="cellIs" dxfId="9761" priority="12815" operator="greaterThan">
      <formula>0.751</formula>
    </cfRule>
    <cfRule type="cellIs" dxfId="9760" priority="12816" operator="between">
      <formula>0.71251</formula>
      <formula>0.75</formula>
    </cfRule>
    <cfRule type="cellIs" dxfId="9759" priority="12817" stopIfTrue="1" operator="between">
      <formula>0</formula>
      <formula>0.375</formula>
    </cfRule>
  </conditionalFormatting>
  <conditionalFormatting sqref="AB196">
    <cfRule type="cellIs" dxfId="9758" priority="12808" operator="between">
      <formula>0.56251</formula>
      <formula>0.7125</formula>
    </cfRule>
    <cfRule type="cellIs" dxfId="9757" priority="12809" operator="between">
      <formula>0.3751</formula>
      <formula>0.5625</formula>
    </cfRule>
    <cfRule type="cellIs" dxfId="9756" priority="12810" operator="greaterThan">
      <formula>0.751</formula>
    </cfRule>
    <cfRule type="cellIs" dxfId="9755" priority="12811" operator="between">
      <formula>0.71251</formula>
      <formula>0.75</formula>
    </cfRule>
    <cfRule type="cellIs" dxfId="9754" priority="12812" stopIfTrue="1" operator="between">
      <formula>0</formula>
      <formula>0.375</formula>
    </cfRule>
  </conditionalFormatting>
  <conditionalFormatting sqref="S197">
    <cfRule type="cellIs" dxfId="9753" priority="12781" operator="between">
      <formula>0.76</formula>
      <formula>0.95</formula>
    </cfRule>
    <cfRule type="cellIs" dxfId="9752" priority="12782" operator="between">
      <formula>0.51</formula>
      <formula>0.75</formula>
    </cfRule>
    <cfRule type="cellIs" dxfId="9751" priority="12783" operator="greaterThan">
      <formula>1</formula>
    </cfRule>
    <cfRule type="cellIs" dxfId="9750" priority="12784" operator="between">
      <formula>0.95</formula>
      <formula>1</formula>
    </cfRule>
    <cfRule type="cellIs" dxfId="9749" priority="12785" stopIfTrue="1" operator="between">
      <formula>0</formula>
      <formula>0.5</formula>
    </cfRule>
  </conditionalFormatting>
  <conditionalFormatting sqref="R197">
    <cfRule type="cellIs" dxfId="9748" priority="12776" operator="between">
      <formula>0.76</formula>
      <formula>0.95</formula>
    </cfRule>
    <cfRule type="cellIs" dxfId="9747" priority="12777" operator="between">
      <formula>0.51</formula>
      <formula>0.75</formula>
    </cfRule>
    <cfRule type="cellIs" dxfId="9746" priority="12778" operator="greaterThan">
      <formula>1</formula>
    </cfRule>
    <cfRule type="cellIs" dxfId="9745" priority="12779" operator="between">
      <formula>0.95</formula>
      <formula>1</formula>
    </cfRule>
    <cfRule type="cellIs" dxfId="9744" priority="12780" stopIfTrue="1" operator="between">
      <formula>0</formula>
      <formula>0.5</formula>
    </cfRule>
  </conditionalFormatting>
  <conditionalFormatting sqref="Y197">
    <cfRule type="cellIs" dxfId="9743" priority="12771" operator="between">
      <formula>0.76</formula>
      <formula>0.95</formula>
    </cfRule>
    <cfRule type="cellIs" dxfId="9742" priority="12772" operator="between">
      <formula>0.51</formula>
      <formula>0.75</formula>
    </cfRule>
    <cfRule type="cellIs" dxfId="9741" priority="12773" operator="greaterThan">
      <formula>1</formula>
    </cfRule>
    <cfRule type="cellIs" dxfId="9740" priority="12774" operator="between">
      <formula>0.95</formula>
      <formula>1</formula>
    </cfRule>
    <cfRule type="cellIs" dxfId="9739" priority="12775" stopIfTrue="1" operator="between">
      <formula>0</formula>
      <formula>0.5</formula>
    </cfRule>
  </conditionalFormatting>
  <conditionalFormatting sqref="AF197">
    <cfRule type="cellIs" dxfId="9738" priority="12766" operator="between">
      <formula>0.76</formula>
      <formula>0.95</formula>
    </cfRule>
    <cfRule type="cellIs" dxfId="9737" priority="12767" operator="between">
      <formula>0.51</formula>
      <formula>0.75</formula>
    </cfRule>
    <cfRule type="cellIs" dxfId="9736" priority="12768" operator="greaterThan">
      <formula>1</formula>
    </cfRule>
    <cfRule type="cellIs" dxfId="9735" priority="12769" operator="between">
      <formula>0.95</formula>
      <formula>1</formula>
    </cfRule>
    <cfRule type="cellIs" dxfId="9734" priority="12770" stopIfTrue="1" operator="between">
      <formula>0</formula>
      <formula>0.5</formula>
    </cfRule>
  </conditionalFormatting>
  <conditionalFormatting sqref="AH197">
    <cfRule type="cellIs" dxfId="9733" priority="12761" operator="between">
      <formula>0.76</formula>
      <formula>0.95</formula>
    </cfRule>
    <cfRule type="cellIs" dxfId="9732" priority="12762" operator="between">
      <formula>0.51</formula>
      <formula>0.75</formula>
    </cfRule>
    <cfRule type="cellIs" dxfId="9731" priority="12763" operator="greaterThan">
      <formula>1</formula>
    </cfRule>
    <cfRule type="cellIs" dxfId="9730" priority="12764" operator="between">
      <formula>0.95</formula>
      <formula>1</formula>
    </cfRule>
    <cfRule type="cellIs" dxfId="9729" priority="12765" stopIfTrue="1" operator="between">
      <formula>0</formula>
      <formula>0.5</formula>
    </cfRule>
  </conditionalFormatting>
  <conditionalFormatting sqref="T197">
    <cfRule type="cellIs" dxfId="9728" priority="12746" operator="between">
      <formula>0.3751</formula>
      <formula>0.475</formula>
    </cfRule>
    <cfRule type="cellIs" dxfId="9727" priority="12747" operator="between">
      <formula>0.2551</formula>
      <formula>0.375</formula>
    </cfRule>
    <cfRule type="cellIs" dxfId="9726" priority="12748" operator="greaterThan">
      <formula>0.505</formula>
    </cfRule>
    <cfRule type="cellIs" dxfId="9725" priority="12749" operator="between">
      <formula>0.48</formula>
      <formula>0.5</formula>
    </cfRule>
    <cfRule type="cellIs" dxfId="9724" priority="12750" stopIfTrue="1" operator="between">
      <formula>0</formula>
      <formula>0.255</formula>
    </cfRule>
  </conditionalFormatting>
  <conditionalFormatting sqref="U197:V197">
    <cfRule type="cellIs" dxfId="9723" priority="12741" operator="between">
      <formula>0.376</formula>
      <formula>0.475</formula>
    </cfRule>
    <cfRule type="cellIs" dxfId="9722" priority="12742" operator="between">
      <formula>0.2551</formula>
      <formula>0.3751</formula>
    </cfRule>
    <cfRule type="cellIs" dxfId="9721" priority="12743" operator="greaterThan">
      <formula>0.505</formula>
    </cfRule>
    <cfRule type="cellIs" dxfId="9720" priority="12744" operator="between">
      <formula>0.48</formula>
      <formula>0.5</formula>
    </cfRule>
    <cfRule type="cellIs" dxfId="9719" priority="12745" stopIfTrue="1" operator="between">
      <formula>0</formula>
      <formula>0.255</formula>
    </cfRule>
  </conditionalFormatting>
  <conditionalFormatting sqref="Z197">
    <cfRule type="cellIs" dxfId="9718" priority="12736" operator="between">
      <formula>0.76</formula>
      <formula>0.95</formula>
    </cfRule>
    <cfRule type="cellIs" dxfId="9717" priority="12737" operator="between">
      <formula>0.51</formula>
      <formula>0.75</formula>
    </cfRule>
    <cfRule type="cellIs" dxfId="9716" priority="12738" operator="greaterThan">
      <formula>1</formula>
    </cfRule>
    <cfRule type="cellIs" dxfId="9715" priority="12739" operator="between">
      <formula>0.95</formula>
      <formula>1</formula>
    </cfRule>
    <cfRule type="cellIs" dxfId="9714" priority="12740" stopIfTrue="1" operator="between">
      <formula>0</formula>
      <formula>0.5</formula>
    </cfRule>
  </conditionalFormatting>
  <conditionalFormatting sqref="AG197">
    <cfRule type="cellIs" dxfId="9713" priority="12731" operator="between">
      <formula>0.76</formula>
      <formula>0.95</formula>
    </cfRule>
    <cfRule type="cellIs" dxfId="9712" priority="12732" operator="between">
      <formula>0.51</formula>
      <formula>0.75</formula>
    </cfRule>
    <cfRule type="cellIs" dxfId="9711" priority="12733" operator="greaterThan">
      <formula>1</formula>
    </cfRule>
    <cfRule type="cellIs" dxfId="9710" priority="12734" operator="between">
      <formula>0.95</formula>
      <formula>1</formula>
    </cfRule>
    <cfRule type="cellIs" dxfId="9709" priority="12735" stopIfTrue="1" operator="between">
      <formula>0</formula>
      <formula>0.5</formula>
    </cfRule>
  </conditionalFormatting>
  <conditionalFormatting sqref="AI197">
    <cfRule type="cellIs" dxfId="9708" priority="12726" operator="between">
      <formula>0.76</formula>
      <formula>0.95</formula>
    </cfRule>
    <cfRule type="cellIs" dxfId="9707" priority="12727" operator="between">
      <formula>0.51</formula>
      <formula>0.75</formula>
    </cfRule>
    <cfRule type="cellIs" dxfId="9706" priority="12728" operator="greaterThan">
      <formula>1</formula>
    </cfRule>
    <cfRule type="cellIs" dxfId="9705" priority="12729" operator="between">
      <formula>0.95</formula>
      <formula>1</formula>
    </cfRule>
    <cfRule type="cellIs" dxfId="9704" priority="12730" stopIfTrue="1" operator="between">
      <formula>0</formula>
      <formula>0.5</formula>
    </cfRule>
  </conditionalFormatting>
  <conditionalFormatting sqref="AA197">
    <cfRule type="cellIs" dxfId="9703" priority="12721" operator="between">
      <formula>0.56251</formula>
      <formula>0.7125</formula>
    </cfRule>
    <cfRule type="cellIs" dxfId="9702" priority="12722" operator="between">
      <formula>0.3751</formula>
      <formula>0.5625</formula>
    </cfRule>
    <cfRule type="cellIs" dxfId="9701" priority="12723" operator="greaterThan">
      <formula>0.751</formula>
    </cfRule>
    <cfRule type="cellIs" dxfId="9700" priority="12724" operator="between">
      <formula>0.71251</formula>
      <formula>0.75</formula>
    </cfRule>
    <cfRule type="cellIs" dxfId="9699" priority="12725" stopIfTrue="1" operator="between">
      <formula>0</formula>
      <formula>0.375</formula>
    </cfRule>
  </conditionalFormatting>
  <conditionalFormatting sqref="AC197">
    <cfRule type="cellIs" dxfId="9698" priority="12716" operator="between">
      <formula>0.56251</formula>
      <formula>0.7125</formula>
    </cfRule>
    <cfRule type="cellIs" dxfId="9697" priority="12717" operator="between">
      <formula>0.3751</formula>
      <formula>0.5625</formula>
    </cfRule>
    <cfRule type="cellIs" dxfId="9696" priority="12718" operator="greaterThan">
      <formula>0.751</formula>
    </cfRule>
    <cfRule type="cellIs" dxfId="9695" priority="12719" operator="between">
      <formula>0.71251</formula>
      <formula>0.75</formula>
    </cfRule>
    <cfRule type="cellIs" dxfId="9694" priority="12720" stopIfTrue="1" operator="between">
      <formula>0</formula>
      <formula>0.375</formula>
    </cfRule>
  </conditionalFormatting>
  <conditionalFormatting sqref="AB197">
    <cfRule type="cellIs" dxfId="9693" priority="12711" operator="between">
      <formula>0.56251</formula>
      <formula>0.7125</formula>
    </cfRule>
    <cfRule type="cellIs" dxfId="9692" priority="12712" operator="between">
      <formula>0.3751</formula>
      <formula>0.5625</formula>
    </cfRule>
    <cfRule type="cellIs" dxfId="9691" priority="12713" operator="greaterThan">
      <formula>0.751</formula>
    </cfRule>
    <cfRule type="cellIs" dxfId="9690" priority="12714" operator="between">
      <formula>0.71251</formula>
      <formula>0.75</formula>
    </cfRule>
    <cfRule type="cellIs" dxfId="9689" priority="12715" stopIfTrue="1" operator="between">
      <formula>0</formula>
      <formula>0.375</formula>
    </cfRule>
  </conditionalFormatting>
  <conditionalFormatting sqref="S198">
    <cfRule type="cellIs" dxfId="9688" priority="12684" operator="between">
      <formula>0.76</formula>
      <formula>0.95</formula>
    </cfRule>
    <cfRule type="cellIs" dxfId="9687" priority="12685" operator="between">
      <formula>0.51</formula>
      <formula>0.75</formula>
    </cfRule>
    <cfRule type="cellIs" dxfId="9686" priority="12686" operator="greaterThan">
      <formula>1</formula>
    </cfRule>
    <cfRule type="cellIs" dxfId="9685" priority="12687" operator="between">
      <formula>0.95</formula>
      <formula>1</formula>
    </cfRule>
    <cfRule type="cellIs" dxfId="9684" priority="12688" stopIfTrue="1" operator="between">
      <formula>0</formula>
      <formula>0.5</formula>
    </cfRule>
  </conditionalFormatting>
  <conditionalFormatting sqref="R198">
    <cfRule type="cellIs" dxfId="9683" priority="12679" operator="between">
      <formula>0.76</formula>
      <formula>0.95</formula>
    </cfRule>
    <cfRule type="cellIs" dxfId="9682" priority="12680" operator="between">
      <formula>0.51</formula>
      <formula>0.75</formula>
    </cfRule>
    <cfRule type="cellIs" dxfId="9681" priority="12681" operator="greaterThan">
      <formula>1</formula>
    </cfRule>
    <cfRule type="cellIs" dxfId="9680" priority="12682" operator="between">
      <formula>0.95</formula>
      <formula>1</formula>
    </cfRule>
    <cfRule type="cellIs" dxfId="9679" priority="12683" stopIfTrue="1" operator="between">
      <formula>0</formula>
      <formula>0.5</formula>
    </cfRule>
  </conditionalFormatting>
  <conditionalFormatting sqref="Y198">
    <cfRule type="cellIs" dxfId="9678" priority="12674" operator="between">
      <formula>0.76</formula>
      <formula>0.95</formula>
    </cfRule>
    <cfRule type="cellIs" dxfId="9677" priority="12675" operator="between">
      <formula>0.51</formula>
      <formula>0.75</formula>
    </cfRule>
    <cfRule type="cellIs" dxfId="9676" priority="12676" operator="greaterThan">
      <formula>1</formula>
    </cfRule>
    <cfRule type="cellIs" dxfId="9675" priority="12677" operator="between">
      <formula>0.95</formula>
      <formula>1</formula>
    </cfRule>
    <cfRule type="cellIs" dxfId="9674" priority="12678" stopIfTrue="1" operator="between">
      <formula>0</formula>
      <formula>0.5</formula>
    </cfRule>
  </conditionalFormatting>
  <conditionalFormatting sqref="AF198">
    <cfRule type="cellIs" dxfId="9673" priority="12669" operator="between">
      <formula>0.76</formula>
      <formula>0.95</formula>
    </cfRule>
    <cfRule type="cellIs" dxfId="9672" priority="12670" operator="between">
      <formula>0.51</formula>
      <formula>0.75</formula>
    </cfRule>
    <cfRule type="cellIs" dxfId="9671" priority="12671" operator="greaterThan">
      <formula>1</formula>
    </cfRule>
    <cfRule type="cellIs" dxfId="9670" priority="12672" operator="between">
      <formula>0.95</formula>
      <formula>1</formula>
    </cfRule>
    <cfRule type="cellIs" dxfId="9669" priority="12673" stopIfTrue="1" operator="between">
      <formula>0</formula>
      <formula>0.5</formula>
    </cfRule>
  </conditionalFormatting>
  <conditionalFormatting sqref="AH198">
    <cfRule type="cellIs" dxfId="9668" priority="12664" operator="between">
      <formula>0.76</formula>
      <formula>0.95</formula>
    </cfRule>
    <cfRule type="cellIs" dxfId="9667" priority="12665" operator="between">
      <formula>0.51</formula>
      <formula>0.75</formula>
    </cfRule>
    <cfRule type="cellIs" dxfId="9666" priority="12666" operator="greaterThan">
      <formula>1</formula>
    </cfRule>
    <cfRule type="cellIs" dxfId="9665" priority="12667" operator="between">
      <formula>0.95</formula>
      <formula>1</formula>
    </cfRule>
    <cfRule type="cellIs" dxfId="9664" priority="12668" stopIfTrue="1" operator="between">
      <formula>0</formula>
      <formula>0.5</formula>
    </cfRule>
  </conditionalFormatting>
  <conditionalFormatting sqref="T198">
    <cfRule type="cellIs" dxfId="9663" priority="12649" operator="between">
      <formula>0.3751</formula>
      <formula>0.475</formula>
    </cfRule>
    <cfRule type="cellIs" dxfId="9662" priority="12650" operator="between">
      <formula>0.2551</formula>
      <formula>0.375</formula>
    </cfRule>
    <cfRule type="cellIs" dxfId="9661" priority="12651" operator="greaterThan">
      <formula>0.505</formula>
    </cfRule>
    <cfRule type="cellIs" dxfId="9660" priority="12652" operator="between">
      <formula>0.48</formula>
      <formula>0.5</formula>
    </cfRule>
    <cfRule type="cellIs" dxfId="9659" priority="12653" stopIfTrue="1" operator="between">
      <formula>0</formula>
      <formula>0.255</formula>
    </cfRule>
  </conditionalFormatting>
  <conditionalFormatting sqref="U198:V198">
    <cfRule type="cellIs" dxfId="9658" priority="12644" operator="between">
      <formula>0.376</formula>
      <formula>0.475</formula>
    </cfRule>
    <cfRule type="cellIs" dxfId="9657" priority="12645" operator="between">
      <formula>0.2551</formula>
      <formula>0.3751</formula>
    </cfRule>
    <cfRule type="cellIs" dxfId="9656" priority="12646" operator="greaterThan">
      <formula>0.505</formula>
    </cfRule>
    <cfRule type="cellIs" dxfId="9655" priority="12647" operator="between">
      <formula>0.48</formula>
      <formula>0.5</formula>
    </cfRule>
    <cfRule type="cellIs" dxfId="9654" priority="12648" stopIfTrue="1" operator="between">
      <formula>0</formula>
      <formula>0.255</formula>
    </cfRule>
  </conditionalFormatting>
  <conditionalFormatting sqref="Z198">
    <cfRule type="cellIs" dxfId="9653" priority="12639" operator="between">
      <formula>0.76</formula>
      <formula>0.95</formula>
    </cfRule>
    <cfRule type="cellIs" dxfId="9652" priority="12640" operator="between">
      <formula>0.51</formula>
      <formula>0.75</formula>
    </cfRule>
    <cfRule type="cellIs" dxfId="9651" priority="12641" operator="greaterThan">
      <formula>1</formula>
    </cfRule>
    <cfRule type="cellIs" dxfId="9650" priority="12642" operator="between">
      <formula>0.95</formula>
      <formula>1</formula>
    </cfRule>
    <cfRule type="cellIs" dxfId="9649" priority="12643" stopIfTrue="1" operator="between">
      <formula>0</formula>
      <formula>0.5</formula>
    </cfRule>
  </conditionalFormatting>
  <conditionalFormatting sqref="AG198">
    <cfRule type="cellIs" dxfId="9648" priority="12634" operator="between">
      <formula>0.76</formula>
      <formula>0.95</formula>
    </cfRule>
    <cfRule type="cellIs" dxfId="9647" priority="12635" operator="between">
      <formula>0.51</formula>
      <formula>0.75</formula>
    </cfRule>
    <cfRule type="cellIs" dxfId="9646" priority="12636" operator="greaterThan">
      <formula>1</formula>
    </cfRule>
    <cfRule type="cellIs" dxfId="9645" priority="12637" operator="between">
      <formula>0.95</formula>
      <formula>1</formula>
    </cfRule>
    <cfRule type="cellIs" dxfId="9644" priority="12638" stopIfTrue="1" operator="between">
      <formula>0</formula>
      <formula>0.5</formula>
    </cfRule>
  </conditionalFormatting>
  <conditionalFormatting sqref="AI198">
    <cfRule type="cellIs" dxfId="9643" priority="12629" operator="between">
      <formula>0.76</formula>
      <formula>0.95</formula>
    </cfRule>
    <cfRule type="cellIs" dxfId="9642" priority="12630" operator="between">
      <formula>0.51</formula>
      <formula>0.75</formula>
    </cfRule>
    <cfRule type="cellIs" dxfId="9641" priority="12631" operator="greaterThan">
      <formula>1</formula>
    </cfRule>
    <cfRule type="cellIs" dxfId="9640" priority="12632" operator="between">
      <formula>0.95</formula>
      <formula>1</formula>
    </cfRule>
    <cfRule type="cellIs" dxfId="9639" priority="12633" stopIfTrue="1" operator="between">
      <formula>0</formula>
      <formula>0.5</formula>
    </cfRule>
  </conditionalFormatting>
  <conditionalFormatting sqref="AA198">
    <cfRule type="cellIs" dxfId="9638" priority="12624" operator="between">
      <formula>0.56251</formula>
      <formula>0.7125</formula>
    </cfRule>
    <cfRule type="cellIs" dxfId="9637" priority="12625" operator="between">
      <formula>0.3751</formula>
      <formula>0.5625</formula>
    </cfRule>
    <cfRule type="cellIs" dxfId="9636" priority="12626" operator="greaterThan">
      <formula>0.751</formula>
    </cfRule>
    <cfRule type="cellIs" dxfId="9635" priority="12627" operator="between">
      <formula>0.71251</formula>
      <formula>0.75</formula>
    </cfRule>
    <cfRule type="cellIs" dxfId="9634" priority="12628" stopIfTrue="1" operator="between">
      <formula>0</formula>
      <formula>0.375</formula>
    </cfRule>
  </conditionalFormatting>
  <conditionalFormatting sqref="AC198">
    <cfRule type="cellIs" dxfId="9633" priority="12619" operator="between">
      <formula>0.56251</formula>
      <formula>0.7125</formula>
    </cfRule>
    <cfRule type="cellIs" dxfId="9632" priority="12620" operator="between">
      <formula>0.3751</formula>
      <formula>0.5625</formula>
    </cfRule>
    <cfRule type="cellIs" dxfId="9631" priority="12621" operator="greaterThan">
      <formula>0.751</formula>
    </cfRule>
    <cfRule type="cellIs" dxfId="9630" priority="12622" operator="between">
      <formula>0.71251</formula>
      <formula>0.75</formula>
    </cfRule>
    <cfRule type="cellIs" dxfId="9629" priority="12623" stopIfTrue="1" operator="between">
      <formula>0</formula>
      <formula>0.375</formula>
    </cfRule>
  </conditionalFormatting>
  <conditionalFormatting sqref="AB198">
    <cfRule type="cellIs" dxfId="9628" priority="12614" operator="between">
      <formula>0.56251</formula>
      <formula>0.7125</formula>
    </cfRule>
    <cfRule type="cellIs" dxfId="9627" priority="12615" operator="between">
      <formula>0.3751</formula>
      <formula>0.5625</formula>
    </cfRule>
    <cfRule type="cellIs" dxfId="9626" priority="12616" operator="greaterThan">
      <formula>0.751</formula>
    </cfRule>
    <cfRule type="cellIs" dxfId="9625" priority="12617" operator="between">
      <formula>0.71251</formula>
      <formula>0.75</formula>
    </cfRule>
    <cfRule type="cellIs" dxfId="9624" priority="12618" stopIfTrue="1" operator="between">
      <formula>0</formula>
      <formula>0.375</formula>
    </cfRule>
  </conditionalFormatting>
  <conditionalFormatting sqref="AG146 AI146 S146 Z146">
    <cfRule type="cellIs" dxfId="9623" priority="12587" operator="between">
      <formula>0.76</formula>
      <formula>0.95</formula>
    </cfRule>
    <cfRule type="cellIs" dxfId="9622" priority="12588" operator="between">
      <formula>0.51</formula>
      <formula>0.75</formula>
    </cfRule>
    <cfRule type="cellIs" dxfId="9621" priority="12589" operator="greaterThan">
      <formula>1</formula>
    </cfRule>
    <cfRule type="cellIs" dxfId="9620" priority="12590" operator="between">
      <formula>0.95</formula>
      <formula>1</formula>
    </cfRule>
    <cfRule type="cellIs" dxfId="9619" priority="12591" stopIfTrue="1" operator="between">
      <formula>0</formula>
      <formula>0.5</formula>
    </cfRule>
  </conditionalFormatting>
  <conditionalFormatting sqref="R146">
    <cfRule type="cellIs" dxfId="9618" priority="12577" operator="between">
      <formula>0.76</formula>
      <formula>0.95</formula>
    </cfRule>
    <cfRule type="cellIs" dxfId="9617" priority="12578" operator="between">
      <formula>0.51</formula>
      <formula>0.75</formula>
    </cfRule>
    <cfRule type="cellIs" dxfId="9616" priority="12579" operator="greaterThan">
      <formula>1</formula>
    </cfRule>
    <cfRule type="cellIs" dxfId="9615" priority="12580" operator="between">
      <formula>0.95</formula>
      <formula>1</formula>
    </cfRule>
    <cfRule type="cellIs" dxfId="9614" priority="12581" stopIfTrue="1" operator="between">
      <formula>0</formula>
      <formula>0.5</formula>
    </cfRule>
  </conditionalFormatting>
  <conditionalFormatting sqref="Y146">
    <cfRule type="cellIs" dxfId="9613" priority="12572" operator="between">
      <formula>0.76</formula>
      <formula>0.95</formula>
    </cfRule>
    <cfRule type="cellIs" dxfId="9612" priority="12573" operator="between">
      <formula>0.51</formula>
      <formula>0.75</formula>
    </cfRule>
    <cfRule type="cellIs" dxfId="9611" priority="12574" operator="greaterThan">
      <formula>1</formula>
    </cfRule>
    <cfRule type="cellIs" dxfId="9610" priority="12575" operator="between">
      <formula>0.95</formula>
      <formula>1</formula>
    </cfRule>
    <cfRule type="cellIs" dxfId="9609" priority="12576" stopIfTrue="1" operator="between">
      <formula>0</formula>
      <formula>0.5</formula>
    </cfRule>
  </conditionalFormatting>
  <conditionalFormatting sqref="AF146">
    <cfRule type="cellIs" dxfId="9608" priority="12567" operator="between">
      <formula>0.76</formula>
      <formula>0.95</formula>
    </cfRule>
    <cfRule type="cellIs" dxfId="9607" priority="12568" operator="between">
      <formula>0.51</formula>
      <formula>0.75</formula>
    </cfRule>
    <cfRule type="cellIs" dxfId="9606" priority="12569" operator="greaterThan">
      <formula>1</formula>
    </cfRule>
    <cfRule type="cellIs" dxfId="9605" priority="12570" operator="between">
      <formula>0.95</formula>
      <formula>1</formula>
    </cfRule>
    <cfRule type="cellIs" dxfId="9604" priority="12571" stopIfTrue="1" operator="between">
      <formula>0</formula>
      <formula>0.5</formula>
    </cfRule>
  </conditionalFormatting>
  <conditionalFormatting sqref="AH146">
    <cfRule type="cellIs" dxfId="9603" priority="12562" operator="between">
      <formula>0.76</formula>
      <formula>0.95</formula>
    </cfRule>
    <cfRule type="cellIs" dxfId="9602" priority="12563" operator="between">
      <formula>0.51</formula>
      <formula>0.75</formula>
    </cfRule>
    <cfRule type="cellIs" dxfId="9601" priority="12564" operator="greaterThan">
      <formula>1</formula>
    </cfRule>
    <cfRule type="cellIs" dxfId="9600" priority="12565" operator="between">
      <formula>0.95</formula>
      <formula>1</formula>
    </cfRule>
    <cfRule type="cellIs" dxfId="9599" priority="12566" stopIfTrue="1" operator="between">
      <formula>0</formula>
      <formula>0.5</formula>
    </cfRule>
  </conditionalFormatting>
  <conditionalFormatting sqref="T146">
    <cfRule type="cellIs" dxfId="9598" priority="12547" operator="between">
      <formula>0.3751</formula>
      <formula>0.475</formula>
    </cfRule>
    <cfRule type="cellIs" dxfId="9597" priority="12548" operator="between">
      <formula>0.2551</formula>
      <formula>0.375</formula>
    </cfRule>
    <cfRule type="cellIs" dxfId="9596" priority="12549" operator="greaterThan">
      <formula>0.505</formula>
    </cfRule>
    <cfRule type="cellIs" dxfId="9595" priority="12550" operator="between">
      <formula>0.48</formula>
      <formula>0.5</formula>
    </cfRule>
    <cfRule type="cellIs" dxfId="9594" priority="12551" stopIfTrue="1" operator="between">
      <formula>0</formula>
      <formula>0.255</formula>
    </cfRule>
  </conditionalFormatting>
  <conditionalFormatting sqref="U146:V146">
    <cfRule type="cellIs" dxfId="9593" priority="12542" operator="between">
      <formula>0.376</formula>
      <formula>0.475</formula>
    </cfRule>
    <cfRule type="cellIs" dxfId="9592" priority="12543" operator="between">
      <formula>0.2551</formula>
      <formula>0.3751</formula>
    </cfRule>
    <cfRule type="cellIs" dxfId="9591" priority="12544" operator="greaterThan">
      <formula>0.505</formula>
    </cfRule>
    <cfRule type="cellIs" dxfId="9590" priority="12545" operator="between">
      <formula>0.48</formula>
      <formula>0.5</formula>
    </cfRule>
    <cfRule type="cellIs" dxfId="9589" priority="12546" stopIfTrue="1" operator="between">
      <formula>0</formula>
      <formula>0.255</formula>
    </cfRule>
  </conditionalFormatting>
  <conditionalFormatting sqref="AA146">
    <cfRule type="cellIs" dxfId="9588" priority="12537" operator="between">
      <formula>0.56251</formula>
      <formula>0.7125</formula>
    </cfRule>
    <cfRule type="cellIs" dxfId="9587" priority="12538" operator="between">
      <formula>0.3751</formula>
      <formula>0.5625</formula>
    </cfRule>
    <cfRule type="cellIs" dxfId="9586" priority="12539" operator="greaterThan">
      <formula>0.751</formula>
    </cfRule>
    <cfRule type="cellIs" dxfId="9585" priority="12540" operator="between">
      <formula>0.71251</formula>
      <formula>0.75</formula>
    </cfRule>
    <cfRule type="cellIs" dxfId="9584" priority="12541" stopIfTrue="1" operator="between">
      <formula>0</formula>
      <formula>0.375</formula>
    </cfRule>
  </conditionalFormatting>
  <conditionalFormatting sqref="AC146">
    <cfRule type="cellIs" dxfId="9583" priority="12532" operator="between">
      <formula>0.56251</formula>
      <formula>0.7125</formula>
    </cfRule>
    <cfRule type="cellIs" dxfId="9582" priority="12533" operator="between">
      <formula>0.3751</formula>
      <formula>0.5625</formula>
    </cfRule>
    <cfRule type="cellIs" dxfId="9581" priority="12534" operator="greaterThan">
      <formula>0.751</formula>
    </cfRule>
    <cfRule type="cellIs" dxfId="9580" priority="12535" operator="between">
      <formula>0.71251</formula>
      <formula>0.75</formula>
    </cfRule>
    <cfRule type="cellIs" dxfId="9579" priority="12536" stopIfTrue="1" operator="between">
      <formula>0</formula>
      <formula>0.375</formula>
    </cfRule>
  </conditionalFormatting>
  <conditionalFormatting sqref="AB146">
    <cfRule type="cellIs" dxfId="9578" priority="12527" operator="between">
      <formula>0.56251</formula>
      <formula>0.7125</formula>
    </cfRule>
    <cfRule type="cellIs" dxfId="9577" priority="12528" operator="between">
      <formula>0.3751</formula>
      <formula>0.5625</formula>
    </cfRule>
    <cfRule type="cellIs" dxfId="9576" priority="12529" operator="greaterThan">
      <formula>0.751</formula>
    </cfRule>
    <cfRule type="cellIs" dxfId="9575" priority="12530" operator="between">
      <formula>0.71251</formula>
      <formula>0.75</formula>
    </cfRule>
    <cfRule type="cellIs" dxfId="9574" priority="12531" stopIfTrue="1" operator="between">
      <formula>0</formula>
      <formula>0.375</formula>
    </cfRule>
  </conditionalFormatting>
  <conditionalFormatting sqref="AG289 AI289 S289 Z289">
    <cfRule type="cellIs" dxfId="9573" priority="12505" operator="between">
      <formula>0.76</formula>
      <formula>0.95</formula>
    </cfRule>
    <cfRule type="cellIs" dxfId="9572" priority="12506" operator="between">
      <formula>0.51</formula>
      <formula>0.75</formula>
    </cfRule>
    <cfRule type="cellIs" dxfId="9571" priority="12507" operator="greaterThan">
      <formula>1</formula>
    </cfRule>
    <cfRule type="cellIs" dxfId="9570" priority="12508" operator="between">
      <formula>0.95</formula>
      <formula>1</formula>
    </cfRule>
    <cfRule type="cellIs" dxfId="9569" priority="12509" stopIfTrue="1" operator="between">
      <formula>0</formula>
      <formula>0.5</formula>
    </cfRule>
  </conditionalFormatting>
  <conditionalFormatting sqref="R289">
    <cfRule type="cellIs" dxfId="9568" priority="12495" operator="between">
      <formula>0.76</formula>
      <formula>0.95</formula>
    </cfRule>
    <cfRule type="cellIs" dxfId="9567" priority="12496" operator="between">
      <formula>0.51</formula>
      <formula>0.75</formula>
    </cfRule>
    <cfRule type="cellIs" dxfId="9566" priority="12497" operator="greaterThan">
      <formula>1</formula>
    </cfRule>
    <cfRule type="cellIs" dxfId="9565" priority="12498" operator="between">
      <formula>0.95</formula>
      <formula>1</formula>
    </cfRule>
    <cfRule type="cellIs" dxfId="9564" priority="12499" stopIfTrue="1" operator="between">
      <formula>0</formula>
      <formula>0.5</formula>
    </cfRule>
  </conditionalFormatting>
  <conditionalFormatting sqref="Y289">
    <cfRule type="cellIs" dxfId="9563" priority="12490" operator="between">
      <formula>0.76</formula>
      <formula>0.95</formula>
    </cfRule>
    <cfRule type="cellIs" dxfId="9562" priority="12491" operator="between">
      <formula>0.51</formula>
      <formula>0.75</formula>
    </cfRule>
    <cfRule type="cellIs" dxfId="9561" priority="12492" operator="greaterThan">
      <formula>1</formula>
    </cfRule>
    <cfRule type="cellIs" dxfId="9560" priority="12493" operator="between">
      <formula>0.95</formula>
      <formula>1</formula>
    </cfRule>
    <cfRule type="cellIs" dxfId="9559" priority="12494" stopIfTrue="1" operator="between">
      <formula>0</formula>
      <formula>0.5</formula>
    </cfRule>
  </conditionalFormatting>
  <conditionalFormatting sqref="AF289">
    <cfRule type="cellIs" dxfId="9558" priority="12485" operator="between">
      <formula>0.76</formula>
      <formula>0.95</formula>
    </cfRule>
    <cfRule type="cellIs" dxfId="9557" priority="12486" operator="between">
      <formula>0.51</formula>
      <formula>0.75</formula>
    </cfRule>
    <cfRule type="cellIs" dxfId="9556" priority="12487" operator="greaterThan">
      <formula>1</formula>
    </cfRule>
    <cfRule type="cellIs" dxfId="9555" priority="12488" operator="between">
      <formula>0.95</formula>
      <formula>1</formula>
    </cfRule>
    <cfRule type="cellIs" dxfId="9554" priority="12489" stopIfTrue="1" operator="between">
      <formula>0</formula>
      <formula>0.5</formula>
    </cfRule>
  </conditionalFormatting>
  <conditionalFormatting sqref="AH289">
    <cfRule type="cellIs" dxfId="9553" priority="12480" operator="between">
      <formula>0.76</formula>
      <formula>0.95</formula>
    </cfRule>
    <cfRule type="cellIs" dxfId="9552" priority="12481" operator="between">
      <formula>0.51</formula>
      <formula>0.75</formula>
    </cfRule>
    <cfRule type="cellIs" dxfId="9551" priority="12482" operator="greaterThan">
      <formula>1</formula>
    </cfRule>
    <cfRule type="cellIs" dxfId="9550" priority="12483" operator="between">
      <formula>0.95</formula>
      <formula>1</formula>
    </cfRule>
    <cfRule type="cellIs" dxfId="9549" priority="12484" stopIfTrue="1" operator="between">
      <formula>0</formula>
      <formula>0.5</formula>
    </cfRule>
  </conditionalFormatting>
  <conditionalFormatting sqref="T289">
    <cfRule type="cellIs" dxfId="9548" priority="12465" operator="between">
      <formula>0.3751</formula>
      <formula>0.475</formula>
    </cfRule>
    <cfRule type="cellIs" dxfId="9547" priority="12466" operator="between">
      <formula>0.2551</formula>
      <formula>0.375</formula>
    </cfRule>
    <cfRule type="cellIs" dxfId="9546" priority="12467" operator="greaterThan">
      <formula>0.505</formula>
    </cfRule>
    <cfRule type="cellIs" dxfId="9545" priority="12468" operator="between">
      <formula>0.48</formula>
      <formula>0.5</formula>
    </cfRule>
    <cfRule type="cellIs" dxfId="9544" priority="12469" stopIfTrue="1" operator="between">
      <formula>0</formula>
      <formula>0.255</formula>
    </cfRule>
  </conditionalFormatting>
  <conditionalFormatting sqref="U289:V289">
    <cfRule type="cellIs" dxfId="9543" priority="12460" operator="between">
      <formula>0.376</formula>
      <formula>0.475</formula>
    </cfRule>
    <cfRule type="cellIs" dxfId="9542" priority="12461" operator="between">
      <formula>0.2551</formula>
      <formula>0.3751</formula>
    </cfRule>
    <cfRule type="cellIs" dxfId="9541" priority="12462" operator="greaterThan">
      <formula>0.505</formula>
    </cfRule>
    <cfRule type="cellIs" dxfId="9540" priority="12463" operator="between">
      <formula>0.48</formula>
      <formula>0.5</formula>
    </cfRule>
    <cfRule type="cellIs" dxfId="9539" priority="12464" stopIfTrue="1" operator="between">
      <formula>0</formula>
      <formula>0.255</formula>
    </cfRule>
  </conditionalFormatting>
  <conditionalFormatting sqref="AA289">
    <cfRule type="cellIs" dxfId="9538" priority="12455" operator="between">
      <formula>0.56251</formula>
      <formula>0.7125</formula>
    </cfRule>
    <cfRule type="cellIs" dxfId="9537" priority="12456" operator="between">
      <formula>0.3751</formula>
      <formula>0.5625</formula>
    </cfRule>
    <cfRule type="cellIs" dxfId="9536" priority="12457" operator="greaterThan">
      <formula>0.751</formula>
    </cfRule>
    <cfRule type="cellIs" dxfId="9535" priority="12458" operator="between">
      <formula>0.71251</formula>
      <formula>0.75</formula>
    </cfRule>
    <cfRule type="cellIs" dxfId="9534" priority="12459" stopIfTrue="1" operator="between">
      <formula>0</formula>
      <formula>0.375</formula>
    </cfRule>
  </conditionalFormatting>
  <conditionalFormatting sqref="AC289">
    <cfRule type="cellIs" dxfId="9533" priority="12450" operator="between">
      <formula>0.56251</formula>
      <formula>0.7125</formula>
    </cfRule>
    <cfRule type="cellIs" dxfId="9532" priority="12451" operator="between">
      <formula>0.3751</formula>
      <formula>0.5625</formula>
    </cfRule>
    <cfRule type="cellIs" dxfId="9531" priority="12452" operator="greaterThan">
      <formula>0.751</formula>
    </cfRule>
    <cfRule type="cellIs" dxfId="9530" priority="12453" operator="between">
      <formula>0.71251</formula>
      <formula>0.75</formula>
    </cfRule>
    <cfRule type="cellIs" dxfId="9529" priority="12454" stopIfTrue="1" operator="between">
      <formula>0</formula>
      <formula>0.375</formula>
    </cfRule>
  </conditionalFormatting>
  <conditionalFormatting sqref="AB289">
    <cfRule type="cellIs" dxfId="9528" priority="12445" operator="between">
      <formula>0.56251</formula>
      <formula>0.7125</formula>
    </cfRule>
    <cfRule type="cellIs" dxfId="9527" priority="12446" operator="between">
      <formula>0.3751</formula>
      <formula>0.5625</formula>
    </cfRule>
    <cfRule type="cellIs" dxfId="9526" priority="12447" operator="greaterThan">
      <formula>0.751</formula>
    </cfRule>
    <cfRule type="cellIs" dxfId="9525" priority="12448" operator="between">
      <formula>0.71251</formula>
      <formula>0.75</formula>
    </cfRule>
    <cfRule type="cellIs" dxfId="9524" priority="12449" stopIfTrue="1" operator="between">
      <formula>0</formula>
      <formula>0.375</formula>
    </cfRule>
  </conditionalFormatting>
  <conditionalFormatting sqref="R199">
    <cfRule type="cellIs" dxfId="9523" priority="12413" operator="between">
      <formula>0.76</formula>
      <formula>0.95</formula>
    </cfRule>
    <cfRule type="cellIs" dxfId="9522" priority="12414" operator="between">
      <formula>0.51</formula>
      <formula>0.75</formula>
    </cfRule>
    <cfRule type="cellIs" dxfId="9521" priority="12415" operator="greaterThan">
      <formula>1</formula>
    </cfRule>
    <cfRule type="cellIs" dxfId="9520" priority="12416" operator="between">
      <formula>0.95</formula>
      <formula>1</formula>
    </cfRule>
    <cfRule type="cellIs" dxfId="9519" priority="12417" stopIfTrue="1" operator="between">
      <formula>0</formula>
      <formula>0.5</formula>
    </cfRule>
  </conditionalFormatting>
  <conditionalFormatting sqref="Y199">
    <cfRule type="cellIs" dxfId="9518" priority="12408" operator="between">
      <formula>0.76</formula>
      <formula>0.95</formula>
    </cfRule>
    <cfRule type="cellIs" dxfId="9517" priority="12409" operator="between">
      <formula>0.51</formula>
      <formula>0.75</formula>
    </cfRule>
    <cfRule type="cellIs" dxfId="9516" priority="12410" operator="greaterThan">
      <formula>1</formula>
    </cfRule>
    <cfRule type="cellIs" dxfId="9515" priority="12411" operator="between">
      <formula>0.95</formula>
      <formula>1</formula>
    </cfRule>
    <cfRule type="cellIs" dxfId="9514" priority="12412" stopIfTrue="1" operator="between">
      <formula>0</formula>
      <formula>0.5</formula>
    </cfRule>
  </conditionalFormatting>
  <conditionalFormatting sqref="AF199">
    <cfRule type="cellIs" dxfId="9513" priority="12403" operator="between">
      <formula>0.76</formula>
      <formula>0.95</formula>
    </cfRule>
    <cfRule type="cellIs" dxfId="9512" priority="12404" operator="between">
      <formula>0.51</formula>
      <formula>0.75</formula>
    </cfRule>
    <cfRule type="cellIs" dxfId="9511" priority="12405" operator="greaterThan">
      <formula>1</formula>
    </cfRule>
    <cfRule type="cellIs" dxfId="9510" priority="12406" operator="between">
      <formula>0.95</formula>
      <formula>1</formula>
    </cfRule>
    <cfRule type="cellIs" dxfId="9509" priority="12407" stopIfTrue="1" operator="between">
      <formula>0</formula>
      <formula>0.5</formula>
    </cfRule>
  </conditionalFormatting>
  <conditionalFormatting sqref="AH199">
    <cfRule type="cellIs" dxfId="9508" priority="12398" operator="between">
      <formula>0.76</formula>
      <formula>0.95</formula>
    </cfRule>
    <cfRule type="cellIs" dxfId="9507" priority="12399" operator="between">
      <formula>0.51</formula>
      <formula>0.75</formula>
    </cfRule>
    <cfRule type="cellIs" dxfId="9506" priority="12400" operator="greaterThan">
      <formula>1</formula>
    </cfRule>
    <cfRule type="cellIs" dxfId="9505" priority="12401" operator="between">
      <formula>0.95</formula>
      <formula>1</formula>
    </cfRule>
    <cfRule type="cellIs" dxfId="9504" priority="12402" stopIfTrue="1" operator="between">
      <formula>0</formula>
      <formula>0.5</formula>
    </cfRule>
  </conditionalFormatting>
  <conditionalFormatting sqref="T199">
    <cfRule type="cellIs" dxfId="9503" priority="12383" operator="between">
      <formula>0.3751</formula>
      <formula>0.475</formula>
    </cfRule>
    <cfRule type="cellIs" dxfId="9502" priority="12384" operator="between">
      <formula>0.2551</formula>
      <formula>0.375</formula>
    </cfRule>
    <cfRule type="cellIs" dxfId="9501" priority="12385" operator="greaterThan">
      <formula>0.505</formula>
    </cfRule>
    <cfRule type="cellIs" dxfId="9500" priority="12386" operator="between">
      <formula>0.48</formula>
      <formula>0.5</formula>
    </cfRule>
    <cfRule type="cellIs" dxfId="9499" priority="12387" stopIfTrue="1" operator="between">
      <formula>0</formula>
      <formula>0.255</formula>
    </cfRule>
  </conditionalFormatting>
  <conditionalFormatting sqref="U199">
    <cfRule type="cellIs" dxfId="9498" priority="12378" operator="between">
      <formula>0.376</formula>
      <formula>0.475</formula>
    </cfRule>
    <cfRule type="cellIs" dxfId="9497" priority="12379" operator="between">
      <formula>0.2551</formula>
      <formula>0.3751</formula>
    </cfRule>
    <cfRule type="cellIs" dxfId="9496" priority="12380" operator="greaterThan">
      <formula>0.505</formula>
    </cfRule>
    <cfRule type="cellIs" dxfId="9495" priority="12381" operator="between">
      <formula>0.48</formula>
      <formula>0.5</formula>
    </cfRule>
    <cfRule type="cellIs" dxfId="9494" priority="12382" stopIfTrue="1" operator="between">
      <formula>0</formula>
      <formula>0.255</formula>
    </cfRule>
  </conditionalFormatting>
  <conditionalFormatting sqref="Z199">
    <cfRule type="cellIs" dxfId="9493" priority="12373" operator="between">
      <formula>0.76</formula>
      <formula>0.95</formula>
    </cfRule>
    <cfRule type="cellIs" dxfId="9492" priority="12374" operator="between">
      <formula>0.51</formula>
      <formula>0.75</formula>
    </cfRule>
    <cfRule type="cellIs" dxfId="9491" priority="12375" operator="greaterThan">
      <formula>1</formula>
    </cfRule>
    <cfRule type="cellIs" dxfId="9490" priority="12376" operator="between">
      <formula>0.95</formula>
      <formula>1</formula>
    </cfRule>
    <cfRule type="cellIs" dxfId="9489" priority="12377" stopIfTrue="1" operator="between">
      <formula>0</formula>
      <formula>0.5</formula>
    </cfRule>
  </conditionalFormatting>
  <conditionalFormatting sqref="AG199">
    <cfRule type="cellIs" dxfId="9488" priority="12368" operator="between">
      <formula>0.76</formula>
      <formula>0.95</formula>
    </cfRule>
    <cfRule type="cellIs" dxfId="9487" priority="12369" operator="between">
      <formula>0.51</formula>
      <formula>0.75</formula>
    </cfRule>
    <cfRule type="cellIs" dxfId="9486" priority="12370" operator="greaterThan">
      <formula>1</formula>
    </cfRule>
    <cfRule type="cellIs" dxfId="9485" priority="12371" operator="between">
      <formula>0.95</formula>
      <formula>1</formula>
    </cfRule>
    <cfRule type="cellIs" dxfId="9484" priority="12372" stopIfTrue="1" operator="between">
      <formula>0</formula>
      <formula>0.5</formula>
    </cfRule>
  </conditionalFormatting>
  <conditionalFormatting sqref="AI199">
    <cfRule type="cellIs" dxfId="9483" priority="12363" operator="between">
      <formula>0.76</formula>
      <formula>0.95</formula>
    </cfRule>
    <cfRule type="cellIs" dxfId="9482" priority="12364" operator="between">
      <formula>0.51</formula>
      <formula>0.75</formula>
    </cfRule>
    <cfRule type="cellIs" dxfId="9481" priority="12365" operator="greaterThan">
      <formula>1</formula>
    </cfRule>
    <cfRule type="cellIs" dxfId="9480" priority="12366" operator="between">
      <formula>0.95</formula>
      <formula>1</formula>
    </cfRule>
    <cfRule type="cellIs" dxfId="9479" priority="12367" stopIfTrue="1" operator="between">
      <formula>0</formula>
      <formula>0.5</formula>
    </cfRule>
  </conditionalFormatting>
  <conditionalFormatting sqref="AA199">
    <cfRule type="cellIs" dxfId="9478" priority="12358" operator="between">
      <formula>0.56251</formula>
      <formula>0.7125</formula>
    </cfRule>
    <cfRule type="cellIs" dxfId="9477" priority="12359" operator="between">
      <formula>0.3751</formula>
      <formula>0.5625</formula>
    </cfRule>
    <cfRule type="cellIs" dxfId="9476" priority="12360" operator="greaterThan">
      <formula>0.751</formula>
    </cfRule>
    <cfRule type="cellIs" dxfId="9475" priority="12361" operator="between">
      <formula>0.71251</formula>
      <formula>0.75</formula>
    </cfRule>
    <cfRule type="cellIs" dxfId="9474" priority="12362" stopIfTrue="1" operator="between">
      <formula>0</formula>
      <formula>0.375</formula>
    </cfRule>
  </conditionalFormatting>
  <conditionalFormatting sqref="AC199">
    <cfRule type="cellIs" dxfId="9473" priority="12353" operator="between">
      <formula>0.56251</formula>
      <formula>0.7125</formula>
    </cfRule>
    <cfRule type="cellIs" dxfId="9472" priority="12354" operator="between">
      <formula>0.3751</formula>
      <formula>0.5625</formula>
    </cfRule>
    <cfRule type="cellIs" dxfId="9471" priority="12355" operator="greaterThan">
      <formula>0.751</formula>
    </cfRule>
    <cfRule type="cellIs" dxfId="9470" priority="12356" operator="between">
      <formula>0.71251</formula>
      <formula>0.75</formula>
    </cfRule>
    <cfRule type="cellIs" dxfId="9469" priority="12357" stopIfTrue="1" operator="between">
      <formula>0</formula>
      <formula>0.375</formula>
    </cfRule>
  </conditionalFormatting>
  <conditionalFormatting sqref="AB199">
    <cfRule type="cellIs" dxfId="9468" priority="12348" operator="between">
      <formula>0.56251</formula>
      <formula>0.7125</formula>
    </cfRule>
    <cfRule type="cellIs" dxfId="9467" priority="12349" operator="between">
      <formula>0.3751</formula>
      <formula>0.5625</formula>
    </cfRule>
    <cfRule type="cellIs" dxfId="9466" priority="12350" operator="greaterThan">
      <formula>0.751</formula>
    </cfRule>
    <cfRule type="cellIs" dxfId="9465" priority="12351" operator="between">
      <formula>0.71251</formula>
      <formula>0.75</formula>
    </cfRule>
    <cfRule type="cellIs" dxfId="9464" priority="12352" stopIfTrue="1" operator="between">
      <formula>0</formula>
      <formula>0.375</formula>
    </cfRule>
  </conditionalFormatting>
  <conditionalFormatting sqref="S199">
    <cfRule type="cellIs" dxfId="9463" priority="12326" operator="between">
      <formula>0.76</formula>
      <formula>0.95</formula>
    </cfRule>
    <cfRule type="cellIs" dxfId="9462" priority="12327" operator="between">
      <formula>0.51</formula>
      <formula>0.75</formula>
    </cfRule>
    <cfRule type="cellIs" dxfId="9461" priority="12328" operator="greaterThan">
      <formula>1</formula>
    </cfRule>
    <cfRule type="cellIs" dxfId="9460" priority="12329" operator="between">
      <formula>0.95</formula>
      <formula>1</formula>
    </cfRule>
    <cfRule type="cellIs" dxfId="9459" priority="12330" stopIfTrue="1" operator="between">
      <formula>0</formula>
      <formula>0.5</formula>
    </cfRule>
  </conditionalFormatting>
  <conditionalFormatting sqref="V199">
    <cfRule type="cellIs" dxfId="9458" priority="12321" operator="between">
      <formula>0.376</formula>
      <formula>0.475</formula>
    </cfRule>
    <cfRule type="cellIs" dxfId="9457" priority="12322" operator="between">
      <formula>0.2551</formula>
      <formula>0.3751</formula>
    </cfRule>
    <cfRule type="cellIs" dxfId="9456" priority="12323" operator="greaterThan">
      <formula>0.505</formula>
    </cfRule>
    <cfRule type="cellIs" dxfId="9455" priority="12324" operator="between">
      <formula>0.48</formula>
      <formula>0.5</formula>
    </cfRule>
    <cfRule type="cellIs" dxfId="9454" priority="12325" stopIfTrue="1" operator="between">
      <formula>0</formula>
      <formula>0.255</formula>
    </cfRule>
  </conditionalFormatting>
  <conditionalFormatting sqref="R200:R201">
    <cfRule type="cellIs" dxfId="9453" priority="12311" operator="between">
      <formula>0.76</formula>
      <formula>0.95</formula>
    </cfRule>
    <cfRule type="cellIs" dxfId="9452" priority="12312" operator="between">
      <formula>0.51</formula>
      <formula>0.75</formula>
    </cfRule>
    <cfRule type="cellIs" dxfId="9451" priority="12313" operator="greaterThan">
      <formula>1</formula>
    </cfRule>
    <cfRule type="cellIs" dxfId="9450" priority="12314" operator="between">
      <formula>0.95</formula>
      <formula>1</formula>
    </cfRule>
    <cfRule type="cellIs" dxfId="9449" priority="12315" stopIfTrue="1" operator="between">
      <formula>0</formula>
      <formula>0.5</formula>
    </cfRule>
  </conditionalFormatting>
  <conditionalFormatting sqref="Y200:Y201">
    <cfRule type="cellIs" dxfId="9448" priority="12306" operator="between">
      <formula>0.76</formula>
      <formula>0.95</formula>
    </cfRule>
    <cfRule type="cellIs" dxfId="9447" priority="12307" operator="between">
      <formula>0.51</formula>
      <formula>0.75</formula>
    </cfRule>
    <cfRule type="cellIs" dxfId="9446" priority="12308" operator="greaterThan">
      <formula>1</formula>
    </cfRule>
    <cfRule type="cellIs" dxfId="9445" priority="12309" operator="between">
      <formula>0.95</formula>
      <formula>1</formula>
    </cfRule>
    <cfRule type="cellIs" dxfId="9444" priority="12310" stopIfTrue="1" operator="between">
      <formula>0</formula>
      <formula>0.5</formula>
    </cfRule>
  </conditionalFormatting>
  <conditionalFormatting sqref="AF200:AF201">
    <cfRule type="cellIs" dxfId="9443" priority="12301" operator="between">
      <formula>0.76</formula>
      <formula>0.95</formula>
    </cfRule>
    <cfRule type="cellIs" dxfId="9442" priority="12302" operator="between">
      <formula>0.51</formula>
      <formula>0.75</formula>
    </cfRule>
    <cfRule type="cellIs" dxfId="9441" priority="12303" operator="greaterThan">
      <formula>1</formula>
    </cfRule>
    <cfRule type="cellIs" dxfId="9440" priority="12304" operator="between">
      <formula>0.95</formula>
      <formula>1</formula>
    </cfRule>
    <cfRule type="cellIs" dxfId="9439" priority="12305" stopIfTrue="1" operator="between">
      <formula>0</formula>
      <formula>0.5</formula>
    </cfRule>
  </conditionalFormatting>
  <conditionalFormatting sqref="AH200:AH201">
    <cfRule type="cellIs" dxfId="9438" priority="12296" operator="between">
      <formula>0.76</formula>
      <formula>0.95</formula>
    </cfRule>
    <cfRule type="cellIs" dxfId="9437" priority="12297" operator="between">
      <formula>0.51</formula>
      <formula>0.75</formula>
    </cfRule>
    <cfRule type="cellIs" dxfId="9436" priority="12298" operator="greaterThan">
      <formula>1</formula>
    </cfRule>
    <cfRule type="cellIs" dxfId="9435" priority="12299" operator="between">
      <formula>0.95</formula>
      <formula>1</formula>
    </cfRule>
    <cfRule type="cellIs" dxfId="9434" priority="12300" stopIfTrue="1" operator="between">
      <formula>0</formula>
      <formula>0.5</formula>
    </cfRule>
  </conditionalFormatting>
  <conditionalFormatting sqref="T200:T201">
    <cfRule type="cellIs" dxfId="9433" priority="12281" operator="between">
      <formula>0.3751</formula>
      <formula>0.475</formula>
    </cfRule>
    <cfRule type="cellIs" dxfId="9432" priority="12282" operator="between">
      <formula>0.2551</formula>
      <formula>0.375</formula>
    </cfRule>
    <cfRule type="cellIs" dxfId="9431" priority="12283" operator="greaterThan">
      <formula>0.505</formula>
    </cfRule>
    <cfRule type="cellIs" dxfId="9430" priority="12284" operator="between">
      <formula>0.48</formula>
      <formula>0.5</formula>
    </cfRule>
    <cfRule type="cellIs" dxfId="9429" priority="12285" stopIfTrue="1" operator="between">
      <formula>0</formula>
      <formula>0.255</formula>
    </cfRule>
  </conditionalFormatting>
  <conditionalFormatting sqref="U200:U201">
    <cfRule type="cellIs" dxfId="9428" priority="12276" operator="between">
      <formula>0.376</formula>
      <formula>0.475</formula>
    </cfRule>
    <cfRule type="cellIs" dxfId="9427" priority="12277" operator="between">
      <formula>0.2551</formula>
      <formula>0.3751</formula>
    </cfRule>
    <cfRule type="cellIs" dxfId="9426" priority="12278" operator="greaterThan">
      <formula>0.505</formula>
    </cfRule>
    <cfRule type="cellIs" dxfId="9425" priority="12279" operator="between">
      <formula>0.48</formula>
      <formula>0.5</formula>
    </cfRule>
    <cfRule type="cellIs" dxfId="9424" priority="12280" stopIfTrue="1" operator="between">
      <formula>0</formula>
      <formula>0.255</formula>
    </cfRule>
  </conditionalFormatting>
  <conditionalFormatting sqref="Z200:Z201">
    <cfRule type="cellIs" dxfId="9423" priority="12271" operator="between">
      <formula>0.76</formula>
      <formula>0.95</formula>
    </cfRule>
    <cfRule type="cellIs" dxfId="9422" priority="12272" operator="between">
      <formula>0.51</formula>
      <formula>0.75</formula>
    </cfRule>
    <cfRule type="cellIs" dxfId="9421" priority="12273" operator="greaterThan">
      <formula>1</formula>
    </cfRule>
    <cfRule type="cellIs" dxfId="9420" priority="12274" operator="between">
      <formula>0.95</formula>
      <formula>1</formula>
    </cfRule>
    <cfRule type="cellIs" dxfId="9419" priority="12275" stopIfTrue="1" operator="between">
      <formula>0</formula>
      <formula>0.5</formula>
    </cfRule>
  </conditionalFormatting>
  <conditionalFormatting sqref="AG200:AG201">
    <cfRule type="cellIs" dxfId="9418" priority="12266" operator="between">
      <formula>0.76</formula>
      <formula>0.95</formula>
    </cfRule>
    <cfRule type="cellIs" dxfId="9417" priority="12267" operator="between">
      <formula>0.51</formula>
      <formula>0.75</formula>
    </cfRule>
    <cfRule type="cellIs" dxfId="9416" priority="12268" operator="greaterThan">
      <formula>1</formula>
    </cfRule>
    <cfRule type="cellIs" dxfId="9415" priority="12269" operator="between">
      <formula>0.95</formula>
      <formula>1</formula>
    </cfRule>
    <cfRule type="cellIs" dxfId="9414" priority="12270" stopIfTrue="1" operator="between">
      <formula>0</formula>
      <formula>0.5</formula>
    </cfRule>
  </conditionalFormatting>
  <conditionalFormatting sqref="AI200:AI201">
    <cfRule type="cellIs" dxfId="9413" priority="12261" operator="between">
      <formula>0.76</formula>
      <formula>0.95</formula>
    </cfRule>
    <cfRule type="cellIs" dxfId="9412" priority="12262" operator="between">
      <formula>0.51</formula>
      <formula>0.75</formula>
    </cfRule>
    <cfRule type="cellIs" dxfId="9411" priority="12263" operator="greaterThan">
      <formula>1</formula>
    </cfRule>
    <cfRule type="cellIs" dxfId="9410" priority="12264" operator="between">
      <formula>0.95</formula>
      <formula>1</formula>
    </cfRule>
    <cfRule type="cellIs" dxfId="9409" priority="12265" stopIfTrue="1" operator="between">
      <formula>0</formula>
      <formula>0.5</formula>
    </cfRule>
  </conditionalFormatting>
  <conditionalFormatting sqref="AA200:AA201">
    <cfRule type="cellIs" dxfId="9408" priority="12256" operator="between">
      <formula>0.56251</formula>
      <formula>0.7125</formula>
    </cfRule>
    <cfRule type="cellIs" dxfId="9407" priority="12257" operator="between">
      <formula>0.3751</formula>
      <formula>0.5625</formula>
    </cfRule>
    <cfRule type="cellIs" dxfId="9406" priority="12258" operator="greaterThan">
      <formula>0.751</formula>
    </cfRule>
    <cfRule type="cellIs" dxfId="9405" priority="12259" operator="between">
      <formula>0.71251</formula>
      <formula>0.75</formula>
    </cfRule>
    <cfRule type="cellIs" dxfId="9404" priority="12260" stopIfTrue="1" operator="between">
      <formula>0</formula>
      <formula>0.375</formula>
    </cfRule>
  </conditionalFormatting>
  <conditionalFormatting sqref="AC200:AC201">
    <cfRule type="cellIs" dxfId="9403" priority="12251" operator="between">
      <formula>0.56251</formula>
      <formula>0.7125</formula>
    </cfRule>
    <cfRule type="cellIs" dxfId="9402" priority="12252" operator="between">
      <formula>0.3751</formula>
      <formula>0.5625</formula>
    </cfRule>
    <cfRule type="cellIs" dxfId="9401" priority="12253" operator="greaterThan">
      <formula>0.751</formula>
    </cfRule>
    <cfRule type="cellIs" dxfId="9400" priority="12254" operator="between">
      <formula>0.71251</formula>
      <formula>0.75</formula>
    </cfRule>
    <cfRule type="cellIs" dxfId="9399" priority="12255" stopIfTrue="1" operator="between">
      <formula>0</formula>
      <formula>0.375</formula>
    </cfRule>
  </conditionalFormatting>
  <conditionalFormatting sqref="AB200:AB201">
    <cfRule type="cellIs" dxfId="9398" priority="12246" operator="between">
      <formula>0.56251</formula>
      <formula>0.7125</formula>
    </cfRule>
    <cfRule type="cellIs" dxfId="9397" priority="12247" operator="between">
      <formula>0.3751</formula>
      <formula>0.5625</formula>
    </cfRule>
    <cfRule type="cellIs" dxfId="9396" priority="12248" operator="greaterThan">
      <formula>0.751</formula>
    </cfRule>
    <cfRule type="cellIs" dxfId="9395" priority="12249" operator="between">
      <formula>0.71251</formula>
      <formula>0.75</formula>
    </cfRule>
    <cfRule type="cellIs" dxfId="9394" priority="12250" stopIfTrue="1" operator="between">
      <formula>0</formula>
      <formula>0.375</formula>
    </cfRule>
  </conditionalFormatting>
  <conditionalFormatting sqref="S200:S201">
    <cfRule type="cellIs" dxfId="9393" priority="12224" operator="between">
      <formula>0.76</formula>
      <formula>0.95</formula>
    </cfRule>
    <cfRule type="cellIs" dxfId="9392" priority="12225" operator="between">
      <formula>0.51</formula>
      <formula>0.75</formula>
    </cfRule>
    <cfRule type="cellIs" dxfId="9391" priority="12226" operator="greaterThan">
      <formula>1</formula>
    </cfRule>
    <cfRule type="cellIs" dxfId="9390" priority="12227" operator="between">
      <formula>0.95</formula>
      <formula>1</formula>
    </cfRule>
    <cfRule type="cellIs" dxfId="9389" priority="12228" stopIfTrue="1" operator="between">
      <formula>0</formula>
      <formula>0.5</formula>
    </cfRule>
  </conditionalFormatting>
  <conditionalFormatting sqref="V200:V201">
    <cfRule type="cellIs" dxfId="9388" priority="12219" operator="between">
      <formula>0.376</formula>
      <formula>0.475</formula>
    </cfRule>
    <cfRule type="cellIs" dxfId="9387" priority="12220" operator="between">
      <formula>0.2551</formula>
      <formula>0.3751</formula>
    </cfRule>
    <cfRule type="cellIs" dxfId="9386" priority="12221" operator="greaterThan">
      <formula>0.505</formula>
    </cfRule>
    <cfRule type="cellIs" dxfId="9385" priority="12222" operator="between">
      <formula>0.48</formula>
      <formula>0.5</formula>
    </cfRule>
    <cfRule type="cellIs" dxfId="9384" priority="12223" stopIfTrue="1" operator="between">
      <formula>0</formula>
      <formula>0.255</formula>
    </cfRule>
  </conditionalFormatting>
  <conditionalFormatting sqref="S147">
    <cfRule type="cellIs" dxfId="9383" priority="12204" operator="between">
      <formula>0.76</formula>
      <formula>0.95</formula>
    </cfRule>
    <cfRule type="cellIs" dxfId="9382" priority="12205" operator="between">
      <formula>0.51</formula>
      <formula>0.75</formula>
    </cfRule>
    <cfRule type="cellIs" dxfId="9381" priority="12206" operator="greaterThan">
      <formula>1</formula>
    </cfRule>
    <cfRule type="cellIs" dxfId="9380" priority="12207" operator="between">
      <formula>0.95</formula>
      <formula>1</formula>
    </cfRule>
    <cfRule type="cellIs" dxfId="9379" priority="12208" stopIfTrue="1" operator="between">
      <formula>0</formula>
      <formula>0.5</formula>
    </cfRule>
  </conditionalFormatting>
  <conditionalFormatting sqref="V147">
    <cfRule type="cellIs" dxfId="9378" priority="12199" operator="between">
      <formula>0.376</formula>
      <formula>0.475</formula>
    </cfRule>
    <cfRule type="cellIs" dxfId="9377" priority="12200" operator="between">
      <formula>0.2551</formula>
      <formula>0.3751</formula>
    </cfRule>
    <cfRule type="cellIs" dxfId="9376" priority="12201" operator="greaterThan">
      <formula>0.505</formula>
    </cfRule>
    <cfRule type="cellIs" dxfId="9375" priority="12202" operator="between">
      <formula>0.48</formula>
      <formula>0.5</formula>
    </cfRule>
    <cfRule type="cellIs" dxfId="9374" priority="12203" stopIfTrue="1" operator="between">
      <formula>0</formula>
      <formula>0.255</formula>
    </cfRule>
  </conditionalFormatting>
  <conditionalFormatting sqref="Z147">
    <cfRule type="cellIs" dxfId="9373" priority="12194" operator="between">
      <formula>0.76</formula>
      <formula>0.95</formula>
    </cfRule>
    <cfRule type="cellIs" dxfId="9372" priority="12195" operator="between">
      <formula>0.51</formula>
      <formula>0.75</formula>
    </cfRule>
    <cfRule type="cellIs" dxfId="9371" priority="12196" operator="greaterThan">
      <formula>1</formula>
    </cfRule>
    <cfRule type="cellIs" dxfId="9370" priority="12197" operator="between">
      <formula>0.95</formula>
      <formula>1</formula>
    </cfRule>
    <cfRule type="cellIs" dxfId="9369" priority="12198" stopIfTrue="1" operator="between">
      <formula>0</formula>
      <formula>0.5</formula>
    </cfRule>
  </conditionalFormatting>
  <conditionalFormatting sqref="AC147">
    <cfRule type="cellIs" dxfId="9368" priority="12189" operator="between">
      <formula>0.56251</formula>
      <formula>0.7125</formula>
    </cfRule>
    <cfRule type="cellIs" dxfId="9367" priority="12190" operator="between">
      <formula>0.3751</formula>
      <formula>0.5625</formula>
    </cfRule>
    <cfRule type="cellIs" dxfId="9366" priority="12191" operator="greaterThan">
      <formula>0.751</formula>
    </cfRule>
    <cfRule type="cellIs" dxfId="9365" priority="12192" operator="between">
      <formula>0.71251</formula>
      <formula>0.75</formula>
    </cfRule>
    <cfRule type="cellIs" dxfId="9364" priority="12193" stopIfTrue="1" operator="between">
      <formula>0</formula>
      <formula>0.375</formula>
    </cfRule>
  </conditionalFormatting>
  <conditionalFormatting sqref="AF58:AI58 Y34:Z34 AF34 AH34:AI34 Y58">
    <cfRule type="cellIs" dxfId="9363" priority="11970" operator="between">
      <formula>0.76</formula>
      <formula>0.95</formula>
    </cfRule>
    <cfRule type="cellIs" dxfId="9362" priority="11971" operator="between">
      <formula>0.51</formula>
      <formula>0.75</formula>
    </cfRule>
    <cfRule type="cellIs" dxfId="9361" priority="11972" operator="greaterThan">
      <formula>1</formula>
    </cfRule>
    <cfRule type="cellIs" dxfId="9360" priority="11973" operator="between">
      <formula>0.95</formula>
      <formula>1</formula>
    </cfRule>
    <cfRule type="cellIs" dxfId="9359" priority="11974" stopIfTrue="1" operator="between">
      <formula>0</formula>
      <formula>0.5</formula>
    </cfRule>
  </conditionalFormatting>
  <conditionalFormatting sqref="AA34:AC34 AA58:AB58">
    <cfRule type="cellIs" dxfId="9358" priority="11960" operator="between">
      <formula>0.56251</formula>
      <formula>0.7125</formula>
    </cfRule>
    <cfRule type="cellIs" dxfId="9357" priority="11961" operator="between">
      <formula>0.3751</formula>
      <formula>0.5625</formula>
    </cfRule>
    <cfRule type="cellIs" dxfId="9356" priority="11962" operator="greaterThan">
      <formula>0.751</formula>
    </cfRule>
    <cfRule type="cellIs" dxfId="9355" priority="11963" operator="between">
      <formula>0.71251</formula>
      <formula>0.75</formula>
    </cfRule>
    <cfRule type="cellIs" dxfId="9354" priority="11964" stopIfTrue="1" operator="between">
      <formula>0</formula>
      <formula>0.375</formula>
    </cfRule>
  </conditionalFormatting>
  <conditionalFormatting sqref="U34:V34 U58">
    <cfRule type="cellIs" dxfId="9353" priority="11950" operator="between">
      <formula>0.376</formula>
      <formula>0.475</formula>
    </cfRule>
    <cfRule type="cellIs" dxfId="9352" priority="11951" operator="between">
      <formula>0.2551</formula>
      <formula>0.3751</formula>
    </cfRule>
    <cfRule type="cellIs" dxfId="9351" priority="11952" operator="greaterThan">
      <formula>0.505</formula>
    </cfRule>
    <cfRule type="cellIs" dxfId="9350" priority="11953" operator="between">
      <formula>0.48</formula>
      <formula>0.5</formula>
    </cfRule>
    <cfRule type="cellIs" dxfId="9349" priority="11954" stopIfTrue="1" operator="between">
      <formula>0</formula>
      <formula>0.255</formula>
    </cfRule>
  </conditionalFormatting>
  <conditionalFormatting sqref="S34">
    <cfRule type="cellIs" dxfId="9348" priority="11930" operator="between">
      <formula>0.76</formula>
      <formula>0.95</formula>
    </cfRule>
    <cfRule type="cellIs" dxfId="9347" priority="11931" operator="between">
      <formula>0.51</formula>
      <formula>0.75</formula>
    </cfRule>
    <cfRule type="cellIs" dxfId="9346" priority="11932" operator="greaterThan">
      <formula>1</formula>
    </cfRule>
    <cfRule type="cellIs" dxfId="9345" priority="11933" operator="between">
      <formula>0.95</formula>
      <formula>1</formula>
    </cfRule>
    <cfRule type="cellIs" dxfId="9344" priority="11934" stopIfTrue="1" operator="between">
      <formula>0</formula>
      <formula>0.5</formula>
    </cfRule>
  </conditionalFormatting>
  <conditionalFormatting sqref="AG34">
    <cfRule type="cellIs" dxfId="9343" priority="11925" operator="between">
      <formula>0.76</formula>
      <formula>0.95</formula>
    </cfRule>
    <cfRule type="cellIs" dxfId="9342" priority="11926" operator="between">
      <formula>0.51</formula>
      <formula>0.75</formula>
    </cfRule>
    <cfRule type="cellIs" dxfId="9341" priority="11927" operator="greaterThan">
      <formula>1</formula>
    </cfRule>
    <cfRule type="cellIs" dxfId="9340" priority="11928" operator="between">
      <formula>0.95</formula>
      <formula>1</formula>
    </cfRule>
    <cfRule type="cellIs" dxfId="9339" priority="11929" stopIfTrue="1" operator="between">
      <formula>0</formula>
      <formula>0.5</formula>
    </cfRule>
  </conditionalFormatting>
  <conditionalFormatting sqref="AI219">
    <cfRule type="cellIs" dxfId="9338" priority="11920" operator="between">
      <formula>0.76</formula>
      <formula>0.95</formula>
    </cfRule>
    <cfRule type="cellIs" dxfId="9337" priority="11921" operator="between">
      <formula>0.51</formula>
      <formula>0.75</formula>
    </cfRule>
    <cfRule type="cellIs" dxfId="9336" priority="11922" operator="greaterThan">
      <formula>1</formula>
    </cfRule>
    <cfRule type="cellIs" dxfId="9335" priority="11923" operator="between">
      <formula>0.95</formula>
      <formula>1</formula>
    </cfRule>
    <cfRule type="cellIs" dxfId="9334" priority="11924" stopIfTrue="1" operator="between">
      <formula>0</formula>
      <formula>0.5</formula>
    </cfRule>
  </conditionalFormatting>
  <conditionalFormatting sqref="AH219">
    <cfRule type="cellIs" dxfId="9333" priority="11915" operator="between">
      <formula>0.76</formula>
      <formula>0.95</formula>
    </cfRule>
    <cfRule type="cellIs" dxfId="9332" priority="11916" operator="between">
      <formula>0.51</formula>
      <formula>0.75</formula>
    </cfRule>
    <cfRule type="cellIs" dxfId="9331" priority="11917" operator="greaterThan">
      <formula>1</formula>
    </cfRule>
    <cfRule type="cellIs" dxfId="9330" priority="11918" operator="between">
      <formula>0.95</formula>
      <formula>1</formula>
    </cfRule>
    <cfRule type="cellIs" dxfId="9329" priority="11919" stopIfTrue="1" operator="between">
      <formula>0</formula>
      <formula>0.5</formula>
    </cfRule>
  </conditionalFormatting>
  <conditionalFormatting sqref="AF219">
    <cfRule type="cellIs" dxfId="9328" priority="11910" operator="between">
      <formula>0.76</formula>
      <formula>0.95</formula>
    </cfRule>
    <cfRule type="cellIs" dxfId="9327" priority="11911" operator="between">
      <formula>0.51</formula>
      <formula>0.75</formula>
    </cfRule>
    <cfRule type="cellIs" dxfId="9326" priority="11912" operator="greaterThan">
      <formula>1</formula>
    </cfRule>
    <cfRule type="cellIs" dxfId="9325" priority="11913" operator="between">
      <formula>0.95</formula>
      <formula>1</formula>
    </cfRule>
    <cfRule type="cellIs" dxfId="9324" priority="11914" stopIfTrue="1" operator="between">
      <formula>0</formula>
      <formula>0.5</formula>
    </cfRule>
  </conditionalFormatting>
  <conditionalFormatting sqref="AF219">
    <cfRule type="cellIs" dxfId="9323" priority="11905" operator="between">
      <formula>0.76</formula>
      <formula>0.95</formula>
    </cfRule>
    <cfRule type="cellIs" dxfId="9322" priority="11906" operator="between">
      <formula>0.51</formula>
      <formula>0.75</formula>
    </cfRule>
    <cfRule type="cellIs" dxfId="9321" priority="11907" operator="greaterThan">
      <formula>1</formula>
    </cfRule>
    <cfRule type="cellIs" dxfId="9320" priority="11908" operator="between">
      <formula>0.95</formula>
      <formula>1</formula>
    </cfRule>
    <cfRule type="cellIs" dxfId="9319" priority="11909" stopIfTrue="1" operator="between">
      <formula>0</formula>
      <formula>0.5</formula>
    </cfRule>
  </conditionalFormatting>
  <conditionalFormatting sqref="AF219">
    <cfRule type="cellIs" dxfId="9318" priority="11900" operator="between">
      <formula>0.76</formula>
      <formula>0.95</formula>
    </cfRule>
    <cfRule type="cellIs" dxfId="9317" priority="11901" operator="between">
      <formula>0.51</formula>
      <formula>0.75</formula>
    </cfRule>
    <cfRule type="cellIs" dxfId="9316" priority="11902" operator="greaterThan">
      <formula>1</formula>
    </cfRule>
    <cfRule type="cellIs" dxfId="9315" priority="11903" operator="between">
      <formula>0.95</formula>
      <formula>1</formula>
    </cfRule>
    <cfRule type="cellIs" dxfId="9314" priority="11904" stopIfTrue="1" operator="between">
      <formula>0</formula>
      <formula>0.5</formula>
    </cfRule>
  </conditionalFormatting>
  <conditionalFormatting sqref="AF219">
    <cfRule type="cellIs" dxfId="9313" priority="11895" operator="between">
      <formula>0.76</formula>
      <formula>0.95</formula>
    </cfRule>
    <cfRule type="cellIs" dxfId="9312" priority="11896" operator="between">
      <formula>0.51</formula>
      <formula>0.75</formula>
    </cfRule>
    <cfRule type="cellIs" dxfId="9311" priority="11897" operator="greaterThan">
      <formula>1</formula>
    </cfRule>
    <cfRule type="cellIs" dxfId="9310" priority="11898" operator="between">
      <formula>0.95</formula>
      <formula>1</formula>
    </cfRule>
    <cfRule type="cellIs" dxfId="9309" priority="11899" stopIfTrue="1" operator="between">
      <formula>0</formula>
      <formula>0.5</formula>
    </cfRule>
  </conditionalFormatting>
  <conditionalFormatting sqref="AG219">
    <cfRule type="cellIs" dxfId="9308" priority="11890" operator="between">
      <formula>0.76</formula>
      <formula>0.95</formula>
    </cfRule>
    <cfRule type="cellIs" dxfId="9307" priority="11891" operator="between">
      <formula>0.51</formula>
      <formula>0.75</formula>
    </cfRule>
    <cfRule type="cellIs" dxfId="9306" priority="11892" operator="greaterThan">
      <formula>1</formula>
    </cfRule>
    <cfRule type="cellIs" dxfId="9305" priority="11893" operator="between">
      <formula>0.95</formula>
      <formula>1</formula>
    </cfRule>
    <cfRule type="cellIs" dxfId="9304" priority="11894" stopIfTrue="1" operator="between">
      <formula>0</formula>
      <formula>0.5</formula>
    </cfRule>
  </conditionalFormatting>
  <conditionalFormatting sqref="Y219:Z219">
    <cfRule type="cellIs" dxfId="9303" priority="11882" operator="between">
      <formula>0.76</formula>
      <formula>0.95</formula>
    </cfRule>
    <cfRule type="cellIs" dxfId="9302" priority="11883" operator="between">
      <formula>0.51</formula>
      <formula>0.75</formula>
    </cfRule>
    <cfRule type="cellIs" dxfId="9301" priority="11884" operator="greaterThan">
      <formula>1</formula>
    </cfRule>
    <cfRule type="cellIs" dxfId="9300" priority="11885" operator="between">
      <formula>0.95</formula>
      <formula>1</formula>
    </cfRule>
    <cfRule type="cellIs" dxfId="9299" priority="11886" stopIfTrue="1" operator="between">
      <formula>0</formula>
      <formula>0.5</formula>
    </cfRule>
  </conditionalFormatting>
  <conditionalFormatting sqref="AA219 AC219">
    <cfRule type="cellIs" dxfId="9298" priority="11877" operator="between">
      <formula>0.56251</formula>
      <formula>0.7125</formula>
    </cfRule>
    <cfRule type="cellIs" dxfId="9297" priority="11878" operator="between">
      <formula>0.3751</formula>
      <formula>0.5625</formula>
    </cfRule>
    <cfRule type="cellIs" dxfId="9296" priority="11879" operator="greaterThan">
      <formula>0.751</formula>
    </cfRule>
    <cfRule type="cellIs" dxfId="9295" priority="11880" operator="between">
      <formula>0.71251</formula>
      <formula>0.75</formula>
    </cfRule>
    <cfRule type="cellIs" dxfId="9294" priority="11881" stopIfTrue="1" operator="between">
      <formula>0</formula>
      <formula>0.375</formula>
    </cfRule>
  </conditionalFormatting>
  <conditionalFormatting sqref="AB219">
    <cfRule type="cellIs" dxfId="9293" priority="11872" operator="between">
      <formula>0.56251</formula>
      <formula>0.7125</formula>
    </cfRule>
    <cfRule type="cellIs" dxfId="9292" priority="11873" operator="between">
      <formula>0.3751</formula>
      <formula>0.5625</formula>
    </cfRule>
    <cfRule type="cellIs" dxfId="9291" priority="11874" operator="greaterThan">
      <formula>0.751</formula>
    </cfRule>
    <cfRule type="cellIs" dxfId="9290" priority="11875" operator="between">
      <formula>0.71251</formula>
      <formula>0.75</formula>
    </cfRule>
    <cfRule type="cellIs" dxfId="9289" priority="11876" stopIfTrue="1" operator="between">
      <formula>0</formula>
      <formula>0.375</formula>
    </cfRule>
  </conditionalFormatting>
  <conditionalFormatting sqref="R219:S219">
    <cfRule type="cellIs" dxfId="9288" priority="11864" operator="between">
      <formula>0.76</formula>
      <formula>0.95</formula>
    </cfRule>
    <cfRule type="cellIs" dxfId="9287" priority="11865" operator="between">
      <formula>0.51</formula>
      <formula>0.75</formula>
    </cfRule>
    <cfRule type="cellIs" dxfId="9286" priority="11866" operator="greaterThan">
      <formula>1</formula>
    </cfRule>
    <cfRule type="cellIs" dxfId="9285" priority="11867" operator="between">
      <formula>0.95</formula>
      <formula>1</formula>
    </cfRule>
    <cfRule type="cellIs" dxfId="9284" priority="11868" stopIfTrue="1" operator="between">
      <formula>0</formula>
      <formula>0.5</formula>
    </cfRule>
  </conditionalFormatting>
  <conditionalFormatting sqref="T219">
    <cfRule type="cellIs" dxfId="9283" priority="11859" operator="between">
      <formula>0.3751</formula>
      <formula>0.475</formula>
    </cfRule>
    <cfRule type="cellIs" dxfId="9282" priority="11860" operator="between">
      <formula>0.2551</formula>
      <formula>0.375</formula>
    </cfRule>
    <cfRule type="cellIs" dxfId="9281" priority="11861" operator="greaterThan">
      <formula>0.505</formula>
    </cfRule>
    <cfRule type="cellIs" dxfId="9280" priority="11862" operator="between">
      <formula>0.48</formula>
      <formula>0.5</formula>
    </cfRule>
    <cfRule type="cellIs" dxfId="9279" priority="11863" stopIfTrue="1" operator="between">
      <formula>0</formula>
      <formula>0.255</formula>
    </cfRule>
  </conditionalFormatting>
  <conditionalFormatting sqref="V219">
    <cfRule type="cellIs" dxfId="9278" priority="11854" operator="between">
      <formula>0.376</formula>
      <formula>0.475</formula>
    </cfRule>
    <cfRule type="cellIs" dxfId="9277" priority="11855" operator="between">
      <formula>0.2551</formula>
      <formula>0.3751</formula>
    </cfRule>
    <cfRule type="cellIs" dxfId="9276" priority="11856" operator="greaterThan">
      <formula>0.505</formula>
    </cfRule>
    <cfRule type="cellIs" dxfId="9275" priority="11857" operator="between">
      <formula>0.48</formula>
      <formula>0.5</formula>
    </cfRule>
    <cfRule type="cellIs" dxfId="9274" priority="11858" stopIfTrue="1" operator="between">
      <formula>0</formula>
      <formula>0.255</formula>
    </cfRule>
  </conditionalFormatting>
  <conditionalFormatting sqref="U219">
    <cfRule type="cellIs" dxfId="9273" priority="11849" operator="between">
      <formula>0.376</formula>
      <formula>0.475</formula>
    </cfRule>
    <cfRule type="cellIs" dxfId="9272" priority="11850" operator="between">
      <formula>0.2551</formula>
      <formula>0.3751</formula>
    </cfRule>
    <cfRule type="cellIs" dxfId="9271" priority="11851" operator="greaterThan">
      <formula>0.505</formula>
    </cfRule>
    <cfRule type="cellIs" dxfId="9270" priority="11852" operator="between">
      <formula>0.48</formula>
      <formula>0.5</formula>
    </cfRule>
    <cfRule type="cellIs" dxfId="9269" priority="11853" stopIfTrue="1" operator="between">
      <formula>0</formula>
      <formula>0.255</formula>
    </cfRule>
  </conditionalFormatting>
  <conditionalFormatting sqref="AI220">
    <cfRule type="cellIs" dxfId="9268" priority="11818" operator="between">
      <formula>0.76</formula>
      <formula>0.95</formula>
    </cfRule>
    <cfRule type="cellIs" dxfId="9267" priority="11819" operator="between">
      <formula>0.51</formula>
      <formula>0.75</formula>
    </cfRule>
    <cfRule type="cellIs" dxfId="9266" priority="11820" operator="greaterThan">
      <formula>1</formula>
    </cfRule>
    <cfRule type="cellIs" dxfId="9265" priority="11821" operator="between">
      <formula>0.95</formula>
      <formula>1</formula>
    </cfRule>
    <cfRule type="cellIs" dxfId="9264" priority="11822" stopIfTrue="1" operator="between">
      <formula>0</formula>
      <formula>0.5</formula>
    </cfRule>
  </conditionalFormatting>
  <conditionalFormatting sqref="AH220">
    <cfRule type="cellIs" dxfId="9263" priority="11813" operator="between">
      <formula>0.76</formula>
      <formula>0.95</formula>
    </cfRule>
    <cfRule type="cellIs" dxfId="9262" priority="11814" operator="between">
      <formula>0.51</formula>
      <formula>0.75</formula>
    </cfRule>
    <cfRule type="cellIs" dxfId="9261" priority="11815" operator="greaterThan">
      <formula>1</formula>
    </cfRule>
    <cfRule type="cellIs" dxfId="9260" priority="11816" operator="between">
      <formula>0.95</formula>
      <formula>1</formula>
    </cfRule>
    <cfRule type="cellIs" dxfId="9259" priority="11817" stopIfTrue="1" operator="between">
      <formula>0</formula>
      <formula>0.5</formula>
    </cfRule>
  </conditionalFormatting>
  <conditionalFormatting sqref="AF220">
    <cfRule type="cellIs" dxfId="9258" priority="11808" operator="between">
      <formula>0.76</formula>
      <formula>0.95</formula>
    </cfRule>
    <cfRule type="cellIs" dxfId="9257" priority="11809" operator="between">
      <formula>0.51</formula>
      <formula>0.75</formula>
    </cfRule>
    <cfRule type="cellIs" dxfId="9256" priority="11810" operator="greaterThan">
      <formula>1</formula>
    </cfRule>
    <cfRule type="cellIs" dxfId="9255" priority="11811" operator="between">
      <formula>0.95</formula>
      <formula>1</formula>
    </cfRule>
    <cfRule type="cellIs" dxfId="9254" priority="11812" stopIfTrue="1" operator="between">
      <formula>0</formula>
      <formula>0.5</formula>
    </cfRule>
  </conditionalFormatting>
  <conditionalFormatting sqref="AF220">
    <cfRule type="cellIs" dxfId="9253" priority="11803" operator="between">
      <formula>0.76</formula>
      <formula>0.95</formula>
    </cfRule>
    <cfRule type="cellIs" dxfId="9252" priority="11804" operator="between">
      <formula>0.51</formula>
      <formula>0.75</formula>
    </cfRule>
    <cfRule type="cellIs" dxfId="9251" priority="11805" operator="greaterThan">
      <formula>1</formula>
    </cfRule>
    <cfRule type="cellIs" dxfId="9250" priority="11806" operator="between">
      <formula>0.95</formula>
      <formula>1</formula>
    </cfRule>
    <cfRule type="cellIs" dxfId="9249" priority="11807" stopIfTrue="1" operator="between">
      <formula>0</formula>
      <formula>0.5</formula>
    </cfRule>
  </conditionalFormatting>
  <conditionalFormatting sqref="AF220">
    <cfRule type="cellIs" dxfId="9248" priority="11798" operator="between">
      <formula>0.76</formula>
      <formula>0.95</formula>
    </cfRule>
    <cfRule type="cellIs" dxfId="9247" priority="11799" operator="between">
      <formula>0.51</formula>
      <formula>0.75</formula>
    </cfRule>
    <cfRule type="cellIs" dxfId="9246" priority="11800" operator="greaterThan">
      <formula>1</formula>
    </cfRule>
    <cfRule type="cellIs" dxfId="9245" priority="11801" operator="between">
      <formula>0.95</formula>
      <formula>1</formula>
    </cfRule>
    <cfRule type="cellIs" dxfId="9244" priority="11802" stopIfTrue="1" operator="between">
      <formula>0</formula>
      <formula>0.5</formula>
    </cfRule>
  </conditionalFormatting>
  <conditionalFormatting sqref="AF220">
    <cfRule type="cellIs" dxfId="9243" priority="11793" operator="between">
      <formula>0.76</formula>
      <formula>0.95</formula>
    </cfRule>
    <cfRule type="cellIs" dxfId="9242" priority="11794" operator="between">
      <formula>0.51</formula>
      <formula>0.75</formula>
    </cfRule>
    <cfRule type="cellIs" dxfId="9241" priority="11795" operator="greaterThan">
      <formula>1</formula>
    </cfRule>
    <cfRule type="cellIs" dxfId="9240" priority="11796" operator="between">
      <formula>0.95</formula>
      <formula>1</formula>
    </cfRule>
    <cfRule type="cellIs" dxfId="9239" priority="11797" stopIfTrue="1" operator="between">
      <formula>0</formula>
      <formula>0.5</formula>
    </cfRule>
  </conditionalFormatting>
  <conditionalFormatting sqref="AG220">
    <cfRule type="cellIs" dxfId="9238" priority="11788" operator="between">
      <formula>0.76</formula>
      <formula>0.95</formula>
    </cfRule>
    <cfRule type="cellIs" dxfId="9237" priority="11789" operator="between">
      <formula>0.51</formula>
      <formula>0.75</formula>
    </cfRule>
    <cfRule type="cellIs" dxfId="9236" priority="11790" operator="greaterThan">
      <formula>1</formula>
    </cfRule>
    <cfRule type="cellIs" dxfId="9235" priority="11791" operator="between">
      <formula>0.95</formula>
      <formula>1</formula>
    </cfRule>
    <cfRule type="cellIs" dxfId="9234" priority="11792" stopIfTrue="1" operator="between">
      <formula>0</formula>
      <formula>0.5</formula>
    </cfRule>
  </conditionalFormatting>
  <conditionalFormatting sqref="Y220:Z220">
    <cfRule type="cellIs" dxfId="9233" priority="11780" operator="between">
      <formula>0.76</formula>
      <formula>0.95</formula>
    </cfRule>
    <cfRule type="cellIs" dxfId="9232" priority="11781" operator="between">
      <formula>0.51</formula>
      <formula>0.75</formula>
    </cfRule>
    <cfRule type="cellIs" dxfId="9231" priority="11782" operator="greaterThan">
      <formula>1</formula>
    </cfRule>
    <cfRule type="cellIs" dxfId="9230" priority="11783" operator="between">
      <formula>0.95</formula>
      <formula>1</formula>
    </cfRule>
    <cfRule type="cellIs" dxfId="9229" priority="11784" stopIfTrue="1" operator="between">
      <formula>0</formula>
      <formula>0.5</formula>
    </cfRule>
  </conditionalFormatting>
  <conditionalFormatting sqref="AA220 AC220">
    <cfRule type="cellIs" dxfId="9228" priority="11775" operator="between">
      <formula>0.56251</formula>
      <formula>0.7125</formula>
    </cfRule>
    <cfRule type="cellIs" dxfId="9227" priority="11776" operator="between">
      <formula>0.3751</formula>
      <formula>0.5625</formula>
    </cfRule>
    <cfRule type="cellIs" dxfId="9226" priority="11777" operator="greaterThan">
      <formula>0.751</formula>
    </cfRule>
    <cfRule type="cellIs" dxfId="9225" priority="11778" operator="between">
      <formula>0.71251</formula>
      <formula>0.75</formula>
    </cfRule>
    <cfRule type="cellIs" dxfId="9224" priority="11779" stopIfTrue="1" operator="between">
      <formula>0</formula>
      <formula>0.375</formula>
    </cfRule>
  </conditionalFormatting>
  <conditionalFormatting sqref="AB220">
    <cfRule type="cellIs" dxfId="9223" priority="11770" operator="between">
      <formula>0.56251</formula>
      <formula>0.7125</formula>
    </cfRule>
    <cfRule type="cellIs" dxfId="9222" priority="11771" operator="between">
      <formula>0.3751</formula>
      <formula>0.5625</formula>
    </cfRule>
    <cfRule type="cellIs" dxfId="9221" priority="11772" operator="greaterThan">
      <formula>0.751</formula>
    </cfRule>
    <cfRule type="cellIs" dxfId="9220" priority="11773" operator="between">
      <formula>0.71251</formula>
      <formula>0.75</formula>
    </cfRule>
    <cfRule type="cellIs" dxfId="9219" priority="11774" stopIfTrue="1" operator="between">
      <formula>0</formula>
      <formula>0.375</formula>
    </cfRule>
  </conditionalFormatting>
  <conditionalFormatting sqref="R220:S220">
    <cfRule type="cellIs" dxfId="9218" priority="11762" operator="between">
      <formula>0.76</formula>
      <formula>0.95</formula>
    </cfRule>
    <cfRule type="cellIs" dxfId="9217" priority="11763" operator="between">
      <formula>0.51</formula>
      <formula>0.75</formula>
    </cfRule>
    <cfRule type="cellIs" dxfId="9216" priority="11764" operator="greaterThan">
      <formula>1</formula>
    </cfRule>
    <cfRule type="cellIs" dxfId="9215" priority="11765" operator="between">
      <formula>0.95</formula>
      <formula>1</formula>
    </cfRule>
    <cfRule type="cellIs" dxfId="9214" priority="11766" stopIfTrue="1" operator="between">
      <formula>0</formula>
      <formula>0.5</formula>
    </cfRule>
  </conditionalFormatting>
  <conditionalFormatting sqref="T220">
    <cfRule type="cellIs" dxfId="9213" priority="11757" operator="between">
      <formula>0.3751</formula>
      <formula>0.475</formula>
    </cfRule>
    <cfRule type="cellIs" dxfId="9212" priority="11758" operator="between">
      <formula>0.2551</formula>
      <formula>0.375</formula>
    </cfRule>
    <cfRule type="cellIs" dxfId="9211" priority="11759" operator="greaterThan">
      <formula>0.505</formula>
    </cfRule>
    <cfRule type="cellIs" dxfId="9210" priority="11760" operator="between">
      <formula>0.48</formula>
      <formula>0.5</formula>
    </cfRule>
    <cfRule type="cellIs" dxfId="9209" priority="11761" stopIfTrue="1" operator="between">
      <formula>0</formula>
      <formula>0.255</formula>
    </cfRule>
  </conditionalFormatting>
  <conditionalFormatting sqref="V220">
    <cfRule type="cellIs" dxfId="9208" priority="11752" operator="between">
      <formula>0.376</formula>
      <formula>0.475</formula>
    </cfRule>
    <cfRule type="cellIs" dxfId="9207" priority="11753" operator="between">
      <formula>0.2551</formula>
      <formula>0.3751</formula>
    </cfRule>
    <cfRule type="cellIs" dxfId="9206" priority="11754" operator="greaterThan">
      <formula>0.505</formula>
    </cfRule>
    <cfRule type="cellIs" dxfId="9205" priority="11755" operator="between">
      <formula>0.48</formula>
      <formula>0.5</formula>
    </cfRule>
    <cfRule type="cellIs" dxfId="9204" priority="11756" stopIfTrue="1" operator="between">
      <formula>0</formula>
      <formula>0.255</formula>
    </cfRule>
  </conditionalFormatting>
  <conditionalFormatting sqref="U220">
    <cfRule type="cellIs" dxfId="9203" priority="11747" operator="between">
      <formula>0.376</formula>
      <formula>0.475</formula>
    </cfRule>
    <cfRule type="cellIs" dxfId="9202" priority="11748" operator="between">
      <formula>0.2551</formula>
      <formula>0.3751</formula>
    </cfRule>
    <cfRule type="cellIs" dxfId="9201" priority="11749" operator="greaterThan">
      <formula>0.505</formula>
    </cfRule>
    <cfRule type="cellIs" dxfId="9200" priority="11750" operator="between">
      <formula>0.48</formula>
      <formula>0.5</formula>
    </cfRule>
    <cfRule type="cellIs" dxfId="9199" priority="11751" stopIfTrue="1" operator="between">
      <formula>0</formula>
      <formula>0.255</formula>
    </cfRule>
  </conditionalFormatting>
  <conditionalFormatting sqref="Y33 R33 AF33 AH33:AI33">
    <cfRule type="cellIs" dxfId="9198" priority="11726" operator="between">
      <formula>0.76</formula>
      <formula>0.95</formula>
    </cfRule>
    <cfRule type="cellIs" dxfId="9197" priority="11727" operator="between">
      <formula>0.51</formula>
      <formula>0.75</formula>
    </cfRule>
    <cfRule type="cellIs" dxfId="9196" priority="11728" operator="greaterThan">
      <formula>1</formula>
    </cfRule>
    <cfRule type="cellIs" dxfId="9195" priority="11729" operator="between">
      <formula>0.95</formula>
      <formula>1</formula>
    </cfRule>
    <cfRule type="cellIs" dxfId="9194" priority="11730" stopIfTrue="1" operator="between">
      <formula>0</formula>
      <formula>0.5</formula>
    </cfRule>
  </conditionalFormatting>
  <conditionalFormatting sqref="T33">
    <cfRule type="cellIs" dxfId="9193" priority="11721" operator="between">
      <formula>0.3751</formula>
      <formula>0.475</formula>
    </cfRule>
    <cfRule type="cellIs" dxfId="9192" priority="11722" operator="between">
      <formula>0.2551</formula>
      <formula>0.375</formula>
    </cfRule>
    <cfRule type="cellIs" dxfId="9191" priority="11723" operator="greaterThan">
      <formula>0.505</formula>
    </cfRule>
    <cfRule type="cellIs" dxfId="9190" priority="11724" operator="between">
      <formula>0.48</formula>
      <formula>0.5</formula>
    </cfRule>
    <cfRule type="cellIs" dxfId="9189" priority="11725" stopIfTrue="1" operator="between">
      <formula>0</formula>
      <formula>0.255</formula>
    </cfRule>
  </conditionalFormatting>
  <conditionalFormatting sqref="AA33:AB33">
    <cfRule type="cellIs" dxfId="9188" priority="11716" operator="between">
      <formula>0.56251</formula>
      <formula>0.7125</formula>
    </cfRule>
    <cfRule type="cellIs" dxfId="9187" priority="11717" operator="between">
      <formula>0.3751</formula>
      <formula>0.5625</formula>
    </cfRule>
    <cfRule type="cellIs" dxfId="9186" priority="11718" operator="greaterThan">
      <formula>0.751</formula>
    </cfRule>
    <cfRule type="cellIs" dxfId="9185" priority="11719" operator="between">
      <formula>0.71251</formula>
      <formula>0.75</formula>
    </cfRule>
    <cfRule type="cellIs" dxfId="9184" priority="11720" stopIfTrue="1" operator="between">
      <formula>0</formula>
      <formula>0.375</formula>
    </cfRule>
  </conditionalFormatting>
  <conditionalFormatting sqref="U33">
    <cfRule type="cellIs" dxfId="9183" priority="11706" operator="between">
      <formula>0.376</formula>
      <formula>0.475</formula>
    </cfRule>
    <cfRule type="cellIs" dxfId="9182" priority="11707" operator="between">
      <formula>0.2551</formula>
      <formula>0.3751</formula>
    </cfRule>
    <cfRule type="cellIs" dxfId="9181" priority="11708" operator="greaterThan">
      <formula>0.505</formula>
    </cfRule>
    <cfRule type="cellIs" dxfId="9180" priority="11709" operator="between">
      <formula>0.48</formula>
      <formula>0.5</formula>
    </cfRule>
    <cfRule type="cellIs" dxfId="9179" priority="11710" stopIfTrue="1" operator="between">
      <formula>0</formula>
      <formula>0.255</formula>
    </cfRule>
  </conditionalFormatting>
  <conditionalFormatting sqref="AG33">
    <cfRule type="cellIs" dxfId="9178" priority="11681" operator="between">
      <formula>0.76</formula>
      <formula>0.95</formula>
    </cfRule>
    <cfRule type="cellIs" dxfId="9177" priority="11682" operator="between">
      <formula>0.51</formula>
      <formula>0.75</formula>
    </cfRule>
    <cfRule type="cellIs" dxfId="9176" priority="11683" operator="greaterThan">
      <formula>1</formula>
    </cfRule>
    <cfRule type="cellIs" dxfId="9175" priority="11684" operator="between">
      <formula>0.95</formula>
      <formula>1</formula>
    </cfRule>
    <cfRule type="cellIs" dxfId="9174" priority="11685" stopIfTrue="1" operator="between">
      <formula>0</formula>
      <formula>0.5</formula>
    </cfRule>
  </conditionalFormatting>
  <conditionalFormatting sqref="Z33">
    <cfRule type="cellIs" dxfId="9173" priority="11666" operator="between">
      <formula>0.76</formula>
      <formula>0.95</formula>
    </cfRule>
    <cfRule type="cellIs" dxfId="9172" priority="11667" operator="between">
      <formula>0.51</formula>
      <formula>0.75</formula>
    </cfRule>
    <cfRule type="cellIs" dxfId="9171" priority="11668" operator="greaterThan">
      <formula>1</formula>
    </cfRule>
    <cfRule type="cellIs" dxfId="9170" priority="11669" operator="between">
      <formula>0.95</formula>
      <formula>1</formula>
    </cfRule>
    <cfRule type="cellIs" dxfId="9169" priority="11670" stopIfTrue="1" operator="between">
      <formula>0</formula>
      <formula>0.5</formula>
    </cfRule>
  </conditionalFormatting>
  <conditionalFormatting sqref="AC33">
    <cfRule type="cellIs" dxfId="9168" priority="11661" operator="between">
      <formula>0.56251</formula>
      <formula>0.7125</formula>
    </cfRule>
    <cfRule type="cellIs" dxfId="9167" priority="11662" operator="between">
      <formula>0.3751</formula>
      <formula>0.5625</formula>
    </cfRule>
    <cfRule type="cellIs" dxfId="9166" priority="11663" operator="greaterThan">
      <formula>0.751</formula>
    </cfRule>
    <cfRule type="cellIs" dxfId="9165" priority="11664" operator="between">
      <formula>0.71251</formula>
      <formula>0.75</formula>
    </cfRule>
    <cfRule type="cellIs" dxfId="9164" priority="11665" stopIfTrue="1" operator="between">
      <formula>0</formula>
      <formula>0.375</formula>
    </cfRule>
  </conditionalFormatting>
  <conditionalFormatting sqref="S33">
    <cfRule type="cellIs" dxfId="9163" priority="11656" operator="between">
      <formula>0.76</formula>
      <formula>0.95</formula>
    </cfRule>
    <cfRule type="cellIs" dxfId="9162" priority="11657" operator="between">
      <formula>0.51</formula>
      <formula>0.75</formula>
    </cfRule>
    <cfRule type="cellIs" dxfId="9161" priority="11658" operator="greaterThan">
      <formula>1</formula>
    </cfRule>
    <cfRule type="cellIs" dxfId="9160" priority="11659" operator="between">
      <formula>0.95</formula>
      <formula>1</formula>
    </cfRule>
    <cfRule type="cellIs" dxfId="9159" priority="11660" stopIfTrue="1" operator="between">
      <formula>0</formula>
      <formula>0.5</formula>
    </cfRule>
  </conditionalFormatting>
  <conditionalFormatting sqref="V33">
    <cfRule type="cellIs" dxfId="9158" priority="11651" operator="between">
      <formula>0.376</formula>
      <formula>0.475</formula>
    </cfRule>
    <cfRule type="cellIs" dxfId="9157" priority="11652" operator="between">
      <formula>0.2551</formula>
      <formula>0.3751</formula>
    </cfRule>
    <cfRule type="cellIs" dxfId="9156" priority="11653" operator="greaterThan">
      <formula>0.505</formula>
    </cfRule>
    <cfRule type="cellIs" dxfId="9155" priority="11654" operator="between">
      <formula>0.48</formula>
      <formula>0.5</formula>
    </cfRule>
    <cfRule type="cellIs" dxfId="9154" priority="11655" stopIfTrue="1" operator="between">
      <formula>0</formula>
      <formula>0.255</formula>
    </cfRule>
  </conditionalFormatting>
  <conditionalFormatting sqref="Y29:Y30 R29:R30 AF29:AF30 AH29:AI30">
    <cfRule type="cellIs" dxfId="9153" priority="11646" operator="between">
      <formula>0.76</formula>
      <formula>0.95</formula>
    </cfRule>
    <cfRule type="cellIs" dxfId="9152" priority="11647" operator="between">
      <formula>0.51</formula>
      <formula>0.75</formula>
    </cfRule>
    <cfRule type="cellIs" dxfId="9151" priority="11648" operator="greaterThan">
      <formula>1</formula>
    </cfRule>
    <cfRule type="cellIs" dxfId="9150" priority="11649" operator="between">
      <formula>0.95</formula>
      <formula>1</formula>
    </cfRule>
    <cfRule type="cellIs" dxfId="9149" priority="11650" stopIfTrue="1" operator="between">
      <formula>0</formula>
      <formula>0.5</formula>
    </cfRule>
  </conditionalFormatting>
  <conditionalFormatting sqref="T29:T30">
    <cfRule type="cellIs" dxfId="9148" priority="11641" operator="between">
      <formula>0.3751</formula>
      <formula>0.475</formula>
    </cfRule>
    <cfRule type="cellIs" dxfId="9147" priority="11642" operator="between">
      <formula>0.2551</formula>
      <formula>0.375</formula>
    </cfRule>
    <cfRule type="cellIs" dxfId="9146" priority="11643" operator="greaterThan">
      <formula>0.505</formula>
    </cfRule>
    <cfRule type="cellIs" dxfId="9145" priority="11644" operator="between">
      <formula>0.48</formula>
      <formula>0.5</formula>
    </cfRule>
    <cfRule type="cellIs" dxfId="9144" priority="11645" stopIfTrue="1" operator="between">
      <formula>0</formula>
      <formula>0.255</formula>
    </cfRule>
  </conditionalFormatting>
  <conditionalFormatting sqref="AA29:AB30">
    <cfRule type="cellIs" dxfId="9143" priority="11636" operator="between">
      <formula>0.56251</formula>
      <formula>0.7125</formula>
    </cfRule>
    <cfRule type="cellIs" dxfId="9142" priority="11637" operator="between">
      <formula>0.3751</formula>
      <formula>0.5625</formula>
    </cfRule>
    <cfRule type="cellIs" dxfId="9141" priority="11638" operator="greaterThan">
      <formula>0.751</formula>
    </cfRule>
    <cfRule type="cellIs" dxfId="9140" priority="11639" operator="between">
      <formula>0.71251</formula>
      <formula>0.75</formula>
    </cfRule>
    <cfRule type="cellIs" dxfId="9139" priority="11640" stopIfTrue="1" operator="between">
      <formula>0</formula>
      <formula>0.375</formula>
    </cfRule>
  </conditionalFormatting>
  <conditionalFormatting sqref="U29:U30">
    <cfRule type="cellIs" dxfId="9138" priority="11626" operator="between">
      <formula>0.376</formula>
      <formula>0.475</formula>
    </cfRule>
    <cfRule type="cellIs" dxfId="9137" priority="11627" operator="between">
      <formula>0.2551</formula>
      <formula>0.3751</formula>
    </cfRule>
    <cfRule type="cellIs" dxfId="9136" priority="11628" operator="greaterThan">
      <formula>0.505</formula>
    </cfRule>
    <cfRule type="cellIs" dxfId="9135" priority="11629" operator="between">
      <formula>0.48</formula>
      <formula>0.5</formula>
    </cfRule>
    <cfRule type="cellIs" dxfId="9134" priority="11630" stopIfTrue="1" operator="between">
      <formula>0</formula>
      <formula>0.255</formula>
    </cfRule>
  </conditionalFormatting>
  <conditionalFormatting sqref="AG29:AG30">
    <cfRule type="cellIs" dxfId="9133" priority="11606" operator="between">
      <formula>0.76</formula>
      <formula>0.95</formula>
    </cfRule>
    <cfRule type="cellIs" dxfId="9132" priority="11607" operator="between">
      <formula>0.51</formula>
      <formula>0.75</formula>
    </cfRule>
    <cfRule type="cellIs" dxfId="9131" priority="11608" operator="greaterThan">
      <formula>1</formula>
    </cfRule>
    <cfRule type="cellIs" dxfId="9130" priority="11609" operator="between">
      <formula>0.95</formula>
      <formula>1</formula>
    </cfRule>
    <cfRule type="cellIs" dxfId="9129" priority="11610" stopIfTrue="1" operator="between">
      <formula>0</formula>
      <formula>0.5</formula>
    </cfRule>
  </conditionalFormatting>
  <conditionalFormatting sqref="Z29:Z30">
    <cfRule type="cellIs" dxfId="9128" priority="11591" operator="between">
      <formula>0.76</formula>
      <formula>0.95</formula>
    </cfRule>
    <cfRule type="cellIs" dxfId="9127" priority="11592" operator="between">
      <formula>0.51</formula>
      <formula>0.75</formula>
    </cfRule>
    <cfRule type="cellIs" dxfId="9126" priority="11593" operator="greaterThan">
      <formula>1</formula>
    </cfRule>
    <cfRule type="cellIs" dxfId="9125" priority="11594" operator="between">
      <formula>0.95</formula>
      <formula>1</formula>
    </cfRule>
    <cfRule type="cellIs" dxfId="9124" priority="11595" stopIfTrue="1" operator="between">
      <formula>0</formula>
      <formula>0.5</formula>
    </cfRule>
  </conditionalFormatting>
  <conditionalFormatting sqref="AC29:AC30">
    <cfRule type="cellIs" dxfId="9123" priority="11586" operator="between">
      <formula>0.56251</formula>
      <formula>0.7125</formula>
    </cfRule>
    <cfRule type="cellIs" dxfId="9122" priority="11587" operator="between">
      <formula>0.3751</formula>
      <formula>0.5625</formula>
    </cfRule>
    <cfRule type="cellIs" dxfId="9121" priority="11588" operator="greaterThan">
      <formula>0.751</formula>
    </cfRule>
    <cfRule type="cellIs" dxfId="9120" priority="11589" operator="between">
      <formula>0.71251</formula>
      <formula>0.75</formula>
    </cfRule>
    <cfRule type="cellIs" dxfId="9119" priority="11590" stopIfTrue="1" operator="between">
      <formula>0</formula>
      <formula>0.375</formula>
    </cfRule>
  </conditionalFormatting>
  <conditionalFormatting sqref="S29:S30">
    <cfRule type="cellIs" dxfId="9118" priority="11581" operator="between">
      <formula>0.76</formula>
      <formula>0.95</formula>
    </cfRule>
    <cfRule type="cellIs" dxfId="9117" priority="11582" operator="between">
      <formula>0.51</formula>
      <formula>0.75</formula>
    </cfRule>
    <cfRule type="cellIs" dxfId="9116" priority="11583" operator="greaterThan">
      <formula>1</formula>
    </cfRule>
    <cfRule type="cellIs" dxfId="9115" priority="11584" operator="between">
      <formula>0.95</formula>
      <formula>1</formula>
    </cfRule>
    <cfRule type="cellIs" dxfId="9114" priority="11585" stopIfTrue="1" operator="between">
      <formula>0</formula>
      <formula>0.5</formula>
    </cfRule>
  </conditionalFormatting>
  <conditionalFormatting sqref="V29:V30">
    <cfRule type="cellIs" dxfId="9113" priority="11576" operator="between">
      <formula>0.376</formula>
      <formula>0.475</formula>
    </cfRule>
    <cfRule type="cellIs" dxfId="9112" priority="11577" operator="between">
      <formula>0.2551</formula>
      <formula>0.3751</formula>
    </cfRule>
    <cfRule type="cellIs" dxfId="9111" priority="11578" operator="greaterThan">
      <formula>0.505</formula>
    </cfRule>
    <cfRule type="cellIs" dxfId="9110" priority="11579" operator="between">
      <formula>0.48</formula>
      <formula>0.5</formula>
    </cfRule>
    <cfRule type="cellIs" dxfId="9109" priority="11580" stopIfTrue="1" operator="between">
      <formula>0</formula>
      <formula>0.255</formula>
    </cfRule>
  </conditionalFormatting>
  <conditionalFormatting sqref="Z58">
    <cfRule type="cellIs" dxfId="9108" priority="11571" operator="between">
      <formula>0.76</formula>
      <formula>0.95</formula>
    </cfRule>
    <cfRule type="cellIs" dxfId="9107" priority="11572" operator="between">
      <formula>0.51</formula>
      <formula>0.75</formula>
    </cfRule>
    <cfRule type="cellIs" dxfId="9106" priority="11573" operator="greaterThan">
      <formula>1</formula>
    </cfRule>
    <cfRule type="cellIs" dxfId="9105" priority="11574" operator="between">
      <formula>0.95</formula>
      <formula>1</formula>
    </cfRule>
    <cfRule type="cellIs" dxfId="9104" priority="11575" stopIfTrue="1" operator="between">
      <formula>0</formula>
      <formula>0.5</formula>
    </cfRule>
  </conditionalFormatting>
  <conditionalFormatting sqref="AC58">
    <cfRule type="cellIs" dxfId="9103" priority="11566" operator="between">
      <formula>0.56251</formula>
      <formula>0.7125</formula>
    </cfRule>
    <cfRule type="cellIs" dxfId="9102" priority="11567" operator="between">
      <formula>0.3751</formula>
      <formula>0.5625</formula>
    </cfRule>
    <cfRule type="cellIs" dxfId="9101" priority="11568" operator="greaterThan">
      <formula>0.751</formula>
    </cfRule>
    <cfRule type="cellIs" dxfId="9100" priority="11569" operator="between">
      <formula>0.71251</formula>
      <formula>0.75</formula>
    </cfRule>
    <cfRule type="cellIs" dxfId="9099" priority="11570" stopIfTrue="1" operator="between">
      <formula>0</formula>
      <formula>0.375</formula>
    </cfRule>
  </conditionalFormatting>
  <conditionalFormatting sqref="S58">
    <cfRule type="cellIs" dxfId="9098" priority="11561" operator="between">
      <formula>0.76</formula>
      <formula>0.95</formula>
    </cfRule>
    <cfRule type="cellIs" dxfId="9097" priority="11562" operator="between">
      <formula>0.51</formula>
      <formula>0.75</formula>
    </cfRule>
    <cfRule type="cellIs" dxfId="9096" priority="11563" operator="greaterThan">
      <formula>1</formula>
    </cfRule>
    <cfRule type="cellIs" dxfId="9095" priority="11564" operator="between">
      <formula>0.95</formula>
      <formula>1</formula>
    </cfRule>
    <cfRule type="cellIs" dxfId="9094" priority="11565" stopIfTrue="1" operator="between">
      <formula>0</formula>
      <formula>0.5</formula>
    </cfRule>
  </conditionalFormatting>
  <conditionalFormatting sqref="V58">
    <cfRule type="cellIs" dxfId="9093" priority="11556" operator="between">
      <formula>0.376</formula>
      <formula>0.475</formula>
    </cfRule>
    <cfRule type="cellIs" dxfId="9092" priority="11557" operator="between">
      <formula>0.2551</formula>
      <formula>0.3751</formula>
    </cfRule>
    <cfRule type="cellIs" dxfId="9091" priority="11558" operator="greaterThan">
      <formula>0.505</formula>
    </cfRule>
    <cfRule type="cellIs" dxfId="9090" priority="11559" operator="between">
      <formula>0.48</formula>
      <formula>0.5</formula>
    </cfRule>
    <cfRule type="cellIs" dxfId="9089" priority="11560" stopIfTrue="1" operator="between">
      <formula>0</formula>
      <formula>0.255</formula>
    </cfRule>
  </conditionalFormatting>
  <conditionalFormatting sqref="AF59:AI59 R59 Y59">
    <cfRule type="cellIs" dxfId="9088" priority="11551" operator="between">
      <formula>0.76</formula>
      <formula>0.95</formula>
    </cfRule>
    <cfRule type="cellIs" dxfId="9087" priority="11552" operator="between">
      <formula>0.51</formula>
      <formula>0.75</formula>
    </cfRule>
    <cfRule type="cellIs" dxfId="9086" priority="11553" operator="greaterThan">
      <formula>1</formula>
    </cfRule>
    <cfRule type="cellIs" dxfId="9085" priority="11554" operator="between">
      <formula>0.95</formula>
      <formula>1</formula>
    </cfRule>
    <cfRule type="cellIs" dxfId="9084" priority="11555" stopIfTrue="1" operator="between">
      <formula>0</formula>
      <formula>0.5</formula>
    </cfRule>
  </conditionalFormatting>
  <conditionalFormatting sqref="T59">
    <cfRule type="cellIs" dxfId="9083" priority="11546" operator="between">
      <formula>0.3751</formula>
      <formula>0.475</formula>
    </cfRule>
    <cfRule type="cellIs" dxfId="9082" priority="11547" operator="between">
      <formula>0.2551</formula>
      <formula>0.375</formula>
    </cfRule>
    <cfRule type="cellIs" dxfId="9081" priority="11548" operator="greaterThan">
      <formula>0.505</formula>
    </cfRule>
    <cfRule type="cellIs" dxfId="9080" priority="11549" operator="between">
      <formula>0.48</formula>
      <formula>0.5</formula>
    </cfRule>
    <cfRule type="cellIs" dxfId="9079" priority="11550" stopIfTrue="1" operator="between">
      <formula>0</formula>
      <formula>0.255</formula>
    </cfRule>
  </conditionalFormatting>
  <conditionalFormatting sqref="AA59:AB59">
    <cfRule type="cellIs" dxfId="9078" priority="11541" operator="between">
      <formula>0.56251</formula>
      <formula>0.7125</formula>
    </cfRule>
    <cfRule type="cellIs" dxfId="9077" priority="11542" operator="between">
      <formula>0.3751</formula>
      <formula>0.5625</formula>
    </cfRule>
    <cfRule type="cellIs" dxfId="9076" priority="11543" operator="greaterThan">
      <formula>0.751</formula>
    </cfRule>
    <cfRule type="cellIs" dxfId="9075" priority="11544" operator="between">
      <formula>0.71251</formula>
      <formula>0.75</formula>
    </cfRule>
    <cfRule type="cellIs" dxfId="9074" priority="11545" stopIfTrue="1" operator="between">
      <formula>0</formula>
      <formula>0.375</formula>
    </cfRule>
  </conditionalFormatting>
  <conditionalFormatting sqref="U59">
    <cfRule type="cellIs" dxfId="9073" priority="11531" operator="between">
      <formula>0.376</formula>
      <formula>0.475</formula>
    </cfRule>
    <cfRule type="cellIs" dxfId="9072" priority="11532" operator="between">
      <formula>0.2551</formula>
      <formula>0.3751</formula>
    </cfRule>
    <cfRule type="cellIs" dxfId="9071" priority="11533" operator="greaterThan">
      <formula>0.505</formula>
    </cfRule>
    <cfRule type="cellIs" dxfId="9070" priority="11534" operator="between">
      <formula>0.48</formula>
      <formula>0.5</formula>
    </cfRule>
    <cfRule type="cellIs" dxfId="9069" priority="11535" stopIfTrue="1" operator="between">
      <formula>0</formula>
      <formula>0.255</formula>
    </cfRule>
  </conditionalFormatting>
  <conditionalFormatting sqref="Z59">
    <cfRule type="cellIs" dxfId="9068" priority="11511" operator="between">
      <formula>0.76</formula>
      <formula>0.95</formula>
    </cfRule>
    <cfRule type="cellIs" dxfId="9067" priority="11512" operator="between">
      <formula>0.51</formula>
      <formula>0.75</formula>
    </cfRule>
    <cfRule type="cellIs" dxfId="9066" priority="11513" operator="greaterThan">
      <formula>1</formula>
    </cfRule>
    <cfRule type="cellIs" dxfId="9065" priority="11514" operator="between">
      <formula>0.95</formula>
      <formula>1</formula>
    </cfRule>
    <cfRule type="cellIs" dxfId="9064" priority="11515" stopIfTrue="1" operator="between">
      <formula>0</formula>
      <formula>0.5</formula>
    </cfRule>
  </conditionalFormatting>
  <conditionalFormatting sqref="AC59">
    <cfRule type="cellIs" dxfId="9063" priority="11506" operator="between">
      <formula>0.56251</formula>
      <formula>0.7125</formula>
    </cfRule>
    <cfRule type="cellIs" dxfId="9062" priority="11507" operator="between">
      <formula>0.3751</formula>
      <formula>0.5625</formula>
    </cfRule>
    <cfRule type="cellIs" dxfId="9061" priority="11508" operator="greaterThan">
      <formula>0.751</formula>
    </cfRule>
    <cfRule type="cellIs" dxfId="9060" priority="11509" operator="between">
      <formula>0.71251</formula>
      <formula>0.75</formula>
    </cfRule>
    <cfRule type="cellIs" dxfId="9059" priority="11510" stopIfTrue="1" operator="between">
      <formula>0</formula>
      <formula>0.375</formula>
    </cfRule>
  </conditionalFormatting>
  <conditionalFormatting sqref="S59">
    <cfRule type="cellIs" dxfId="9058" priority="11501" operator="between">
      <formula>0.76</formula>
      <formula>0.95</formula>
    </cfRule>
    <cfRule type="cellIs" dxfId="9057" priority="11502" operator="between">
      <formula>0.51</formula>
      <formula>0.75</formula>
    </cfRule>
    <cfRule type="cellIs" dxfId="9056" priority="11503" operator="greaterThan">
      <formula>1</formula>
    </cfRule>
    <cfRule type="cellIs" dxfId="9055" priority="11504" operator="between">
      <formula>0.95</formula>
      <formula>1</formula>
    </cfRule>
    <cfRule type="cellIs" dxfId="9054" priority="11505" stopIfTrue="1" operator="between">
      <formula>0</formula>
      <formula>0.5</formula>
    </cfRule>
  </conditionalFormatting>
  <conditionalFormatting sqref="V59">
    <cfRule type="cellIs" dxfId="9053" priority="11496" operator="between">
      <formula>0.376</formula>
      <formula>0.475</formula>
    </cfRule>
    <cfRule type="cellIs" dxfId="9052" priority="11497" operator="between">
      <formula>0.2551</formula>
      <formula>0.3751</formula>
    </cfRule>
    <cfRule type="cellIs" dxfId="9051" priority="11498" operator="greaterThan">
      <formula>0.505</formula>
    </cfRule>
    <cfRule type="cellIs" dxfId="9050" priority="11499" operator="between">
      <formula>0.48</formula>
      <formula>0.5</formula>
    </cfRule>
    <cfRule type="cellIs" dxfId="9049" priority="11500" stopIfTrue="1" operator="between">
      <formula>0</formula>
      <formula>0.255</formula>
    </cfRule>
  </conditionalFormatting>
  <conditionalFormatting sqref="AF63:AI63 R63 Y63">
    <cfRule type="cellIs" dxfId="9048" priority="11491" operator="between">
      <formula>0.76</formula>
      <formula>0.95</formula>
    </cfRule>
    <cfRule type="cellIs" dxfId="9047" priority="11492" operator="between">
      <formula>0.51</formula>
      <formula>0.75</formula>
    </cfRule>
    <cfRule type="cellIs" dxfId="9046" priority="11493" operator="greaterThan">
      <formula>1</formula>
    </cfRule>
    <cfRule type="cellIs" dxfId="9045" priority="11494" operator="between">
      <formula>0.95</formula>
      <formula>1</formula>
    </cfRule>
    <cfRule type="cellIs" dxfId="9044" priority="11495" stopIfTrue="1" operator="between">
      <formula>0</formula>
      <formula>0.5</formula>
    </cfRule>
  </conditionalFormatting>
  <conditionalFormatting sqref="T63">
    <cfRule type="cellIs" dxfId="9043" priority="11486" operator="between">
      <formula>0.3751</formula>
      <formula>0.475</formula>
    </cfRule>
    <cfRule type="cellIs" dxfId="9042" priority="11487" operator="between">
      <formula>0.2551</formula>
      <formula>0.375</formula>
    </cfRule>
    <cfRule type="cellIs" dxfId="9041" priority="11488" operator="greaterThan">
      <formula>0.505</formula>
    </cfRule>
    <cfRule type="cellIs" dxfId="9040" priority="11489" operator="between">
      <formula>0.48</formula>
      <formula>0.5</formula>
    </cfRule>
    <cfRule type="cellIs" dxfId="9039" priority="11490" stopIfTrue="1" operator="between">
      <formula>0</formula>
      <formula>0.255</formula>
    </cfRule>
  </conditionalFormatting>
  <conditionalFormatting sqref="AA63:AB63">
    <cfRule type="cellIs" dxfId="9038" priority="11481" operator="between">
      <formula>0.56251</formula>
      <formula>0.7125</formula>
    </cfRule>
    <cfRule type="cellIs" dxfId="9037" priority="11482" operator="between">
      <formula>0.3751</formula>
      <formula>0.5625</formula>
    </cfRule>
    <cfRule type="cellIs" dxfId="9036" priority="11483" operator="greaterThan">
      <formula>0.751</formula>
    </cfRule>
    <cfRule type="cellIs" dxfId="9035" priority="11484" operator="between">
      <formula>0.71251</formula>
      <formula>0.75</formula>
    </cfRule>
    <cfRule type="cellIs" dxfId="9034" priority="11485" stopIfTrue="1" operator="between">
      <formula>0</formula>
      <formula>0.375</formula>
    </cfRule>
  </conditionalFormatting>
  <conditionalFormatting sqref="U63">
    <cfRule type="cellIs" dxfId="9033" priority="11471" operator="between">
      <formula>0.376</formula>
      <formula>0.475</formula>
    </cfRule>
    <cfRule type="cellIs" dxfId="9032" priority="11472" operator="between">
      <formula>0.2551</formula>
      <formula>0.3751</formula>
    </cfRule>
    <cfRule type="cellIs" dxfId="9031" priority="11473" operator="greaterThan">
      <formula>0.505</formula>
    </cfRule>
    <cfRule type="cellIs" dxfId="9030" priority="11474" operator="between">
      <formula>0.48</formula>
      <formula>0.5</formula>
    </cfRule>
    <cfRule type="cellIs" dxfId="9029" priority="11475" stopIfTrue="1" operator="between">
      <formula>0</formula>
      <formula>0.255</formula>
    </cfRule>
  </conditionalFormatting>
  <conditionalFormatting sqref="Z63">
    <cfRule type="cellIs" dxfId="9028" priority="11451" operator="between">
      <formula>0.76</formula>
      <formula>0.95</formula>
    </cfRule>
    <cfRule type="cellIs" dxfId="9027" priority="11452" operator="between">
      <formula>0.51</formula>
      <formula>0.75</formula>
    </cfRule>
    <cfRule type="cellIs" dxfId="9026" priority="11453" operator="greaterThan">
      <formula>1</formula>
    </cfRule>
    <cfRule type="cellIs" dxfId="9025" priority="11454" operator="between">
      <formula>0.95</formula>
      <formula>1</formula>
    </cfRule>
    <cfRule type="cellIs" dxfId="9024" priority="11455" stopIfTrue="1" operator="between">
      <formula>0</formula>
      <formula>0.5</formula>
    </cfRule>
  </conditionalFormatting>
  <conditionalFormatting sqref="AC63">
    <cfRule type="cellIs" dxfId="9023" priority="11446" operator="between">
      <formula>0.56251</formula>
      <formula>0.7125</formula>
    </cfRule>
    <cfRule type="cellIs" dxfId="9022" priority="11447" operator="between">
      <formula>0.3751</formula>
      <formula>0.5625</formula>
    </cfRule>
    <cfRule type="cellIs" dxfId="9021" priority="11448" operator="greaterThan">
      <formula>0.751</formula>
    </cfRule>
    <cfRule type="cellIs" dxfId="9020" priority="11449" operator="between">
      <formula>0.71251</formula>
      <formula>0.75</formula>
    </cfRule>
    <cfRule type="cellIs" dxfId="9019" priority="11450" stopIfTrue="1" operator="between">
      <formula>0</formula>
      <formula>0.375</formula>
    </cfRule>
  </conditionalFormatting>
  <conditionalFormatting sqref="S63">
    <cfRule type="cellIs" dxfId="9018" priority="11441" operator="between">
      <formula>0.76</formula>
      <formula>0.95</formula>
    </cfRule>
    <cfRule type="cellIs" dxfId="9017" priority="11442" operator="between">
      <formula>0.51</formula>
      <formula>0.75</formula>
    </cfRule>
    <cfRule type="cellIs" dxfId="9016" priority="11443" operator="greaterThan">
      <formula>1</formula>
    </cfRule>
    <cfRule type="cellIs" dxfId="9015" priority="11444" operator="between">
      <formula>0.95</formula>
      <formula>1</formula>
    </cfRule>
    <cfRule type="cellIs" dxfId="9014" priority="11445" stopIfTrue="1" operator="between">
      <formula>0</formula>
      <formula>0.5</formula>
    </cfRule>
  </conditionalFormatting>
  <conditionalFormatting sqref="V63">
    <cfRule type="cellIs" dxfId="9013" priority="11436" operator="between">
      <formula>0.376</formula>
      <formula>0.475</formula>
    </cfRule>
    <cfRule type="cellIs" dxfId="9012" priority="11437" operator="between">
      <formula>0.2551</formula>
      <formula>0.3751</formula>
    </cfRule>
    <cfRule type="cellIs" dxfId="9011" priority="11438" operator="greaterThan">
      <formula>0.505</formula>
    </cfRule>
    <cfRule type="cellIs" dxfId="9010" priority="11439" operator="between">
      <formula>0.48</formula>
      <formula>0.5</formula>
    </cfRule>
    <cfRule type="cellIs" dxfId="9009" priority="11440" stopIfTrue="1" operator="between">
      <formula>0</formula>
      <formula>0.255</formula>
    </cfRule>
  </conditionalFormatting>
  <conditionalFormatting sqref="AF159:AI159 R159 Y159">
    <cfRule type="cellIs" dxfId="9008" priority="11431" operator="between">
      <formula>0.76</formula>
      <formula>0.95</formula>
    </cfRule>
    <cfRule type="cellIs" dxfId="9007" priority="11432" operator="between">
      <formula>0.51</formula>
      <formula>0.75</formula>
    </cfRule>
    <cfRule type="cellIs" dxfId="9006" priority="11433" operator="greaterThan">
      <formula>1</formula>
    </cfRule>
    <cfRule type="cellIs" dxfId="9005" priority="11434" operator="between">
      <formula>0.95</formula>
      <formula>1</formula>
    </cfRule>
    <cfRule type="cellIs" dxfId="9004" priority="11435" stopIfTrue="1" operator="between">
      <formula>0</formula>
      <formula>0.5</formula>
    </cfRule>
  </conditionalFormatting>
  <conditionalFormatting sqref="T159">
    <cfRule type="cellIs" dxfId="9003" priority="11426" operator="between">
      <formula>0.3751</formula>
      <formula>0.475</formula>
    </cfRule>
    <cfRule type="cellIs" dxfId="9002" priority="11427" operator="between">
      <formula>0.2551</formula>
      <formula>0.375</formula>
    </cfRule>
    <cfRule type="cellIs" dxfId="9001" priority="11428" operator="greaterThan">
      <formula>0.505</formula>
    </cfRule>
    <cfRule type="cellIs" dxfId="9000" priority="11429" operator="between">
      <formula>0.48</formula>
      <formula>0.5</formula>
    </cfRule>
    <cfRule type="cellIs" dxfId="8999" priority="11430" stopIfTrue="1" operator="between">
      <formula>0</formula>
      <formula>0.255</formula>
    </cfRule>
  </conditionalFormatting>
  <conditionalFormatting sqref="AA159:AB159">
    <cfRule type="cellIs" dxfId="8998" priority="11421" operator="between">
      <formula>0.56251</formula>
      <formula>0.7125</formula>
    </cfRule>
    <cfRule type="cellIs" dxfId="8997" priority="11422" operator="between">
      <formula>0.3751</formula>
      <formula>0.5625</formula>
    </cfRule>
    <cfRule type="cellIs" dxfId="8996" priority="11423" operator="greaterThan">
      <formula>0.751</formula>
    </cfRule>
    <cfRule type="cellIs" dxfId="8995" priority="11424" operator="between">
      <formula>0.71251</formula>
      <formula>0.75</formula>
    </cfRule>
    <cfRule type="cellIs" dxfId="8994" priority="11425" stopIfTrue="1" operator="between">
      <formula>0</formula>
      <formula>0.375</formula>
    </cfRule>
  </conditionalFormatting>
  <conditionalFormatting sqref="U159">
    <cfRule type="cellIs" dxfId="8993" priority="11411" operator="between">
      <formula>0.376</formula>
      <formula>0.475</formula>
    </cfRule>
    <cfRule type="cellIs" dxfId="8992" priority="11412" operator="between">
      <formula>0.2551</formula>
      <formula>0.3751</formula>
    </cfRule>
    <cfRule type="cellIs" dxfId="8991" priority="11413" operator="greaterThan">
      <formula>0.505</formula>
    </cfRule>
    <cfRule type="cellIs" dxfId="8990" priority="11414" operator="between">
      <formula>0.48</formula>
      <formula>0.5</formula>
    </cfRule>
    <cfRule type="cellIs" dxfId="8989" priority="11415" stopIfTrue="1" operator="between">
      <formula>0</formula>
      <formula>0.255</formula>
    </cfRule>
  </conditionalFormatting>
  <conditionalFormatting sqref="AC159">
    <cfRule type="cellIs" dxfId="8988" priority="11386" operator="between">
      <formula>0.56251</formula>
      <formula>0.7125</formula>
    </cfRule>
    <cfRule type="cellIs" dxfId="8987" priority="11387" operator="between">
      <formula>0.3751</formula>
      <formula>0.5625</formula>
    </cfRule>
    <cfRule type="cellIs" dxfId="8986" priority="11388" operator="greaterThan">
      <formula>0.751</formula>
    </cfRule>
    <cfRule type="cellIs" dxfId="8985" priority="11389" operator="between">
      <formula>0.71251</formula>
      <formula>0.75</formula>
    </cfRule>
    <cfRule type="cellIs" dxfId="8984" priority="11390" stopIfTrue="1" operator="between">
      <formula>0</formula>
      <formula>0.375</formula>
    </cfRule>
  </conditionalFormatting>
  <conditionalFormatting sqref="V159">
    <cfRule type="cellIs" dxfId="8983" priority="11376" operator="between">
      <formula>0.376</formula>
      <formula>0.475</formula>
    </cfRule>
    <cfRule type="cellIs" dxfId="8982" priority="11377" operator="between">
      <formula>0.2551</formula>
      <formula>0.3751</formula>
    </cfRule>
    <cfRule type="cellIs" dxfId="8981" priority="11378" operator="greaterThan">
      <formula>0.505</formula>
    </cfRule>
    <cfRule type="cellIs" dxfId="8980" priority="11379" operator="between">
      <formula>0.48</formula>
      <formula>0.5</formula>
    </cfRule>
    <cfRule type="cellIs" dxfId="8979" priority="11380" stopIfTrue="1" operator="between">
      <formula>0</formula>
      <formula>0.255</formula>
    </cfRule>
  </conditionalFormatting>
  <conditionalFormatting sqref="Z159">
    <cfRule type="cellIs" dxfId="8978" priority="11251" operator="between">
      <formula>0.76</formula>
      <formula>0.95</formula>
    </cfRule>
    <cfRule type="cellIs" dxfId="8977" priority="11252" operator="between">
      <formula>0.51</formula>
      <formula>0.75</formula>
    </cfRule>
    <cfRule type="cellIs" dxfId="8976" priority="11253" operator="greaterThan">
      <formula>1</formula>
    </cfRule>
    <cfRule type="cellIs" dxfId="8975" priority="11254" operator="between">
      <formula>0.95</formula>
      <formula>1</formula>
    </cfRule>
    <cfRule type="cellIs" dxfId="8974" priority="11255" stopIfTrue="1" operator="between">
      <formula>0</formula>
      <formula>0.5</formula>
    </cfRule>
  </conditionalFormatting>
  <conditionalFormatting sqref="S159">
    <cfRule type="cellIs" dxfId="8973" priority="11246" operator="between">
      <formula>0.76</formula>
      <formula>0.95</formula>
    </cfRule>
    <cfRule type="cellIs" dxfId="8972" priority="11247" operator="between">
      <formula>0.51</formula>
      <formula>0.75</formula>
    </cfRule>
    <cfRule type="cellIs" dxfId="8971" priority="11248" operator="greaterThan">
      <formula>1</formula>
    </cfRule>
    <cfRule type="cellIs" dxfId="8970" priority="11249" operator="between">
      <formula>0.95</formula>
      <formula>1</formula>
    </cfRule>
    <cfRule type="cellIs" dxfId="8969" priority="11250" stopIfTrue="1" operator="between">
      <formula>0</formula>
      <formula>0.5</formula>
    </cfRule>
  </conditionalFormatting>
  <conditionalFormatting sqref="V160">
    <cfRule type="cellIs" dxfId="8968" priority="11174" operator="between">
      <formula>0.376</formula>
      <formula>0.475</formula>
    </cfRule>
    <cfRule type="cellIs" dxfId="8967" priority="11175" operator="between">
      <formula>0.2551</formula>
      <formula>0.3751</formula>
    </cfRule>
    <cfRule type="cellIs" dxfId="8966" priority="11176" operator="greaterThan">
      <formula>0.505</formula>
    </cfRule>
    <cfRule type="cellIs" dxfId="8965" priority="11177" operator="between">
      <formula>0.48</formula>
      <formula>0.5</formula>
    </cfRule>
    <cfRule type="cellIs" dxfId="8964" priority="11178" stopIfTrue="1" operator="between">
      <formula>0</formula>
      <formula>0.255</formula>
    </cfRule>
  </conditionalFormatting>
  <conditionalFormatting sqref="S160">
    <cfRule type="cellIs" dxfId="8963" priority="11164" operator="between">
      <formula>0.76</formula>
      <formula>0.95</formula>
    </cfRule>
    <cfRule type="cellIs" dxfId="8962" priority="11165" operator="between">
      <formula>0.51</formula>
      <formula>0.75</formula>
    </cfRule>
    <cfRule type="cellIs" dxfId="8961" priority="11166" operator="greaterThan">
      <formula>1</formula>
    </cfRule>
    <cfRule type="cellIs" dxfId="8960" priority="11167" operator="between">
      <formula>0.95</formula>
      <formula>1</formula>
    </cfRule>
    <cfRule type="cellIs" dxfId="8959" priority="11168" stopIfTrue="1" operator="between">
      <formula>0</formula>
      <formula>0.5</formula>
    </cfRule>
  </conditionalFormatting>
  <conditionalFormatting sqref="S221:S222">
    <cfRule type="cellIs" dxfId="8958" priority="11149" operator="between">
      <formula>0.76</formula>
      <formula>0.95</formula>
    </cfRule>
    <cfRule type="cellIs" dxfId="8957" priority="11150" operator="between">
      <formula>0.51</formula>
      <formula>0.75</formula>
    </cfRule>
    <cfRule type="cellIs" dxfId="8956" priority="11151" operator="greaterThan">
      <formula>1</formula>
    </cfRule>
    <cfRule type="cellIs" dxfId="8955" priority="11152" operator="between">
      <formula>0.95</formula>
      <formula>1</formula>
    </cfRule>
    <cfRule type="cellIs" dxfId="8954" priority="11153" stopIfTrue="1" operator="between">
      <formula>0</formula>
      <formula>0.5</formula>
    </cfRule>
  </conditionalFormatting>
  <conditionalFormatting sqref="V221:V222">
    <cfRule type="cellIs" dxfId="8953" priority="11144" operator="between">
      <formula>0.376</formula>
      <formula>0.475</formula>
    </cfRule>
    <cfRule type="cellIs" dxfId="8952" priority="11145" operator="between">
      <formula>0.2551</formula>
      <formula>0.3751</formula>
    </cfRule>
    <cfRule type="cellIs" dxfId="8951" priority="11146" operator="greaterThan">
      <formula>0.505</formula>
    </cfRule>
    <cfRule type="cellIs" dxfId="8950" priority="11147" operator="between">
      <formula>0.48</formula>
      <formula>0.5</formula>
    </cfRule>
    <cfRule type="cellIs" dxfId="8949" priority="11148" stopIfTrue="1" operator="between">
      <formula>0</formula>
      <formula>0.255</formula>
    </cfRule>
  </conditionalFormatting>
  <conditionalFormatting sqref="R161:R162 Y161:Z162 AF161:AI162">
    <cfRule type="cellIs" dxfId="8948" priority="11108" operator="between">
      <formula>0.76</formula>
      <formula>0.95</formula>
    </cfRule>
    <cfRule type="cellIs" dxfId="8947" priority="11109" operator="between">
      <formula>0.51</formula>
      <formula>0.75</formula>
    </cfRule>
    <cfRule type="cellIs" dxfId="8946" priority="11110" operator="greaterThan">
      <formula>1</formula>
    </cfRule>
    <cfRule type="cellIs" dxfId="8945" priority="11111" operator="between">
      <formula>0.95</formula>
      <formula>1</formula>
    </cfRule>
    <cfRule type="cellIs" dxfId="8944" priority="11112" stopIfTrue="1" operator="between">
      <formula>0</formula>
      <formula>0.5</formula>
    </cfRule>
  </conditionalFormatting>
  <conditionalFormatting sqref="T161:T162">
    <cfRule type="cellIs" dxfId="8943" priority="11103" operator="between">
      <formula>0.3751</formula>
      <formula>0.475</formula>
    </cfRule>
    <cfRule type="cellIs" dxfId="8942" priority="11104" operator="between">
      <formula>0.2551</formula>
      <formula>0.375</formula>
    </cfRule>
    <cfRule type="cellIs" dxfId="8941" priority="11105" operator="greaterThan">
      <formula>0.505</formula>
    </cfRule>
    <cfRule type="cellIs" dxfId="8940" priority="11106" operator="between">
      <formula>0.48</formula>
      <formula>0.5</formula>
    </cfRule>
    <cfRule type="cellIs" dxfId="8939" priority="11107" stopIfTrue="1" operator="between">
      <formula>0</formula>
      <formula>0.255</formula>
    </cfRule>
  </conditionalFormatting>
  <conditionalFormatting sqref="AA161:AC162">
    <cfRule type="cellIs" dxfId="8938" priority="11098" operator="between">
      <formula>0.56251</formula>
      <formula>0.7125</formula>
    </cfRule>
    <cfRule type="cellIs" dxfId="8937" priority="11099" operator="between">
      <formula>0.3751</formula>
      <formula>0.5625</formula>
    </cfRule>
    <cfRule type="cellIs" dxfId="8936" priority="11100" operator="greaterThan">
      <formula>0.751</formula>
    </cfRule>
    <cfRule type="cellIs" dxfId="8935" priority="11101" operator="between">
      <formula>0.71251</formula>
      <formula>0.75</formula>
    </cfRule>
    <cfRule type="cellIs" dxfId="8934" priority="11102" stopIfTrue="1" operator="between">
      <formula>0</formula>
      <formula>0.375</formula>
    </cfRule>
  </conditionalFormatting>
  <conditionalFormatting sqref="U161:U162">
    <cfRule type="cellIs" dxfId="8933" priority="11093" operator="between">
      <formula>0.376</formula>
      <formula>0.475</formula>
    </cfRule>
    <cfRule type="cellIs" dxfId="8932" priority="11094" operator="between">
      <formula>0.2551</formula>
      <formula>0.3751</formula>
    </cfRule>
    <cfRule type="cellIs" dxfId="8931" priority="11095" operator="greaterThan">
      <formula>0.505</formula>
    </cfRule>
    <cfRule type="cellIs" dxfId="8930" priority="11096" operator="between">
      <formula>0.48</formula>
      <formula>0.5</formula>
    </cfRule>
    <cfRule type="cellIs" dxfId="8929" priority="11097" stopIfTrue="1" operator="between">
      <formula>0</formula>
      <formula>0.255</formula>
    </cfRule>
  </conditionalFormatting>
  <conditionalFormatting sqref="V161:V162">
    <cfRule type="cellIs" dxfId="8928" priority="11075" operator="between">
      <formula>0.376</formula>
      <formula>0.475</formula>
    </cfRule>
    <cfRule type="cellIs" dxfId="8927" priority="11076" operator="between">
      <formula>0.2551</formula>
      <formula>0.3751</formula>
    </cfRule>
    <cfRule type="cellIs" dxfId="8926" priority="11077" operator="greaterThan">
      <formula>0.505</formula>
    </cfRule>
    <cfRule type="cellIs" dxfId="8925" priority="11078" operator="between">
      <formula>0.48</formula>
      <formula>0.5</formula>
    </cfRule>
    <cfRule type="cellIs" dxfId="8924" priority="11079" stopIfTrue="1" operator="between">
      <formula>0</formula>
      <formula>0.255</formula>
    </cfRule>
  </conditionalFormatting>
  <conditionalFormatting sqref="S161:S162">
    <cfRule type="cellIs" dxfId="8923" priority="11070" operator="between">
      <formula>0.76</formula>
      <formula>0.95</formula>
    </cfRule>
    <cfRule type="cellIs" dxfId="8922" priority="11071" operator="between">
      <formula>0.51</formula>
      <formula>0.75</formula>
    </cfRule>
    <cfRule type="cellIs" dxfId="8921" priority="11072" operator="greaterThan">
      <formula>1</formula>
    </cfRule>
    <cfRule type="cellIs" dxfId="8920" priority="11073" operator="between">
      <formula>0.95</formula>
      <formula>1</formula>
    </cfRule>
    <cfRule type="cellIs" dxfId="8919" priority="11074" stopIfTrue="1" operator="between">
      <formula>0</formula>
      <formula>0.5</formula>
    </cfRule>
  </conditionalFormatting>
  <conditionalFormatting sqref="R163 Y163:Z163 AF163:AI163">
    <cfRule type="cellIs" dxfId="8918" priority="11065" operator="between">
      <formula>0.76</formula>
      <formula>0.95</formula>
    </cfRule>
    <cfRule type="cellIs" dxfId="8917" priority="11066" operator="between">
      <formula>0.51</formula>
      <formula>0.75</formula>
    </cfRule>
    <cfRule type="cellIs" dxfId="8916" priority="11067" operator="greaterThan">
      <formula>1</formula>
    </cfRule>
    <cfRule type="cellIs" dxfId="8915" priority="11068" operator="between">
      <formula>0.95</formula>
      <formula>1</formula>
    </cfRule>
    <cfRule type="cellIs" dxfId="8914" priority="11069" stopIfTrue="1" operator="between">
      <formula>0</formula>
      <formula>0.5</formula>
    </cfRule>
  </conditionalFormatting>
  <conditionalFormatting sqref="T163">
    <cfRule type="cellIs" dxfId="8913" priority="11060" operator="between">
      <formula>0.3751</formula>
      <formula>0.475</formula>
    </cfRule>
    <cfRule type="cellIs" dxfId="8912" priority="11061" operator="between">
      <formula>0.2551</formula>
      <formula>0.375</formula>
    </cfRule>
    <cfRule type="cellIs" dxfId="8911" priority="11062" operator="greaterThan">
      <formula>0.505</formula>
    </cfRule>
    <cfRule type="cellIs" dxfId="8910" priority="11063" operator="between">
      <formula>0.48</formula>
      <formula>0.5</formula>
    </cfRule>
    <cfRule type="cellIs" dxfId="8909" priority="11064" stopIfTrue="1" operator="between">
      <formula>0</formula>
      <formula>0.255</formula>
    </cfRule>
  </conditionalFormatting>
  <conditionalFormatting sqref="AA163:AC163">
    <cfRule type="cellIs" dxfId="8908" priority="11055" operator="between">
      <formula>0.56251</formula>
      <formula>0.7125</formula>
    </cfRule>
    <cfRule type="cellIs" dxfId="8907" priority="11056" operator="between">
      <formula>0.3751</formula>
      <formula>0.5625</formula>
    </cfRule>
    <cfRule type="cellIs" dxfId="8906" priority="11057" operator="greaterThan">
      <formula>0.751</formula>
    </cfRule>
    <cfRule type="cellIs" dxfId="8905" priority="11058" operator="between">
      <formula>0.71251</formula>
      <formula>0.75</formula>
    </cfRule>
    <cfRule type="cellIs" dxfId="8904" priority="11059" stopIfTrue="1" operator="between">
      <formula>0</formula>
      <formula>0.375</formula>
    </cfRule>
  </conditionalFormatting>
  <conditionalFormatting sqref="U163">
    <cfRule type="cellIs" dxfId="8903" priority="11050" operator="between">
      <formula>0.376</formula>
      <formula>0.475</formula>
    </cfRule>
    <cfRule type="cellIs" dxfId="8902" priority="11051" operator="between">
      <formula>0.2551</formula>
      <formula>0.3751</formula>
    </cfRule>
    <cfRule type="cellIs" dxfId="8901" priority="11052" operator="greaterThan">
      <formula>0.505</formula>
    </cfRule>
    <cfRule type="cellIs" dxfId="8900" priority="11053" operator="between">
      <formula>0.48</formula>
      <formula>0.5</formula>
    </cfRule>
    <cfRule type="cellIs" dxfId="8899" priority="11054" stopIfTrue="1" operator="between">
      <formula>0</formula>
      <formula>0.255</formula>
    </cfRule>
  </conditionalFormatting>
  <conditionalFormatting sqref="V163">
    <cfRule type="cellIs" dxfId="8898" priority="11032" operator="between">
      <formula>0.376</formula>
      <formula>0.475</formula>
    </cfRule>
    <cfRule type="cellIs" dxfId="8897" priority="11033" operator="between">
      <formula>0.2551</formula>
      <formula>0.3751</formula>
    </cfRule>
    <cfRule type="cellIs" dxfId="8896" priority="11034" operator="greaterThan">
      <formula>0.505</formula>
    </cfRule>
    <cfRule type="cellIs" dxfId="8895" priority="11035" operator="between">
      <formula>0.48</formula>
      <formula>0.5</formula>
    </cfRule>
    <cfRule type="cellIs" dxfId="8894" priority="11036" stopIfTrue="1" operator="between">
      <formula>0</formula>
      <formula>0.255</formula>
    </cfRule>
  </conditionalFormatting>
  <conditionalFormatting sqref="S163">
    <cfRule type="cellIs" dxfId="8893" priority="11027" operator="between">
      <formula>0.76</formula>
      <formula>0.95</formula>
    </cfRule>
    <cfRule type="cellIs" dxfId="8892" priority="11028" operator="between">
      <formula>0.51</formula>
      <formula>0.75</formula>
    </cfRule>
    <cfRule type="cellIs" dxfId="8891" priority="11029" operator="greaterThan">
      <formula>1</formula>
    </cfRule>
    <cfRule type="cellIs" dxfId="8890" priority="11030" operator="between">
      <formula>0.95</formula>
      <formula>1</formula>
    </cfRule>
    <cfRule type="cellIs" dxfId="8889" priority="11031" stopIfTrue="1" operator="between">
      <formula>0</formula>
      <formula>0.5</formula>
    </cfRule>
  </conditionalFormatting>
  <conditionalFormatting sqref="R164:R165 Y164:Z165 AF164:AI164 AF165 AH165:AI165">
    <cfRule type="cellIs" dxfId="8888" priority="11022" operator="between">
      <formula>0.76</formula>
      <formula>0.95</formula>
    </cfRule>
    <cfRule type="cellIs" dxfId="8887" priority="11023" operator="between">
      <formula>0.51</formula>
      <formula>0.75</formula>
    </cfRule>
    <cfRule type="cellIs" dxfId="8886" priority="11024" operator="greaterThan">
      <formula>1</formula>
    </cfRule>
    <cfRule type="cellIs" dxfId="8885" priority="11025" operator="between">
      <formula>0.95</formula>
      <formula>1</formula>
    </cfRule>
    <cfRule type="cellIs" dxfId="8884" priority="11026" stopIfTrue="1" operator="between">
      <formula>0</formula>
      <formula>0.5</formula>
    </cfRule>
  </conditionalFormatting>
  <conditionalFormatting sqref="T164:T165">
    <cfRule type="cellIs" dxfId="8883" priority="11017" operator="between">
      <formula>0.3751</formula>
      <formula>0.475</formula>
    </cfRule>
    <cfRule type="cellIs" dxfId="8882" priority="11018" operator="between">
      <formula>0.2551</formula>
      <formula>0.375</formula>
    </cfRule>
    <cfRule type="cellIs" dxfId="8881" priority="11019" operator="greaterThan">
      <formula>0.505</formula>
    </cfRule>
    <cfRule type="cellIs" dxfId="8880" priority="11020" operator="between">
      <formula>0.48</formula>
      <formula>0.5</formula>
    </cfRule>
    <cfRule type="cellIs" dxfId="8879" priority="11021" stopIfTrue="1" operator="between">
      <formula>0</formula>
      <formula>0.255</formula>
    </cfRule>
  </conditionalFormatting>
  <conditionalFormatting sqref="AA164:AC165">
    <cfRule type="cellIs" dxfId="8878" priority="11012" operator="between">
      <formula>0.56251</formula>
      <formula>0.7125</formula>
    </cfRule>
    <cfRule type="cellIs" dxfId="8877" priority="11013" operator="between">
      <formula>0.3751</formula>
      <formula>0.5625</formula>
    </cfRule>
    <cfRule type="cellIs" dxfId="8876" priority="11014" operator="greaterThan">
      <formula>0.751</formula>
    </cfRule>
    <cfRule type="cellIs" dxfId="8875" priority="11015" operator="between">
      <formula>0.71251</formula>
      <formula>0.75</formula>
    </cfRule>
    <cfRule type="cellIs" dxfId="8874" priority="11016" stopIfTrue="1" operator="between">
      <formula>0</formula>
      <formula>0.375</formula>
    </cfRule>
  </conditionalFormatting>
  <conditionalFormatting sqref="U164:U165">
    <cfRule type="cellIs" dxfId="8873" priority="11007" operator="between">
      <formula>0.376</formula>
      <formula>0.475</formula>
    </cfRule>
    <cfRule type="cellIs" dxfId="8872" priority="11008" operator="between">
      <formula>0.2551</formula>
      <formula>0.3751</formula>
    </cfRule>
    <cfRule type="cellIs" dxfId="8871" priority="11009" operator="greaterThan">
      <formula>0.505</formula>
    </cfRule>
    <cfRule type="cellIs" dxfId="8870" priority="11010" operator="between">
      <formula>0.48</formula>
      <formula>0.5</formula>
    </cfRule>
    <cfRule type="cellIs" dxfId="8869" priority="11011" stopIfTrue="1" operator="between">
      <formula>0</formula>
      <formula>0.255</formula>
    </cfRule>
  </conditionalFormatting>
  <conditionalFormatting sqref="V164">
    <cfRule type="cellIs" dxfId="8868" priority="10989" operator="between">
      <formula>0.376</formula>
      <formula>0.475</formula>
    </cfRule>
    <cfRule type="cellIs" dxfId="8867" priority="10990" operator="between">
      <formula>0.2551</formula>
      <formula>0.3751</formula>
    </cfRule>
    <cfRule type="cellIs" dxfId="8866" priority="10991" operator="greaterThan">
      <formula>0.505</formula>
    </cfRule>
    <cfRule type="cellIs" dxfId="8865" priority="10992" operator="between">
      <formula>0.48</formula>
      <formula>0.5</formula>
    </cfRule>
    <cfRule type="cellIs" dxfId="8864" priority="10993" stopIfTrue="1" operator="between">
      <formula>0</formula>
      <formula>0.255</formula>
    </cfRule>
  </conditionalFormatting>
  <conditionalFormatting sqref="S164">
    <cfRule type="cellIs" dxfId="8863" priority="10984" operator="between">
      <formula>0.76</formula>
      <formula>0.95</formula>
    </cfRule>
    <cfRule type="cellIs" dxfId="8862" priority="10985" operator="between">
      <formula>0.51</formula>
      <formula>0.75</formula>
    </cfRule>
    <cfRule type="cellIs" dxfId="8861" priority="10986" operator="greaterThan">
      <formula>1</formula>
    </cfRule>
    <cfRule type="cellIs" dxfId="8860" priority="10987" operator="between">
      <formula>0.95</formula>
      <formula>1</formula>
    </cfRule>
    <cfRule type="cellIs" dxfId="8859" priority="10988" stopIfTrue="1" operator="between">
      <formula>0</formula>
      <formula>0.5</formula>
    </cfRule>
  </conditionalFormatting>
  <conditionalFormatting sqref="AF39 R39 Y39 AH39:AI39">
    <cfRule type="cellIs" dxfId="8858" priority="10979" operator="between">
      <formula>0.76</formula>
      <formula>0.95</formula>
    </cfRule>
    <cfRule type="cellIs" dxfId="8857" priority="10980" operator="between">
      <formula>0.51</formula>
      <formula>0.75</formula>
    </cfRule>
    <cfRule type="cellIs" dxfId="8856" priority="10981" operator="greaterThan">
      <formula>1</formula>
    </cfRule>
    <cfRule type="cellIs" dxfId="8855" priority="10982" operator="between">
      <formula>0.95</formula>
      <formula>1</formula>
    </cfRule>
    <cfRule type="cellIs" dxfId="8854" priority="10983" stopIfTrue="1" operator="between">
      <formula>0</formula>
      <formula>0.5</formula>
    </cfRule>
  </conditionalFormatting>
  <conditionalFormatting sqref="T39">
    <cfRule type="cellIs" dxfId="8853" priority="10974" operator="between">
      <formula>0.3751</formula>
      <formula>0.475</formula>
    </cfRule>
    <cfRule type="cellIs" dxfId="8852" priority="10975" operator="between">
      <formula>0.2551</formula>
      <formula>0.375</formula>
    </cfRule>
    <cfRule type="cellIs" dxfId="8851" priority="10976" operator="greaterThan">
      <formula>0.505</formula>
    </cfRule>
    <cfRule type="cellIs" dxfId="8850" priority="10977" operator="between">
      <formula>0.48</formula>
      <formula>0.5</formula>
    </cfRule>
    <cfRule type="cellIs" dxfId="8849" priority="10978" stopIfTrue="1" operator="between">
      <formula>0</formula>
      <formula>0.255</formula>
    </cfRule>
  </conditionalFormatting>
  <conditionalFormatting sqref="AA39:AB39">
    <cfRule type="cellIs" dxfId="8848" priority="10969" operator="between">
      <formula>0.56251</formula>
      <formula>0.7125</formula>
    </cfRule>
    <cfRule type="cellIs" dxfId="8847" priority="10970" operator="between">
      <formula>0.3751</formula>
      <formula>0.5625</formula>
    </cfRule>
    <cfRule type="cellIs" dxfId="8846" priority="10971" operator="greaterThan">
      <formula>0.751</formula>
    </cfRule>
    <cfRule type="cellIs" dxfId="8845" priority="10972" operator="between">
      <formula>0.71251</formula>
      <formula>0.75</formula>
    </cfRule>
    <cfRule type="cellIs" dxfId="8844" priority="10973" stopIfTrue="1" operator="between">
      <formula>0</formula>
      <formula>0.375</formula>
    </cfRule>
  </conditionalFormatting>
  <conditionalFormatting sqref="U39">
    <cfRule type="cellIs" dxfId="8843" priority="10959" operator="between">
      <formula>0.376</formula>
      <formula>0.475</formula>
    </cfRule>
    <cfRule type="cellIs" dxfId="8842" priority="10960" operator="between">
      <formula>0.2551</formula>
      <formula>0.3751</formula>
    </cfRule>
    <cfRule type="cellIs" dxfId="8841" priority="10961" operator="greaterThan">
      <formula>0.505</formula>
    </cfRule>
    <cfRule type="cellIs" dxfId="8840" priority="10962" operator="between">
      <formula>0.48</formula>
      <formula>0.5</formula>
    </cfRule>
    <cfRule type="cellIs" dxfId="8839" priority="10963" stopIfTrue="1" operator="between">
      <formula>0</formula>
      <formula>0.255</formula>
    </cfRule>
  </conditionalFormatting>
  <conditionalFormatting sqref="Z39">
    <cfRule type="cellIs" dxfId="8838" priority="10939" operator="between">
      <formula>0.76</formula>
      <formula>0.95</formula>
    </cfRule>
    <cfRule type="cellIs" dxfId="8837" priority="10940" operator="between">
      <formula>0.51</formula>
      <formula>0.75</formula>
    </cfRule>
    <cfRule type="cellIs" dxfId="8836" priority="10941" operator="greaterThan">
      <formula>1</formula>
    </cfRule>
    <cfRule type="cellIs" dxfId="8835" priority="10942" operator="between">
      <formula>0.95</formula>
      <formula>1</formula>
    </cfRule>
    <cfRule type="cellIs" dxfId="8834" priority="10943" stopIfTrue="1" operator="between">
      <formula>0</formula>
      <formula>0.5</formula>
    </cfRule>
  </conditionalFormatting>
  <conditionalFormatting sqref="AC39">
    <cfRule type="cellIs" dxfId="8833" priority="10934" operator="between">
      <formula>0.56251</formula>
      <formula>0.7125</formula>
    </cfRule>
    <cfRule type="cellIs" dxfId="8832" priority="10935" operator="between">
      <formula>0.3751</formula>
      <formula>0.5625</formula>
    </cfRule>
    <cfRule type="cellIs" dxfId="8831" priority="10936" operator="greaterThan">
      <formula>0.751</formula>
    </cfRule>
    <cfRule type="cellIs" dxfId="8830" priority="10937" operator="between">
      <formula>0.71251</formula>
      <formula>0.75</formula>
    </cfRule>
    <cfRule type="cellIs" dxfId="8829" priority="10938" stopIfTrue="1" operator="between">
      <formula>0</formula>
      <formula>0.375</formula>
    </cfRule>
  </conditionalFormatting>
  <conditionalFormatting sqref="S39">
    <cfRule type="cellIs" dxfId="8828" priority="10929" operator="between">
      <formula>0.76</formula>
      <formula>0.95</formula>
    </cfRule>
    <cfRule type="cellIs" dxfId="8827" priority="10930" operator="between">
      <formula>0.51</formula>
      <formula>0.75</formula>
    </cfRule>
    <cfRule type="cellIs" dxfId="8826" priority="10931" operator="greaterThan">
      <formula>1</formula>
    </cfRule>
    <cfRule type="cellIs" dxfId="8825" priority="10932" operator="between">
      <formula>0.95</formula>
      <formula>1</formula>
    </cfRule>
    <cfRule type="cellIs" dxfId="8824" priority="10933" stopIfTrue="1" operator="between">
      <formula>0</formula>
      <formula>0.5</formula>
    </cfRule>
  </conditionalFormatting>
  <conditionalFormatting sqref="V39">
    <cfRule type="cellIs" dxfId="8823" priority="10924" operator="between">
      <formula>0.376</formula>
      <formula>0.475</formula>
    </cfRule>
    <cfRule type="cellIs" dxfId="8822" priority="10925" operator="between">
      <formula>0.2551</formula>
      <formula>0.3751</formula>
    </cfRule>
    <cfRule type="cellIs" dxfId="8821" priority="10926" operator="greaterThan">
      <formula>0.505</formula>
    </cfRule>
    <cfRule type="cellIs" dxfId="8820" priority="10927" operator="between">
      <formula>0.48</formula>
      <formula>0.5</formula>
    </cfRule>
    <cfRule type="cellIs" dxfId="8819" priority="10928" stopIfTrue="1" operator="between">
      <formula>0</formula>
      <formula>0.255</formula>
    </cfRule>
  </conditionalFormatting>
  <conditionalFormatting sqref="AG39">
    <cfRule type="cellIs" dxfId="8818" priority="10919" operator="between">
      <formula>0.76</formula>
      <formula>0.95</formula>
    </cfRule>
    <cfRule type="cellIs" dxfId="8817" priority="10920" operator="between">
      <formula>0.51</formula>
      <formula>0.75</formula>
    </cfRule>
    <cfRule type="cellIs" dxfId="8816" priority="10921" operator="greaterThan">
      <formula>1</formula>
    </cfRule>
    <cfRule type="cellIs" dxfId="8815" priority="10922" operator="between">
      <formula>0.95</formula>
      <formula>1</formula>
    </cfRule>
    <cfRule type="cellIs" dxfId="8814" priority="10923" stopIfTrue="1" operator="between">
      <formula>0</formula>
      <formula>0.5</formula>
    </cfRule>
  </conditionalFormatting>
  <conditionalFormatting sqref="AF41 R41 Y41 AH41:AI41 R46 Y46 AF46 AH46:AI46 R48 Y48 AF48 AH48:AI48 R52 Y52 AF52 AH52:AI52">
    <cfRule type="cellIs" dxfId="8813" priority="10914" operator="between">
      <formula>0.76</formula>
      <formula>0.95</formula>
    </cfRule>
    <cfRule type="cellIs" dxfId="8812" priority="10915" operator="between">
      <formula>0.51</formula>
      <formula>0.75</formula>
    </cfRule>
    <cfRule type="cellIs" dxfId="8811" priority="10916" operator="greaterThan">
      <formula>1</formula>
    </cfRule>
    <cfRule type="cellIs" dxfId="8810" priority="10917" operator="between">
      <formula>0.95</formula>
      <formula>1</formula>
    </cfRule>
    <cfRule type="cellIs" dxfId="8809" priority="10918" stopIfTrue="1" operator="between">
      <formula>0</formula>
      <formula>0.5</formula>
    </cfRule>
  </conditionalFormatting>
  <conditionalFormatting sqref="T41 T46 T48 T52">
    <cfRule type="cellIs" dxfId="8808" priority="10909" operator="between">
      <formula>0.3751</formula>
      <formula>0.475</formula>
    </cfRule>
    <cfRule type="cellIs" dxfId="8807" priority="10910" operator="between">
      <formula>0.2551</formula>
      <formula>0.375</formula>
    </cfRule>
    <cfRule type="cellIs" dxfId="8806" priority="10911" operator="greaterThan">
      <formula>0.505</formula>
    </cfRule>
    <cfRule type="cellIs" dxfId="8805" priority="10912" operator="between">
      <formula>0.48</formula>
      <formula>0.5</formula>
    </cfRule>
    <cfRule type="cellIs" dxfId="8804" priority="10913" stopIfTrue="1" operator="between">
      <formula>0</formula>
      <formula>0.255</formula>
    </cfRule>
  </conditionalFormatting>
  <conditionalFormatting sqref="AA41:AB41 AA46:AB46 AA48:AB48 AA52:AB52">
    <cfRule type="cellIs" dxfId="8803" priority="10904" operator="between">
      <formula>0.56251</formula>
      <formula>0.7125</formula>
    </cfRule>
    <cfRule type="cellIs" dxfId="8802" priority="10905" operator="between">
      <formula>0.3751</formula>
      <formula>0.5625</formula>
    </cfRule>
    <cfRule type="cellIs" dxfId="8801" priority="10906" operator="greaterThan">
      <formula>0.751</formula>
    </cfRule>
    <cfRule type="cellIs" dxfId="8800" priority="10907" operator="between">
      <formula>0.71251</formula>
      <formula>0.75</formula>
    </cfRule>
    <cfRule type="cellIs" dxfId="8799" priority="10908" stopIfTrue="1" operator="between">
      <formula>0</formula>
      <formula>0.375</formula>
    </cfRule>
  </conditionalFormatting>
  <conditionalFormatting sqref="U41 U46 U48 U52">
    <cfRule type="cellIs" dxfId="8798" priority="10894" operator="between">
      <formula>0.376</formula>
      <formula>0.475</formula>
    </cfRule>
    <cfRule type="cellIs" dxfId="8797" priority="10895" operator="between">
      <formula>0.2551</formula>
      <formula>0.3751</formula>
    </cfRule>
    <cfRule type="cellIs" dxfId="8796" priority="10896" operator="greaterThan">
      <formula>0.505</formula>
    </cfRule>
    <cfRule type="cellIs" dxfId="8795" priority="10897" operator="between">
      <formula>0.48</formula>
      <formula>0.5</formula>
    </cfRule>
    <cfRule type="cellIs" dxfId="8794" priority="10898" stopIfTrue="1" operator="between">
      <formula>0</formula>
      <formula>0.255</formula>
    </cfRule>
  </conditionalFormatting>
  <conditionalFormatting sqref="Z41 Z46 Z48 Z52">
    <cfRule type="cellIs" dxfId="8793" priority="10874" operator="between">
      <formula>0.76</formula>
      <formula>0.95</formula>
    </cfRule>
    <cfRule type="cellIs" dxfId="8792" priority="10875" operator="between">
      <formula>0.51</formula>
      <formula>0.75</formula>
    </cfRule>
    <cfRule type="cellIs" dxfId="8791" priority="10876" operator="greaterThan">
      <formula>1</formula>
    </cfRule>
    <cfRule type="cellIs" dxfId="8790" priority="10877" operator="between">
      <formula>0.95</formula>
      <formula>1</formula>
    </cfRule>
    <cfRule type="cellIs" dxfId="8789" priority="10878" stopIfTrue="1" operator="between">
      <formula>0</formula>
      <formula>0.5</formula>
    </cfRule>
  </conditionalFormatting>
  <conditionalFormatting sqref="AC41 AC46 AC48 AC52">
    <cfRule type="cellIs" dxfId="8788" priority="10869" operator="between">
      <formula>0.56251</formula>
      <formula>0.7125</formula>
    </cfRule>
    <cfRule type="cellIs" dxfId="8787" priority="10870" operator="between">
      <formula>0.3751</formula>
      <formula>0.5625</formula>
    </cfRule>
    <cfRule type="cellIs" dxfId="8786" priority="10871" operator="greaterThan">
      <formula>0.751</formula>
    </cfRule>
    <cfRule type="cellIs" dxfId="8785" priority="10872" operator="between">
      <formula>0.71251</formula>
      <formula>0.75</formula>
    </cfRule>
    <cfRule type="cellIs" dxfId="8784" priority="10873" stopIfTrue="1" operator="between">
      <formula>0</formula>
      <formula>0.375</formula>
    </cfRule>
  </conditionalFormatting>
  <conditionalFormatting sqref="AG41 AG46 AG48 AG52">
    <cfRule type="cellIs" dxfId="8783" priority="10854" operator="between">
      <formula>0.76</formula>
      <formula>0.95</formula>
    </cfRule>
    <cfRule type="cellIs" dxfId="8782" priority="10855" operator="between">
      <formula>0.51</formula>
      <formula>0.75</formula>
    </cfRule>
    <cfRule type="cellIs" dxfId="8781" priority="10856" operator="greaterThan">
      <formula>1</formula>
    </cfRule>
    <cfRule type="cellIs" dxfId="8780" priority="10857" operator="between">
      <formula>0.95</formula>
      <formula>1</formula>
    </cfRule>
    <cfRule type="cellIs" dxfId="8779" priority="10858" stopIfTrue="1" operator="between">
      <formula>0</formula>
      <formula>0.5</formula>
    </cfRule>
  </conditionalFormatting>
  <conditionalFormatting sqref="AF40 R40 Y40 AH40:AI40">
    <cfRule type="cellIs" dxfId="8778" priority="10849" operator="between">
      <formula>0.76</formula>
      <formula>0.95</formula>
    </cfRule>
    <cfRule type="cellIs" dxfId="8777" priority="10850" operator="between">
      <formula>0.51</formula>
      <formula>0.75</formula>
    </cfRule>
    <cfRule type="cellIs" dxfId="8776" priority="10851" operator="greaterThan">
      <formula>1</formula>
    </cfRule>
    <cfRule type="cellIs" dxfId="8775" priority="10852" operator="between">
      <formula>0.95</formula>
      <formula>1</formula>
    </cfRule>
    <cfRule type="cellIs" dxfId="8774" priority="10853" stopIfTrue="1" operator="between">
      <formula>0</formula>
      <formula>0.5</formula>
    </cfRule>
  </conditionalFormatting>
  <conditionalFormatting sqref="T40">
    <cfRule type="cellIs" dxfId="8773" priority="10844" operator="between">
      <formula>0.3751</formula>
      <formula>0.475</formula>
    </cfRule>
    <cfRule type="cellIs" dxfId="8772" priority="10845" operator="between">
      <formula>0.2551</formula>
      <formula>0.375</formula>
    </cfRule>
    <cfRule type="cellIs" dxfId="8771" priority="10846" operator="greaterThan">
      <formula>0.505</formula>
    </cfRule>
    <cfRule type="cellIs" dxfId="8770" priority="10847" operator="between">
      <formula>0.48</formula>
      <formula>0.5</formula>
    </cfRule>
    <cfRule type="cellIs" dxfId="8769" priority="10848" stopIfTrue="1" operator="between">
      <formula>0</formula>
      <formula>0.255</formula>
    </cfRule>
  </conditionalFormatting>
  <conditionalFormatting sqref="AA40:AB40">
    <cfRule type="cellIs" dxfId="8768" priority="10839" operator="between">
      <formula>0.56251</formula>
      <formula>0.7125</formula>
    </cfRule>
    <cfRule type="cellIs" dxfId="8767" priority="10840" operator="between">
      <formula>0.3751</formula>
      <formula>0.5625</formula>
    </cfRule>
    <cfRule type="cellIs" dxfId="8766" priority="10841" operator="greaterThan">
      <formula>0.751</formula>
    </cfRule>
    <cfRule type="cellIs" dxfId="8765" priority="10842" operator="between">
      <formula>0.71251</formula>
      <formula>0.75</formula>
    </cfRule>
    <cfRule type="cellIs" dxfId="8764" priority="10843" stopIfTrue="1" operator="between">
      <formula>0</formula>
      <formula>0.375</formula>
    </cfRule>
  </conditionalFormatting>
  <conditionalFormatting sqref="U40">
    <cfRule type="cellIs" dxfId="8763" priority="10829" operator="between">
      <formula>0.376</formula>
      <formula>0.475</formula>
    </cfRule>
    <cfRule type="cellIs" dxfId="8762" priority="10830" operator="between">
      <formula>0.2551</formula>
      <formula>0.3751</formula>
    </cfRule>
    <cfRule type="cellIs" dxfId="8761" priority="10831" operator="greaterThan">
      <formula>0.505</formula>
    </cfRule>
    <cfRule type="cellIs" dxfId="8760" priority="10832" operator="between">
      <formula>0.48</formula>
      <formula>0.5</formula>
    </cfRule>
    <cfRule type="cellIs" dxfId="8759" priority="10833" stopIfTrue="1" operator="between">
      <formula>0</formula>
      <formula>0.255</formula>
    </cfRule>
  </conditionalFormatting>
  <conditionalFormatting sqref="Z40">
    <cfRule type="cellIs" dxfId="8758" priority="10809" operator="between">
      <formula>0.76</formula>
      <formula>0.95</formula>
    </cfRule>
    <cfRule type="cellIs" dxfId="8757" priority="10810" operator="between">
      <formula>0.51</formula>
      <formula>0.75</formula>
    </cfRule>
    <cfRule type="cellIs" dxfId="8756" priority="10811" operator="greaterThan">
      <formula>1</formula>
    </cfRule>
    <cfRule type="cellIs" dxfId="8755" priority="10812" operator="between">
      <formula>0.95</formula>
      <formula>1</formula>
    </cfRule>
    <cfRule type="cellIs" dxfId="8754" priority="10813" stopIfTrue="1" operator="between">
      <formula>0</formula>
      <formula>0.5</formula>
    </cfRule>
  </conditionalFormatting>
  <conditionalFormatting sqref="AC40">
    <cfRule type="cellIs" dxfId="8753" priority="10804" operator="between">
      <formula>0.56251</formula>
      <formula>0.7125</formula>
    </cfRule>
    <cfRule type="cellIs" dxfId="8752" priority="10805" operator="between">
      <formula>0.3751</formula>
      <formula>0.5625</formula>
    </cfRule>
    <cfRule type="cellIs" dxfId="8751" priority="10806" operator="greaterThan">
      <formula>0.751</formula>
    </cfRule>
    <cfRule type="cellIs" dxfId="8750" priority="10807" operator="between">
      <formula>0.71251</formula>
      <formula>0.75</formula>
    </cfRule>
    <cfRule type="cellIs" dxfId="8749" priority="10808" stopIfTrue="1" operator="between">
      <formula>0</formula>
      <formula>0.375</formula>
    </cfRule>
  </conditionalFormatting>
  <conditionalFormatting sqref="AG40">
    <cfRule type="cellIs" dxfId="8748" priority="10789" operator="between">
      <formula>0.76</formula>
      <formula>0.95</formula>
    </cfRule>
    <cfRule type="cellIs" dxfId="8747" priority="10790" operator="between">
      <formula>0.51</formula>
      <formula>0.75</formula>
    </cfRule>
    <cfRule type="cellIs" dxfId="8746" priority="10791" operator="greaterThan">
      <formula>1</formula>
    </cfRule>
    <cfRule type="cellIs" dxfId="8745" priority="10792" operator="between">
      <formula>0.95</formula>
      <formula>1</formula>
    </cfRule>
    <cfRule type="cellIs" dxfId="8744" priority="10793" stopIfTrue="1" operator="between">
      <formula>0</formula>
      <formula>0.5</formula>
    </cfRule>
  </conditionalFormatting>
  <conditionalFormatting sqref="AF54:AF55 R54:R55 Y54:Y55 AH54:AI55 R57 Y57 AF57 AH57:AI57">
    <cfRule type="cellIs" dxfId="8743" priority="10784" operator="between">
      <formula>0.76</formula>
      <formula>0.95</formula>
    </cfRule>
    <cfRule type="cellIs" dxfId="8742" priority="10785" operator="between">
      <formula>0.51</formula>
      <formula>0.75</formula>
    </cfRule>
    <cfRule type="cellIs" dxfId="8741" priority="10786" operator="greaterThan">
      <formula>1</formula>
    </cfRule>
    <cfRule type="cellIs" dxfId="8740" priority="10787" operator="between">
      <formula>0.95</formula>
      <formula>1</formula>
    </cfRule>
    <cfRule type="cellIs" dxfId="8739" priority="10788" stopIfTrue="1" operator="between">
      <formula>0</formula>
      <formula>0.5</formula>
    </cfRule>
  </conditionalFormatting>
  <conditionalFormatting sqref="T54:T55 T57">
    <cfRule type="cellIs" dxfId="8738" priority="10779" operator="between">
      <formula>0.3751</formula>
      <formula>0.475</formula>
    </cfRule>
    <cfRule type="cellIs" dxfId="8737" priority="10780" operator="between">
      <formula>0.2551</formula>
      <formula>0.375</formula>
    </cfRule>
    <cfRule type="cellIs" dxfId="8736" priority="10781" operator="greaterThan">
      <formula>0.505</formula>
    </cfRule>
    <cfRule type="cellIs" dxfId="8735" priority="10782" operator="between">
      <formula>0.48</formula>
      <formula>0.5</formula>
    </cfRule>
    <cfRule type="cellIs" dxfId="8734" priority="10783" stopIfTrue="1" operator="between">
      <formula>0</formula>
      <formula>0.255</formula>
    </cfRule>
  </conditionalFormatting>
  <conditionalFormatting sqref="AA54:AB55 AA57:AB57">
    <cfRule type="cellIs" dxfId="8733" priority="10774" operator="between">
      <formula>0.56251</formula>
      <formula>0.7125</formula>
    </cfRule>
    <cfRule type="cellIs" dxfId="8732" priority="10775" operator="between">
      <formula>0.3751</formula>
      <formula>0.5625</formula>
    </cfRule>
    <cfRule type="cellIs" dxfId="8731" priority="10776" operator="greaterThan">
      <formula>0.751</formula>
    </cfRule>
    <cfRule type="cellIs" dxfId="8730" priority="10777" operator="between">
      <formula>0.71251</formula>
      <formula>0.75</formula>
    </cfRule>
    <cfRule type="cellIs" dxfId="8729" priority="10778" stopIfTrue="1" operator="between">
      <formula>0</formula>
      <formula>0.375</formula>
    </cfRule>
  </conditionalFormatting>
  <conditionalFormatting sqref="U54:U55 U57">
    <cfRule type="cellIs" dxfId="8728" priority="10764" operator="between">
      <formula>0.376</formula>
      <formula>0.475</formula>
    </cfRule>
    <cfRule type="cellIs" dxfId="8727" priority="10765" operator="between">
      <formula>0.2551</formula>
      <formula>0.3751</formula>
    </cfRule>
    <cfRule type="cellIs" dxfId="8726" priority="10766" operator="greaterThan">
      <formula>0.505</formula>
    </cfRule>
    <cfRule type="cellIs" dxfId="8725" priority="10767" operator="between">
      <formula>0.48</formula>
      <formula>0.5</formula>
    </cfRule>
    <cfRule type="cellIs" dxfId="8724" priority="10768" stopIfTrue="1" operator="between">
      <formula>0</formula>
      <formula>0.255</formula>
    </cfRule>
  </conditionalFormatting>
  <conditionalFormatting sqref="Z54:Z55 Z57">
    <cfRule type="cellIs" dxfId="8723" priority="10744" operator="between">
      <formula>0.76</formula>
      <formula>0.95</formula>
    </cfRule>
    <cfRule type="cellIs" dxfId="8722" priority="10745" operator="between">
      <formula>0.51</formula>
      <formula>0.75</formula>
    </cfRule>
    <cfRule type="cellIs" dxfId="8721" priority="10746" operator="greaterThan">
      <formula>1</formula>
    </cfRule>
    <cfRule type="cellIs" dxfId="8720" priority="10747" operator="between">
      <formula>0.95</formula>
      <formula>1</formula>
    </cfRule>
    <cfRule type="cellIs" dxfId="8719" priority="10748" stopIfTrue="1" operator="between">
      <formula>0</formula>
      <formula>0.5</formula>
    </cfRule>
  </conditionalFormatting>
  <conditionalFormatting sqref="AC54:AC55 AC57">
    <cfRule type="cellIs" dxfId="8718" priority="10739" operator="between">
      <formula>0.56251</formula>
      <formula>0.7125</formula>
    </cfRule>
    <cfRule type="cellIs" dxfId="8717" priority="10740" operator="between">
      <formula>0.3751</formula>
      <formula>0.5625</formula>
    </cfRule>
    <cfRule type="cellIs" dxfId="8716" priority="10741" operator="greaterThan">
      <formula>0.751</formula>
    </cfRule>
    <cfRule type="cellIs" dxfId="8715" priority="10742" operator="between">
      <formula>0.71251</formula>
      <formula>0.75</formula>
    </cfRule>
    <cfRule type="cellIs" dxfId="8714" priority="10743" stopIfTrue="1" operator="between">
      <formula>0</formula>
      <formula>0.375</formula>
    </cfRule>
  </conditionalFormatting>
  <conditionalFormatting sqref="AG54:AG55 AG57">
    <cfRule type="cellIs" dxfId="8713" priority="10724" operator="between">
      <formula>0.76</formula>
      <formula>0.95</formula>
    </cfRule>
    <cfRule type="cellIs" dxfId="8712" priority="10725" operator="between">
      <formula>0.51</formula>
      <formula>0.75</formula>
    </cfRule>
    <cfRule type="cellIs" dxfId="8711" priority="10726" operator="greaterThan">
      <formula>1</formula>
    </cfRule>
    <cfRule type="cellIs" dxfId="8710" priority="10727" operator="between">
      <formula>0.95</formula>
      <formula>1</formula>
    </cfRule>
    <cfRule type="cellIs" dxfId="8709" priority="10728" stopIfTrue="1" operator="between">
      <formula>0</formula>
      <formula>0.5</formula>
    </cfRule>
  </conditionalFormatting>
  <conditionalFormatting sqref="S43">
    <cfRule type="cellIs" dxfId="8708" priority="10629" operator="between">
      <formula>0.76</formula>
      <formula>0.95</formula>
    </cfRule>
    <cfRule type="cellIs" dxfId="8707" priority="10630" operator="between">
      <formula>0.51</formula>
      <formula>0.75</formula>
    </cfRule>
    <cfRule type="cellIs" dxfId="8706" priority="10631" operator="greaterThan">
      <formula>1</formula>
    </cfRule>
    <cfRule type="cellIs" dxfId="8705" priority="10632" operator="between">
      <formula>0.95</formula>
      <formula>1</formula>
    </cfRule>
    <cfRule type="cellIs" dxfId="8704" priority="10633" stopIfTrue="1" operator="between">
      <formula>0</formula>
      <formula>0.5</formula>
    </cfRule>
  </conditionalFormatting>
  <conditionalFormatting sqref="V43">
    <cfRule type="cellIs" dxfId="8703" priority="10624" operator="between">
      <formula>0.376</formula>
      <formula>0.475</formula>
    </cfRule>
    <cfRule type="cellIs" dxfId="8702" priority="10625" operator="between">
      <formula>0.2551</formula>
      <formula>0.3751</formula>
    </cfRule>
    <cfRule type="cellIs" dxfId="8701" priority="10626" operator="greaterThan">
      <formula>0.505</formula>
    </cfRule>
    <cfRule type="cellIs" dxfId="8700" priority="10627" operator="between">
      <formula>0.48</formula>
      <formula>0.5</formula>
    </cfRule>
    <cfRule type="cellIs" dxfId="8699" priority="10628" stopIfTrue="1" operator="between">
      <formula>0</formula>
      <formula>0.255</formula>
    </cfRule>
  </conditionalFormatting>
  <conditionalFormatting sqref="S46">
    <cfRule type="cellIs" dxfId="8698" priority="10589" operator="between">
      <formula>0.76</formula>
      <formula>0.95</formula>
    </cfRule>
    <cfRule type="cellIs" dxfId="8697" priority="10590" operator="between">
      <formula>0.51</formula>
      <formula>0.75</formula>
    </cfRule>
    <cfRule type="cellIs" dxfId="8696" priority="10591" operator="greaterThan">
      <formula>1</formula>
    </cfRule>
    <cfRule type="cellIs" dxfId="8695" priority="10592" operator="between">
      <formula>0.95</formula>
      <formula>1</formula>
    </cfRule>
    <cfRule type="cellIs" dxfId="8694" priority="10593" stopIfTrue="1" operator="between">
      <formula>0</formula>
      <formula>0.5</formula>
    </cfRule>
  </conditionalFormatting>
  <conditionalFormatting sqref="V46">
    <cfRule type="cellIs" dxfId="8693" priority="10584" operator="between">
      <formula>0.376</formula>
      <formula>0.475</formula>
    </cfRule>
    <cfRule type="cellIs" dxfId="8692" priority="10585" operator="between">
      <formula>0.2551</formula>
      <formula>0.3751</formula>
    </cfRule>
    <cfRule type="cellIs" dxfId="8691" priority="10586" operator="greaterThan">
      <formula>0.505</formula>
    </cfRule>
    <cfRule type="cellIs" dxfId="8690" priority="10587" operator="between">
      <formula>0.48</formula>
      <formula>0.5</formula>
    </cfRule>
    <cfRule type="cellIs" dxfId="8689" priority="10588" stopIfTrue="1" operator="between">
      <formula>0</formula>
      <formula>0.255</formula>
    </cfRule>
  </conditionalFormatting>
  <conditionalFormatting sqref="S40">
    <cfRule type="cellIs" dxfId="8688" priority="10564" operator="between">
      <formula>0.76</formula>
      <formula>0.95</formula>
    </cfRule>
    <cfRule type="cellIs" dxfId="8687" priority="10565" operator="between">
      <formula>0.51</formula>
      <formula>0.75</formula>
    </cfRule>
    <cfRule type="cellIs" dxfId="8686" priority="10566" operator="greaterThan">
      <formula>1</formula>
    </cfRule>
    <cfRule type="cellIs" dxfId="8685" priority="10567" operator="between">
      <formula>0.95</formula>
      <formula>1</formula>
    </cfRule>
    <cfRule type="cellIs" dxfId="8684" priority="10568" stopIfTrue="1" operator="between">
      <formula>0</formula>
      <formula>0.5</formula>
    </cfRule>
  </conditionalFormatting>
  <conditionalFormatting sqref="S41">
    <cfRule type="cellIs" dxfId="8683" priority="10559" operator="between">
      <formula>0.76</formula>
      <formula>0.95</formula>
    </cfRule>
    <cfRule type="cellIs" dxfId="8682" priority="10560" operator="between">
      <formula>0.51</formula>
      <formula>0.75</formula>
    </cfRule>
    <cfRule type="cellIs" dxfId="8681" priority="10561" operator="greaterThan">
      <formula>1</formula>
    </cfRule>
    <cfRule type="cellIs" dxfId="8680" priority="10562" operator="between">
      <formula>0.95</formula>
      <formula>1</formula>
    </cfRule>
    <cfRule type="cellIs" dxfId="8679" priority="10563" stopIfTrue="1" operator="between">
      <formula>0</formula>
      <formula>0.5</formula>
    </cfRule>
  </conditionalFormatting>
  <conditionalFormatting sqref="S42">
    <cfRule type="cellIs" dxfId="8678" priority="10549" operator="between">
      <formula>0.76</formula>
      <formula>0.95</formula>
    </cfRule>
    <cfRule type="cellIs" dxfId="8677" priority="10550" operator="between">
      <formula>0.51</formula>
      <formula>0.75</formula>
    </cfRule>
    <cfRule type="cellIs" dxfId="8676" priority="10551" operator="greaterThan">
      <formula>1</formula>
    </cfRule>
    <cfRule type="cellIs" dxfId="8675" priority="10552" operator="between">
      <formula>0.95</formula>
      <formula>1</formula>
    </cfRule>
    <cfRule type="cellIs" dxfId="8674" priority="10553" stopIfTrue="1" operator="between">
      <formula>0</formula>
      <formula>0.5</formula>
    </cfRule>
  </conditionalFormatting>
  <conditionalFormatting sqref="S48">
    <cfRule type="cellIs" dxfId="8673" priority="10544" operator="between">
      <formula>0.76</formula>
      <formula>0.95</formula>
    </cfRule>
    <cfRule type="cellIs" dxfId="8672" priority="10545" operator="between">
      <formula>0.51</formula>
      <formula>0.75</formula>
    </cfRule>
    <cfRule type="cellIs" dxfId="8671" priority="10546" operator="greaterThan">
      <formula>1</formula>
    </cfRule>
    <cfRule type="cellIs" dxfId="8670" priority="10547" operator="between">
      <formula>0.95</formula>
      <formula>1</formula>
    </cfRule>
    <cfRule type="cellIs" dxfId="8669" priority="10548" stopIfTrue="1" operator="between">
      <formula>0</formula>
      <formula>0.5</formula>
    </cfRule>
  </conditionalFormatting>
  <conditionalFormatting sqref="V40">
    <cfRule type="cellIs" dxfId="8668" priority="10539" operator="between">
      <formula>0.376</formula>
      <formula>0.475</formula>
    </cfRule>
    <cfRule type="cellIs" dxfId="8667" priority="10540" operator="between">
      <formula>0.2551</formula>
      <formula>0.3751</formula>
    </cfRule>
    <cfRule type="cellIs" dxfId="8666" priority="10541" operator="greaterThan">
      <formula>0.505</formula>
    </cfRule>
    <cfRule type="cellIs" dxfId="8665" priority="10542" operator="between">
      <formula>0.48</formula>
      <formula>0.5</formula>
    </cfRule>
    <cfRule type="cellIs" dxfId="8664" priority="10543" stopIfTrue="1" operator="between">
      <formula>0</formula>
      <formula>0.255</formula>
    </cfRule>
  </conditionalFormatting>
  <conditionalFormatting sqref="V41">
    <cfRule type="cellIs" dxfId="8663" priority="10534" operator="between">
      <formula>0.376</formula>
      <formula>0.475</formula>
    </cfRule>
    <cfRule type="cellIs" dxfId="8662" priority="10535" operator="between">
      <formula>0.2551</formula>
      <formula>0.3751</formula>
    </cfRule>
    <cfRule type="cellIs" dxfId="8661" priority="10536" operator="greaterThan">
      <formula>0.505</formula>
    </cfRule>
    <cfRule type="cellIs" dxfId="8660" priority="10537" operator="between">
      <formula>0.48</formula>
      <formula>0.5</formula>
    </cfRule>
    <cfRule type="cellIs" dxfId="8659" priority="10538" stopIfTrue="1" operator="between">
      <formula>0</formula>
      <formula>0.255</formula>
    </cfRule>
  </conditionalFormatting>
  <conditionalFormatting sqref="V42">
    <cfRule type="cellIs" dxfId="8658" priority="10524" operator="between">
      <formula>0.376</formula>
      <formula>0.475</formula>
    </cfRule>
    <cfRule type="cellIs" dxfId="8657" priority="10525" operator="between">
      <formula>0.2551</formula>
      <formula>0.3751</formula>
    </cfRule>
    <cfRule type="cellIs" dxfId="8656" priority="10526" operator="greaterThan">
      <formula>0.505</formula>
    </cfRule>
    <cfRule type="cellIs" dxfId="8655" priority="10527" operator="between">
      <formula>0.48</formula>
      <formula>0.5</formula>
    </cfRule>
    <cfRule type="cellIs" dxfId="8654" priority="10528" stopIfTrue="1" operator="between">
      <formula>0</formula>
      <formula>0.255</formula>
    </cfRule>
  </conditionalFormatting>
  <conditionalFormatting sqref="V48">
    <cfRule type="cellIs" dxfId="8653" priority="10519" operator="between">
      <formula>0.376</formula>
      <formula>0.475</formula>
    </cfRule>
    <cfRule type="cellIs" dxfId="8652" priority="10520" operator="between">
      <formula>0.2551</formula>
      <formula>0.3751</formula>
    </cfRule>
    <cfRule type="cellIs" dxfId="8651" priority="10521" operator="greaterThan">
      <formula>0.505</formula>
    </cfRule>
    <cfRule type="cellIs" dxfId="8650" priority="10522" operator="between">
      <formula>0.48</formula>
      <formula>0.5</formula>
    </cfRule>
    <cfRule type="cellIs" dxfId="8649" priority="10523" stopIfTrue="1" operator="between">
      <formula>0</formula>
      <formula>0.255</formula>
    </cfRule>
  </conditionalFormatting>
  <conditionalFormatting sqref="S52">
    <cfRule type="cellIs" dxfId="8648" priority="10504" operator="between">
      <formula>0.76</formula>
      <formula>0.95</formula>
    </cfRule>
    <cfRule type="cellIs" dxfId="8647" priority="10505" operator="between">
      <formula>0.51</formula>
      <formula>0.75</formula>
    </cfRule>
    <cfRule type="cellIs" dxfId="8646" priority="10506" operator="greaterThan">
      <formula>1</formula>
    </cfRule>
    <cfRule type="cellIs" dxfId="8645" priority="10507" operator="between">
      <formula>0.95</formula>
      <formula>1</formula>
    </cfRule>
    <cfRule type="cellIs" dxfId="8644" priority="10508" stopIfTrue="1" operator="between">
      <formula>0</formula>
      <formula>0.5</formula>
    </cfRule>
  </conditionalFormatting>
  <conditionalFormatting sqref="V52">
    <cfRule type="cellIs" dxfId="8643" priority="10499" operator="between">
      <formula>0.376</formula>
      <formula>0.475</formula>
    </cfRule>
    <cfRule type="cellIs" dxfId="8642" priority="10500" operator="between">
      <formula>0.2551</formula>
      <formula>0.3751</formula>
    </cfRule>
    <cfRule type="cellIs" dxfId="8641" priority="10501" operator="greaterThan">
      <formula>0.505</formula>
    </cfRule>
    <cfRule type="cellIs" dxfId="8640" priority="10502" operator="between">
      <formula>0.48</formula>
      <formula>0.5</formula>
    </cfRule>
    <cfRule type="cellIs" dxfId="8639" priority="10503" stopIfTrue="1" operator="between">
      <formula>0</formula>
      <formula>0.255</formula>
    </cfRule>
  </conditionalFormatting>
  <conditionalFormatting sqref="S55">
    <cfRule type="cellIs" dxfId="8638" priority="10484" operator="between">
      <formula>0.76</formula>
      <formula>0.95</formula>
    </cfRule>
    <cfRule type="cellIs" dxfId="8637" priority="10485" operator="between">
      <formula>0.51</formula>
      <formula>0.75</formula>
    </cfRule>
    <cfRule type="cellIs" dxfId="8636" priority="10486" operator="greaterThan">
      <formula>1</formula>
    </cfRule>
    <cfRule type="cellIs" dxfId="8635" priority="10487" operator="between">
      <formula>0.95</formula>
      <formula>1</formula>
    </cfRule>
    <cfRule type="cellIs" dxfId="8634" priority="10488" stopIfTrue="1" operator="between">
      <formula>0</formula>
      <formula>0.5</formula>
    </cfRule>
  </conditionalFormatting>
  <conditionalFormatting sqref="S54">
    <cfRule type="cellIs" dxfId="8633" priority="10479" operator="between">
      <formula>0.76</formula>
      <formula>0.95</formula>
    </cfRule>
    <cfRule type="cellIs" dxfId="8632" priority="10480" operator="between">
      <formula>0.51</formula>
      <formula>0.75</formula>
    </cfRule>
    <cfRule type="cellIs" dxfId="8631" priority="10481" operator="greaterThan">
      <formula>1</formula>
    </cfRule>
    <cfRule type="cellIs" dxfId="8630" priority="10482" operator="between">
      <formula>0.95</formula>
      <formula>1</formula>
    </cfRule>
    <cfRule type="cellIs" dxfId="8629" priority="10483" stopIfTrue="1" operator="between">
      <formula>0</formula>
      <formula>0.5</formula>
    </cfRule>
  </conditionalFormatting>
  <conditionalFormatting sqref="V54">
    <cfRule type="cellIs" dxfId="8628" priority="10474" operator="between">
      <formula>0.376</formula>
      <formula>0.475</formula>
    </cfRule>
    <cfRule type="cellIs" dxfId="8627" priority="10475" operator="between">
      <formula>0.2551</formula>
      <formula>0.3751</formula>
    </cfRule>
    <cfRule type="cellIs" dxfId="8626" priority="10476" operator="greaterThan">
      <formula>0.505</formula>
    </cfRule>
    <cfRule type="cellIs" dxfId="8625" priority="10477" operator="between">
      <formula>0.48</formula>
      <formula>0.5</formula>
    </cfRule>
    <cfRule type="cellIs" dxfId="8624" priority="10478" stopIfTrue="1" operator="between">
      <formula>0</formula>
      <formula>0.255</formula>
    </cfRule>
  </conditionalFormatting>
  <conditionalFormatting sqref="V55">
    <cfRule type="cellIs" dxfId="8623" priority="10469" operator="between">
      <formula>0.376</formula>
      <formula>0.475</formula>
    </cfRule>
    <cfRule type="cellIs" dxfId="8622" priority="10470" operator="between">
      <formula>0.2551</formula>
      <formula>0.3751</formula>
    </cfRule>
    <cfRule type="cellIs" dxfId="8621" priority="10471" operator="greaterThan">
      <formula>0.505</formula>
    </cfRule>
    <cfRule type="cellIs" dxfId="8620" priority="10472" operator="between">
      <formula>0.48</formula>
      <formula>0.5</formula>
    </cfRule>
    <cfRule type="cellIs" dxfId="8619" priority="10473" stopIfTrue="1" operator="between">
      <formula>0</formula>
      <formula>0.255</formula>
    </cfRule>
  </conditionalFormatting>
  <conditionalFormatting sqref="S57">
    <cfRule type="cellIs" dxfId="8618" priority="10444" operator="between">
      <formula>0.76</formula>
      <formula>0.95</formula>
    </cfRule>
    <cfRule type="cellIs" dxfId="8617" priority="10445" operator="between">
      <formula>0.51</formula>
      <formula>0.75</formula>
    </cfRule>
    <cfRule type="cellIs" dxfId="8616" priority="10446" operator="greaterThan">
      <formula>1</formula>
    </cfRule>
    <cfRule type="cellIs" dxfId="8615" priority="10447" operator="between">
      <formula>0.95</formula>
      <formula>1</formula>
    </cfRule>
    <cfRule type="cellIs" dxfId="8614" priority="10448" stopIfTrue="1" operator="between">
      <formula>0</formula>
      <formula>0.5</formula>
    </cfRule>
  </conditionalFormatting>
  <conditionalFormatting sqref="V57">
    <cfRule type="cellIs" dxfId="8613" priority="10439" operator="between">
      <formula>0.376</formula>
      <formula>0.475</formula>
    </cfRule>
    <cfRule type="cellIs" dxfId="8612" priority="10440" operator="between">
      <formula>0.2551</formula>
      <formula>0.3751</formula>
    </cfRule>
    <cfRule type="cellIs" dxfId="8611" priority="10441" operator="greaterThan">
      <formula>0.505</formula>
    </cfRule>
    <cfRule type="cellIs" dxfId="8610" priority="10442" operator="between">
      <formula>0.48</formula>
      <formula>0.5</formula>
    </cfRule>
    <cfRule type="cellIs" dxfId="8609" priority="10443" stopIfTrue="1" operator="between">
      <formula>0</formula>
      <formula>0.255</formula>
    </cfRule>
  </conditionalFormatting>
  <conditionalFormatting sqref="R225:R226 Y225:Z226 AF225:AI226">
    <cfRule type="cellIs" dxfId="8608" priority="10434" operator="between">
      <formula>0.76</formula>
      <formula>0.95</formula>
    </cfRule>
    <cfRule type="cellIs" dxfId="8607" priority="10435" operator="between">
      <formula>0.51</formula>
      <formula>0.75</formula>
    </cfRule>
    <cfRule type="cellIs" dxfId="8606" priority="10436" operator="greaterThan">
      <formula>1</formula>
    </cfRule>
    <cfRule type="cellIs" dxfId="8605" priority="10437" operator="between">
      <formula>0.95</formula>
      <formula>1</formula>
    </cfRule>
    <cfRule type="cellIs" dxfId="8604" priority="10438" stopIfTrue="1" operator="between">
      <formula>0</formula>
      <formula>0.5</formula>
    </cfRule>
  </conditionalFormatting>
  <conditionalFormatting sqref="T225:T226">
    <cfRule type="cellIs" dxfId="8603" priority="10429" operator="between">
      <formula>0.3751</formula>
      <formula>0.475</formula>
    </cfRule>
    <cfRule type="cellIs" dxfId="8602" priority="10430" operator="between">
      <formula>0.2551</formula>
      <formula>0.375</formula>
    </cfRule>
    <cfRule type="cellIs" dxfId="8601" priority="10431" operator="greaterThan">
      <formula>0.505</formula>
    </cfRule>
    <cfRule type="cellIs" dxfId="8600" priority="10432" operator="between">
      <formula>0.48</formula>
      <formula>0.5</formula>
    </cfRule>
    <cfRule type="cellIs" dxfId="8599" priority="10433" stopIfTrue="1" operator="between">
      <formula>0</formula>
      <formula>0.255</formula>
    </cfRule>
  </conditionalFormatting>
  <conditionalFormatting sqref="AA225:AC226">
    <cfRule type="cellIs" dxfId="8598" priority="10424" operator="between">
      <formula>0.56251</formula>
      <formula>0.7125</formula>
    </cfRule>
    <cfRule type="cellIs" dxfId="8597" priority="10425" operator="between">
      <formula>0.3751</formula>
      <formula>0.5625</formula>
    </cfRule>
    <cfRule type="cellIs" dxfId="8596" priority="10426" operator="greaterThan">
      <formula>0.751</formula>
    </cfRule>
    <cfRule type="cellIs" dxfId="8595" priority="10427" operator="between">
      <formula>0.71251</formula>
      <formula>0.75</formula>
    </cfRule>
    <cfRule type="cellIs" dxfId="8594" priority="10428" stopIfTrue="1" operator="between">
      <formula>0</formula>
      <formula>0.375</formula>
    </cfRule>
  </conditionalFormatting>
  <conditionalFormatting sqref="U225:U226">
    <cfRule type="cellIs" dxfId="8593" priority="10414" operator="between">
      <formula>0.376</formula>
      <formula>0.475</formula>
    </cfRule>
    <cfRule type="cellIs" dxfId="8592" priority="10415" operator="between">
      <formula>0.2551</formula>
      <formula>0.3751</formula>
    </cfRule>
    <cfRule type="cellIs" dxfId="8591" priority="10416" operator="greaterThan">
      <formula>0.505</formula>
    </cfRule>
    <cfRule type="cellIs" dxfId="8590" priority="10417" operator="between">
      <formula>0.48</formula>
      <formula>0.5</formula>
    </cfRule>
    <cfRule type="cellIs" dxfId="8589" priority="10418" stopIfTrue="1" operator="between">
      <formula>0</formula>
      <formula>0.255</formula>
    </cfRule>
  </conditionalFormatting>
  <conditionalFormatting sqref="S225:S226">
    <cfRule type="cellIs" dxfId="8588" priority="10386" operator="between">
      <formula>0.76</formula>
      <formula>0.95</formula>
    </cfRule>
    <cfRule type="cellIs" dxfId="8587" priority="10387" operator="between">
      <formula>0.51</formula>
      <formula>0.75</formula>
    </cfRule>
    <cfRule type="cellIs" dxfId="8586" priority="10388" operator="greaterThan">
      <formula>1</formula>
    </cfRule>
    <cfRule type="cellIs" dxfId="8585" priority="10389" operator="between">
      <formula>0.95</formula>
      <formula>1</formula>
    </cfRule>
    <cfRule type="cellIs" dxfId="8584" priority="10390" stopIfTrue="1" operator="between">
      <formula>0</formula>
      <formula>0.5</formula>
    </cfRule>
  </conditionalFormatting>
  <conditionalFormatting sqref="V225:V226">
    <cfRule type="cellIs" dxfId="8583" priority="10381" operator="between">
      <formula>0.376</formula>
      <formula>0.475</formula>
    </cfRule>
    <cfRule type="cellIs" dxfId="8582" priority="10382" operator="between">
      <formula>0.2551</formula>
      <formula>0.3751</formula>
    </cfRule>
    <cfRule type="cellIs" dxfId="8581" priority="10383" operator="greaterThan">
      <formula>0.505</formula>
    </cfRule>
    <cfRule type="cellIs" dxfId="8580" priority="10384" operator="between">
      <formula>0.48</formula>
      <formula>0.5</formula>
    </cfRule>
    <cfRule type="cellIs" dxfId="8579" priority="10385" stopIfTrue="1" operator="between">
      <formula>0</formula>
      <formula>0.255</formula>
    </cfRule>
  </conditionalFormatting>
  <conditionalFormatting sqref="R227 Y227:Z227 AF227:AI227">
    <cfRule type="cellIs" dxfId="8578" priority="10376" operator="between">
      <formula>0.76</formula>
      <formula>0.95</formula>
    </cfRule>
    <cfRule type="cellIs" dxfId="8577" priority="10377" operator="between">
      <formula>0.51</formula>
      <formula>0.75</formula>
    </cfRule>
    <cfRule type="cellIs" dxfId="8576" priority="10378" operator="greaterThan">
      <formula>1</formula>
    </cfRule>
    <cfRule type="cellIs" dxfId="8575" priority="10379" operator="between">
      <formula>0.95</formula>
      <formula>1</formula>
    </cfRule>
    <cfRule type="cellIs" dxfId="8574" priority="10380" stopIfTrue="1" operator="between">
      <formula>0</formula>
      <formula>0.5</formula>
    </cfRule>
  </conditionalFormatting>
  <conditionalFormatting sqref="T227">
    <cfRule type="cellIs" dxfId="8573" priority="10371" operator="between">
      <formula>0.3751</formula>
      <formula>0.475</formula>
    </cfRule>
    <cfRule type="cellIs" dxfId="8572" priority="10372" operator="between">
      <formula>0.2551</formula>
      <formula>0.375</formula>
    </cfRule>
    <cfRule type="cellIs" dxfId="8571" priority="10373" operator="greaterThan">
      <formula>0.505</formula>
    </cfRule>
    <cfRule type="cellIs" dxfId="8570" priority="10374" operator="between">
      <formula>0.48</formula>
      <formula>0.5</formula>
    </cfRule>
    <cfRule type="cellIs" dxfId="8569" priority="10375" stopIfTrue="1" operator="between">
      <formula>0</formula>
      <formula>0.255</formula>
    </cfRule>
  </conditionalFormatting>
  <conditionalFormatting sqref="AA227:AC227">
    <cfRule type="cellIs" dxfId="8568" priority="10366" operator="between">
      <formula>0.56251</formula>
      <formula>0.7125</formula>
    </cfRule>
    <cfRule type="cellIs" dxfId="8567" priority="10367" operator="between">
      <formula>0.3751</formula>
      <formula>0.5625</formula>
    </cfRule>
    <cfRule type="cellIs" dxfId="8566" priority="10368" operator="greaterThan">
      <formula>0.751</formula>
    </cfRule>
    <cfRule type="cellIs" dxfId="8565" priority="10369" operator="between">
      <formula>0.71251</formula>
      <formula>0.75</formula>
    </cfRule>
    <cfRule type="cellIs" dxfId="8564" priority="10370" stopIfTrue="1" operator="between">
      <formula>0</formula>
      <formula>0.375</formula>
    </cfRule>
  </conditionalFormatting>
  <conditionalFormatting sqref="U227">
    <cfRule type="cellIs" dxfId="8563" priority="10356" operator="between">
      <formula>0.376</formula>
      <formula>0.475</formula>
    </cfRule>
    <cfRule type="cellIs" dxfId="8562" priority="10357" operator="between">
      <formula>0.2551</formula>
      <formula>0.3751</formula>
    </cfRule>
    <cfRule type="cellIs" dxfId="8561" priority="10358" operator="greaterThan">
      <formula>0.505</formula>
    </cfRule>
    <cfRule type="cellIs" dxfId="8560" priority="10359" operator="between">
      <formula>0.48</formula>
      <formula>0.5</formula>
    </cfRule>
    <cfRule type="cellIs" dxfId="8559" priority="10360" stopIfTrue="1" operator="between">
      <formula>0</formula>
      <formula>0.255</formula>
    </cfRule>
  </conditionalFormatting>
  <conditionalFormatting sqref="S227">
    <cfRule type="cellIs" dxfId="8558" priority="10308" operator="between">
      <formula>0.76</formula>
      <formula>0.95</formula>
    </cfRule>
    <cfRule type="cellIs" dxfId="8557" priority="10309" operator="between">
      <formula>0.51</formula>
      <formula>0.75</formula>
    </cfRule>
    <cfRule type="cellIs" dxfId="8556" priority="10310" operator="greaterThan">
      <formula>1</formula>
    </cfRule>
    <cfRule type="cellIs" dxfId="8555" priority="10311" operator="between">
      <formula>0.95</formula>
      <formula>1</formula>
    </cfRule>
    <cfRule type="cellIs" dxfId="8554" priority="10312" stopIfTrue="1" operator="between">
      <formula>0</formula>
      <formula>0.5</formula>
    </cfRule>
  </conditionalFormatting>
  <conditionalFormatting sqref="V227">
    <cfRule type="cellIs" dxfId="8553" priority="10303" operator="between">
      <formula>0.376</formula>
      <formula>0.475</formula>
    </cfRule>
    <cfRule type="cellIs" dxfId="8552" priority="10304" operator="between">
      <formula>0.2551</formula>
      <formula>0.3751</formula>
    </cfRule>
    <cfRule type="cellIs" dxfId="8551" priority="10305" operator="greaterThan">
      <formula>0.505</formula>
    </cfRule>
    <cfRule type="cellIs" dxfId="8550" priority="10306" operator="between">
      <formula>0.48</formula>
      <formula>0.5</formula>
    </cfRule>
    <cfRule type="cellIs" dxfId="8549" priority="10307" stopIfTrue="1" operator="between">
      <formula>0</formula>
      <formula>0.255</formula>
    </cfRule>
  </conditionalFormatting>
  <conditionalFormatting sqref="AF228:AI228">
    <cfRule type="cellIs" dxfId="8548" priority="10298" operator="between">
      <formula>0.76</formula>
      <formula>0.95</formula>
    </cfRule>
    <cfRule type="cellIs" dxfId="8547" priority="10299" operator="between">
      <formula>0.51</formula>
      <formula>0.75</formula>
    </cfRule>
    <cfRule type="cellIs" dxfId="8546" priority="10300" operator="greaterThan">
      <formula>1</formula>
    </cfRule>
    <cfRule type="cellIs" dxfId="8545" priority="10301" operator="between">
      <formula>0.95</formula>
      <formula>1</formula>
    </cfRule>
    <cfRule type="cellIs" dxfId="8544" priority="10302" stopIfTrue="1" operator="between">
      <formula>0</formula>
      <formula>0.5</formula>
    </cfRule>
  </conditionalFormatting>
  <conditionalFormatting sqref="AG229:AG230">
    <cfRule type="cellIs" dxfId="8543" priority="10240" operator="between">
      <formula>0.76</formula>
      <formula>0.95</formula>
    </cfRule>
    <cfRule type="cellIs" dxfId="8542" priority="10241" operator="between">
      <formula>0.51</formula>
      <formula>0.75</formula>
    </cfRule>
    <cfRule type="cellIs" dxfId="8541" priority="10242" operator="greaterThan">
      <formula>1</formula>
    </cfRule>
    <cfRule type="cellIs" dxfId="8540" priority="10243" operator="between">
      <formula>0.95</formula>
      <formula>1</formula>
    </cfRule>
    <cfRule type="cellIs" dxfId="8539" priority="10244" stopIfTrue="1" operator="between">
      <formula>0</formula>
      <formula>0.5</formula>
    </cfRule>
  </conditionalFormatting>
  <conditionalFormatting sqref="S165">
    <cfRule type="cellIs" dxfId="8538" priority="10126" operator="between">
      <formula>0.76</formula>
      <formula>0.95</formula>
    </cfRule>
    <cfRule type="cellIs" dxfId="8537" priority="10127" operator="between">
      <formula>0.51</formula>
      <formula>0.75</formula>
    </cfRule>
    <cfRule type="cellIs" dxfId="8536" priority="10128" operator="greaterThan">
      <formula>1</formula>
    </cfRule>
    <cfRule type="cellIs" dxfId="8535" priority="10129" operator="between">
      <formula>0.95</formula>
      <formula>1</formula>
    </cfRule>
    <cfRule type="cellIs" dxfId="8534" priority="10130" stopIfTrue="1" operator="between">
      <formula>0</formula>
      <formula>0.5</formula>
    </cfRule>
  </conditionalFormatting>
  <conditionalFormatting sqref="V165">
    <cfRule type="cellIs" dxfId="8533" priority="10121" operator="between">
      <formula>0.376</formula>
      <formula>0.475</formula>
    </cfRule>
    <cfRule type="cellIs" dxfId="8532" priority="10122" operator="between">
      <formula>0.2551</formula>
      <formula>0.3751</formula>
    </cfRule>
    <cfRule type="cellIs" dxfId="8531" priority="10123" operator="greaterThan">
      <formula>0.505</formula>
    </cfRule>
    <cfRule type="cellIs" dxfId="8530" priority="10124" operator="between">
      <formula>0.48</formula>
      <formula>0.5</formula>
    </cfRule>
    <cfRule type="cellIs" dxfId="8529" priority="10125" stopIfTrue="1" operator="between">
      <formula>0</formula>
      <formula>0.255</formula>
    </cfRule>
  </conditionalFormatting>
  <conditionalFormatting sqref="AG165">
    <cfRule type="cellIs" dxfId="8528" priority="10116" operator="between">
      <formula>0.76</formula>
      <formula>0.95</formula>
    </cfRule>
    <cfRule type="cellIs" dxfId="8527" priority="10117" operator="between">
      <formula>0.51</formula>
      <formula>0.75</formula>
    </cfRule>
    <cfRule type="cellIs" dxfId="8526" priority="10118" operator="greaterThan">
      <formula>1</formula>
    </cfRule>
    <cfRule type="cellIs" dxfId="8525" priority="10119" operator="between">
      <formula>0.95</formula>
      <formula>1</formula>
    </cfRule>
    <cfRule type="cellIs" dxfId="8524" priority="10120" stopIfTrue="1" operator="between">
      <formula>0</formula>
      <formula>0.5</formula>
    </cfRule>
  </conditionalFormatting>
  <conditionalFormatting sqref="AG153">
    <cfRule type="cellIs" dxfId="8523" priority="10111" operator="between">
      <formula>0.76</formula>
      <formula>0.95</formula>
    </cfRule>
    <cfRule type="cellIs" dxfId="8522" priority="10112" operator="between">
      <formula>0.51</formula>
      <formula>0.75</formula>
    </cfRule>
    <cfRule type="cellIs" dxfId="8521" priority="10113" operator="greaterThan">
      <formula>1</formula>
    </cfRule>
    <cfRule type="cellIs" dxfId="8520" priority="10114" operator="between">
      <formula>0.95</formula>
      <formula>1</formula>
    </cfRule>
    <cfRule type="cellIs" dxfId="8519" priority="10115" stopIfTrue="1" operator="between">
      <formula>0</formula>
      <formula>0.5</formula>
    </cfRule>
  </conditionalFormatting>
  <conditionalFormatting sqref="AG154">
    <cfRule type="cellIs" dxfId="8518" priority="10106" operator="between">
      <formula>0.76</formula>
      <formula>0.95</formula>
    </cfRule>
    <cfRule type="cellIs" dxfId="8517" priority="10107" operator="between">
      <formula>0.51</formula>
      <formula>0.75</formula>
    </cfRule>
    <cfRule type="cellIs" dxfId="8516" priority="10108" operator="greaterThan">
      <formula>1</formula>
    </cfRule>
    <cfRule type="cellIs" dxfId="8515" priority="10109" operator="between">
      <formula>0.95</formula>
      <formula>1</formula>
    </cfRule>
    <cfRule type="cellIs" dxfId="8514" priority="10110" stopIfTrue="1" operator="between">
      <formula>0</formula>
      <formula>0.5</formula>
    </cfRule>
  </conditionalFormatting>
  <conditionalFormatting sqref="AG155:AG158">
    <cfRule type="cellIs" dxfId="8513" priority="10086" operator="between">
      <formula>0.76</formula>
      <formula>0.95</formula>
    </cfRule>
    <cfRule type="cellIs" dxfId="8512" priority="10087" operator="between">
      <formula>0.51</formula>
      <formula>0.75</formula>
    </cfRule>
    <cfRule type="cellIs" dxfId="8511" priority="10088" operator="greaterThan">
      <formula>1</formula>
    </cfRule>
    <cfRule type="cellIs" dxfId="8510" priority="10089" operator="between">
      <formula>0.95</formula>
      <formula>1</formula>
    </cfRule>
    <cfRule type="cellIs" dxfId="8509" priority="10090" stopIfTrue="1" operator="between">
      <formula>0</formula>
      <formula>0.5</formula>
    </cfRule>
  </conditionalFormatting>
  <conditionalFormatting sqref="R237:S241 Y237:Z241 AF237:AI241">
    <cfRule type="cellIs" dxfId="8508" priority="10028" operator="between">
      <formula>0.76</formula>
      <formula>0.95</formula>
    </cfRule>
    <cfRule type="cellIs" dxfId="8507" priority="10029" operator="between">
      <formula>0.51</formula>
      <formula>0.75</formula>
    </cfRule>
    <cfRule type="cellIs" dxfId="8506" priority="10030" operator="greaterThan">
      <formula>1</formula>
    </cfRule>
    <cfRule type="cellIs" dxfId="8505" priority="10031" operator="between">
      <formula>0.95</formula>
      <formula>1</formula>
    </cfRule>
    <cfRule type="cellIs" dxfId="8504" priority="10032" stopIfTrue="1" operator="between">
      <formula>0</formula>
      <formula>0.5</formula>
    </cfRule>
  </conditionalFormatting>
  <conditionalFormatting sqref="T237:T241">
    <cfRule type="cellIs" dxfId="8503" priority="10023" operator="between">
      <formula>0.3751</formula>
      <formula>0.475</formula>
    </cfRule>
    <cfRule type="cellIs" dxfId="8502" priority="10024" operator="between">
      <formula>0.2551</formula>
      <formula>0.375</formula>
    </cfRule>
    <cfRule type="cellIs" dxfId="8501" priority="10025" operator="greaterThan">
      <formula>0.505</formula>
    </cfRule>
    <cfRule type="cellIs" dxfId="8500" priority="10026" operator="between">
      <formula>0.48</formula>
      <formula>0.5</formula>
    </cfRule>
    <cfRule type="cellIs" dxfId="8499" priority="10027" stopIfTrue="1" operator="between">
      <formula>0</formula>
      <formula>0.255</formula>
    </cfRule>
  </conditionalFormatting>
  <conditionalFormatting sqref="AA237:AC241">
    <cfRule type="cellIs" dxfId="8498" priority="10018" operator="between">
      <formula>0.56251</formula>
      <formula>0.7125</formula>
    </cfRule>
    <cfRule type="cellIs" dxfId="8497" priority="10019" operator="between">
      <formula>0.3751</formula>
      <formula>0.5625</formula>
    </cfRule>
    <cfRule type="cellIs" dxfId="8496" priority="10020" operator="greaterThan">
      <formula>0.751</formula>
    </cfRule>
    <cfRule type="cellIs" dxfId="8495" priority="10021" operator="between">
      <formula>0.71251</formula>
      <formula>0.75</formula>
    </cfRule>
    <cfRule type="cellIs" dxfId="8494" priority="10022" stopIfTrue="1" operator="between">
      <formula>0</formula>
      <formula>0.375</formula>
    </cfRule>
  </conditionalFormatting>
  <conditionalFormatting sqref="U237:V241">
    <cfRule type="cellIs" dxfId="8493" priority="10008" operator="between">
      <formula>0.376</formula>
      <formula>0.475</formula>
    </cfRule>
    <cfRule type="cellIs" dxfId="8492" priority="10009" operator="between">
      <formula>0.2551</formula>
      <formula>0.3751</formula>
    </cfRule>
    <cfRule type="cellIs" dxfId="8491" priority="10010" operator="greaterThan">
      <formula>0.505</formula>
    </cfRule>
    <cfRule type="cellIs" dxfId="8490" priority="10011" operator="between">
      <formula>0.48</formula>
      <formula>0.5</formula>
    </cfRule>
    <cfRule type="cellIs" dxfId="8489" priority="10012" stopIfTrue="1" operator="between">
      <formula>0</formula>
      <formula>0.255</formula>
    </cfRule>
  </conditionalFormatting>
  <conditionalFormatting sqref="AF64 R64 Y64 AH64:AI64">
    <cfRule type="cellIs" dxfId="8488" priority="9990" operator="between">
      <formula>0.76</formula>
      <formula>0.95</formula>
    </cfRule>
    <cfRule type="cellIs" dxfId="8487" priority="9991" operator="between">
      <formula>0.51</formula>
      <formula>0.75</formula>
    </cfRule>
    <cfRule type="cellIs" dxfId="8486" priority="9992" operator="greaterThan">
      <formula>1</formula>
    </cfRule>
    <cfRule type="cellIs" dxfId="8485" priority="9993" operator="between">
      <formula>0.95</formula>
      <formula>1</formula>
    </cfRule>
    <cfRule type="cellIs" dxfId="8484" priority="9994" stopIfTrue="1" operator="between">
      <formula>0</formula>
      <formula>0.5</formula>
    </cfRule>
  </conditionalFormatting>
  <conditionalFormatting sqref="T64">
    <cfRule type="cellIs" dxfId="8483" priority="9985" operator="between">
      <formula>0.3751</formula>
      <formula>0.475</formula>
    </cfRule>
    <cfRule type="cellIs" dxfId="8482" priority="9986" operator="between">
      <formula>0.2551</formula>
      <formula>0.375</formula>
    </cfRule>
    <cfRule type="cellIs" dxfId="8481" priority="9987" operator="greaterThan">
      <formula>0.505</formula>
    </cfRule>
    <cfRule type="cellIs" dxfId="8480" priority="9988" operator="between">
      <formula>0.48</formula>
      <formula>0.5</formula>
    </cfRule>
    <cfRule type="cellIs" dxfId="8479" priority="9989" stopIfTrue="1" operator="between">
      <formula>0</formula>
      <formula>0.255</formula>
    </cfRule>
  </conditionalFormatting>
  <conditionalFormatting sqref="AA64:AB64">
    <cfRule type="cellIs" dxfId="8478" priority="9980" operator="between">
      <formula>0.56251</formula>
      <formula>0.7125</formula>
    </cfRule>
    <cfRule type="cellIs" dxfId="8477" priority="9981" operator="between">
      <formula>0.3751</formula>
      <formula>0.5625</formula>
    </cfRule>
    <cfRule type="cellIs" dxfId="8476" priority="9982" operator="greaterThan">
      <formula>0.751</formula>
    </cfRule>
    <cfRule type="cellIs" dxfId="8475" priority="9983" operator="between">
      <formula>0.71251</formula>
      <formula>0.75</formula>
    </cfRule>
    <cfRule type="cellIs" dxfId="8474" priority="9984" stopIfTrue="1" operator="between">
      <formula>0</formula>
      <formula>0.375</formula>
    </cfRule>
  </conditionalFormatting>
  <conditionalFormatting sqref="U64">
    <cfRule type="cellIs" dxfId="8473" priority="9970" operator="between">
      <formula>0.376</formula>
      <formula>0.475</formula>
    </cfRule>
    <cfRule type="cellIs" dxfId="8472" priority="9971" operator="between">
      <formula>0.2551</formula>
      <formula>0.3751</formula>
    </cfRule>
    <cfRule type="cellIs" dxfId="8471" priority="9972" operator="greaterThan">
      <formula>0.505</formula>
    </cfRule>
    <cfRule type="cellIs" dxfId="8470" priority="9973" operator="between">
      <formula>0.48</formula>
      <formula>0.5</formula>
    </cfRule>
    <cfRule type="cellIs" dxfId="8469" priority="9974" stopIfTrue="1" operator="between">
      <formula>0</formula>
      <formula>0.255</formula>
    </cfRule>
  </conditionalFormatting>
  <conditionalFormatting sqref="Z64">
    <cfRule type="cellIs" dxfId="8468" priority="9950" operator="between">
      <formula>0.76</formula>
      <formula>0.95</formula>
    </cfRule>
    <cfRule type="cellIs" dxfId="8467" priority="9951" operator="between">
      <formula>0.51</formula>
      <formula>0.75</formula>
    </cfRule>
    <cfRule type="cellIs" dxfId="8466" priority="9952" operator="greaterThan">
      <formula>1</formula>
    </cfRule>
    <cfRule type="cellIs" dxfId="8465" priority="9953" operator="between">
      <formula>0.95</formula>
      <formula>1</formula>
    </cfRule>
    <cfRule type="cellIs" dxfId="8464" priority="9954" stopIfTrue="1" operator="between">
      <formula>0</formula>
      <formula>0.5</formula>
    </cfRule>
  </conditionalFormatting>
  <conditionalFormatting sqref="AC64">
    <cfRule type="cellIs" dxfId="8463" priority="9945" operator="between">
      <formula>0.56251</formula>
      <formula>0.7125</formula>
    </cfRule>
    <cfRule type="cellIs" dxfId="8462" priority="9946" operator="between">
      <formula>0.3751</formula>
      <formula>0.5625</formula>
    </cfRule>
    <cfRule type="cellIs" dxfId="8461" priority="9947" operator="greaterThan">
      <formula>0.751</formula>
    </cfRule>
    <cfRule type="cellIs" dxfId="8460" priority="9948" operator="between">
      <formula>0.71251</formula>
      <formula>0.75</formula>
    </cfRule>
    <cfRule type="cellIs" dxfId="8459" priority="9949" stopIfTrue="1" operator="between">
      <formula>0</formula>
      <formula>0.375</formula>
    </cfRule>
  </conditionalFormatting>
  <conditionalFormatting sqref="S64">
    <cfRule type="cellIs" dxfId="8458" priority="9920" operator="between">
      <formula>0.76</formula>
      <formula>0.95</formula>
    </cfRule>
    <cfRule type="cellIs" dxfId="8457" priority="9921" operator="between">
      <formula>0.51</formula>
      <formula>0.75</formula>
    </cfRule>
    <cfRule type="cellIs" dxfId="8456" priority="9922" operator="greaterThan">
      <formula>1</formula>
    </cfRule>
    <cfRule type="cellIs" dxfId="8455" priority="9923" operator="between">
      <formula>0.95</formula>
      <formula>1</formula>
    </cfRule>
    <cfRule type="cellIs" dxfId="8454" priority="9924" stopIfTrue="1" operator="between">
      <formula>0</formula>
      <formula>0.5</formula>
    </cfRule>
  </conditionalFormatting>
  <conditionalFormatting sqref="V64">
    <cfRule type="cellIs" dxfId="8453" priority="9915" operator="between">
      <formula>0.376</formula>
      <formula>0.475</formula>
    </cfRule>
    <cfRule type="cellIs" dxfId="8452" priority="9916" operator="between">
      <formula>0.2551</formula>
      <formula>0.3751</formula>
    </cfRule>
    <cfRule type="cellIs" dxfId="8451" priority="9917" operator="greaterThan">
      <formula>0.505</formula>
    </cfRule>
    <cfRule type="cellIs" dxfId="8450" priority="9918" operator="between">
      <formula>0.48</formula>
      <formula>0.5</formula>
    </cfRule>
    <cfRule type="cellIs" dxfId="8449" priority="9919" stopIfTrue="1" operator="between">
      <formula>0</formula>
      <formula>0.255</formula>
    </cfRule>
  </conditionalFormatting>
  <conditionalFormatting sqref="AG64">
    <cfRule type="cellIs" dxfId="8448" priority="9910" operator="between">
      <formula>0.76</formula>
      <formula>0.95</formula>
    </cfRule>
    <cfRule type="cellIs" dxfId="8447" priority="9911" operator="between">
      <formula>0.51</formula>
      <formula>0.75</formula>
    </cfRule>
    <cfRule type="cellIs" dxfId="8446" priority="9912" operator="greaterThan">
      <formula>1</formula>
    </cfRule>
    <cfRule type="cellIs" dxfId="8445" priority="9913" operator="between">
      <formula>0.95</formula>
      <formula>1</formula>
    </cfRule>
    <cfRule type="cellIs" dxfId="8444" priority="9914" stopIfTrue="1" operator="between">
      <formula>0</formula>
      <formula>0.5</formula>
    </cfRule>
  </conditionalFormatting>
  <conditionalFormatting sqref="R242:S242 Y242:Z242 AF242:AI242">
    <cfRule type="cellIs" dxfId="8443" priority="9905" operator="between">
      <formula>0.76</formula>
      <formula>0.95</formula>
    </cfRule>
    <cfRule type="cellIs" dxfId="8442" priority="9906" operator="between">
      <formula>0.51</formula>
      <formula>0.75</formula>
    </cfRule>
    <cfRule type="cellIs" dxfId="8441" priority="9907" operator="greaterThan">
      <formula>1</formula>
    </cfRule>
    <cfRule type="cellIs" dxfId="8440" priority="9908" operator="between">
      <formula>0.95</formula>
      <formula>1</formula>
    </cfRule>
    <cfRule type="cellIs" dxfId="8439" priority="9909" stopIfTrue="1" operator="between">
      <formula>0</formula>
      <formula>0.5</formula>
    </cfRule>
  </conditionalFormatting>
  <conditionalFormatting sqref="T242">
    <cfRule type="cellIs" dxfId="8438" priority="9900" operator="between">
      <formula>0.3751</formula>
      <formula>0.475</formula>
    </cfRule>
    <cfRule type="cellIs" dxfId="8437" priority="9901" operator="between">
      <formula>0.2551</formula>
      <formula>0.375</formula>
    </cfRule>
    <cfRule type="cellIs" dxfId="8436" priority="9902" operator="greaterThan">
      <formula>0.505</formula>
    </cfRule>
    <cfRule type="cellIs" dxfId="8435" priority="9903" operator="between">
      <formula>0.48</formula>
      <formula>0.5</formula>
    </cfRule>
    <cfRule type="cellIs" dxfId="8434" priority="9904" stopIfTrue="1" operator="between">
      <formula>0</formula>
      <formula>0.255</formula>
    </cfRule>
  </conditionalFormatting>
  <conditionalFormatting sqref="AA242:AB242">
    <cfRule type="cellIs" dxfId="8433" priority="9895" operator="between">
      <formula>0.56251</formula>
      <formula>0.7125</formula>
    </cfRule>
    <cfRule type="cellIs" dxfId="8432" priority="9896" operator="between">
      <formula>0.3751</formula>
      <formula>0.5625</formula>
    </cfRule>
    <cfRule type="cellIs" dxfId="8431" priority="9897" operator="greaterThan">
      <formula>0.751</formula>
    </cfRule>
    <cfRule type="cellIs" dxfId="8430" priority="9898" operator="between">
      <formula>0.71251</formula>
      <formula>0.75</formula>
    </cfRule>
    <cfRule type="cellIs" dxfId="8429" priority="9899" stopIfTrue="1" operator="between">
      <formula>0</formula>
      <formula>0.375</formula>
    </cfRule>
  </conditionalFormatting>
  <conditionalFormatting sqref="U242">
    <cfRule type="cellIs" dxfId="8428" priority="9885" operator="between">
      <formula>0.376</formula>
      <formula>0.475</formula>
    </cfRule>
    <cfRule type="cellIs" dxfId="8427" priority="9886" operator="between">
      <formula>0.2551</formula>
      <formula>0.3751</formula>
    </cfRule>
    <cfRule type="cellIs" dxfId="8426" priority="9887" operator="greaterThan">
      <formula>0.505</formula>
    </cfRule>
    <cfRule type="cellIs" dxfId="8425" priority="9888" operator="between">
      <formula>0.48</formula>
      <formula>0.5</formula>
    </cfRule>
    <cfRule type="cellIs" dxfId="8424" priority="9889" stopIfTrue="1" operator="between">
      <formula>0</formula>
      <formula>0.255</formula>
    </cfRule>
  </conditionalFormatting>
  <conditionalFormatting sqref="AF65 R65 Y65 AH65:AI65">
    <cfRule type="cellIs" dxfId="8423" priority="9877" operator="between">
      <formula>0.76</formula>
      <formula>0.95</formula>
    </cfRule>
    <cfRule type="cellIs" dxfId="8422" priority="9878" operator="between">
      <formula>0.51</formula>
      <formula>0.75</formula>
    </cfRule>
    <cfRule type="cellIs" dxfId="8421" priority="9879" operator="greaterThan">
      <formula>1</formula>
    </cfRule>
    <cfRule type="cellIs" dxfId="8420" priority="9880" operator="between">
      <formula>0.95</formula>
      <formula>1</formula>
    </cfRule>
    <cfRule type="cellIs" dxfId="8419" priority="9881" stopIfTrue="1" operator="between">
      <formula>0</formula>
      <formula>0.5</formula>
    </cfRule>
  </conditionalFormatting>
  <conditionalFormatting sqref="T65">
    <cfRule type="cellIs" dxfId="8418" priority="9872" operator="between">
      <formula>0.3751</formula>
      <formula>0.475</formula>
    </cfRule>
    <cfRule type="cellIs" dxfId="8417" priority="9873" operator="between">
      <formula>0.2551</formula>
      <formula>0.375</formula>
    </cfRule>
    <cfRule type="cellIs" dxfId="8416" priority="9874" operator="greaterThan">
      <formula>0.505</formula>
    </cfRule>
    <cfRule type="cellIs" dxfId="8415" priority="9875" operator="between">
      <formula>0.48</formula>
      <formula>0.5</formula>
    </cfRule>
    <cfRule type="cellIs" dxfId="8414" priority="9876" stopIfTrue="1" operator="between">
      <formula>0</formula>
      <formula>0.255</formula>
    </cfRule>
  </conditionalFormatting>
  <conditionalFormatting sqref="AA65:AB65">
    <cfRule type="cellIs" dxfId="8413" priority="9867" operator="between">
      <formula>0.56251</formula>
      <formula>0.7125</formula>
    </cfRule>
    <cfRule type="cellIs" dxfId="8412" priority="9868" operator="between">
      <formula>0.3751</formula>
      <formula>0.5625</formula>
    </cfRule>
    <cfRule type="cellIs" dxfId="8411" priority="9869" operator="greaterThan">
      <formula>0.751</formula>
    </cfRule>
    <cfRule type="cellIs" dxfId="8410" priority="9870" operator="between">
      <formula>0.71251</formula>
      <formula>0.75</formula>
    </cfRule>
    <cfRule type="cellIs" dxfId="8409" priority="9871" stopIfTrue="1" operator="between">
      <formula>0</formula>
      <formula>0.375</formula>
    </cfRule>
  </conditionalFormatting>
  <conditionalFormatting sqref="U65">
    <cfRule type="cellIs" dxfId="8408" priority="9857" operator="between">
      <formula>0.376</formula>
      <formula>0.475</formula>
    </cfRule>
    <cfRule type="cellIs" dxfId="8407" priority="9858" operator="between">
      <formula>0.2551</formula>
      <formula>0.3751</formula>
    </cfRule>
    <cfRule type="cellIs" dxfId="8406" priority="9859" operator="greaterThan">
      <formula>0.505</formula>
    </cfRule>
    <cfRule type="cellIs" dxfId="8405" priority="9860" operator="between">
      <formula>0.48</formula>
      <formula>0.5</formula>
    </cfRule>
    <cfRule type="cellIs" dxfId="8404" priority="9861" stopIfTrue="1" operator="between">
      <formula>0</formula>
      <formula>0.255</formula>
    </cfRule>
  </conditionalFormatting>
  <conditionalFormatting sqref="Z65">
    <cfRule type="cellIs" dxfId="8403" priority="9837" operator="between">
      <formula>0.76</formula>
      <formula>0.95</formula>
    </cfRule>
    <cfRule type="cellIs" dxfId="8402" priority="9838" operator="between">
      <formula>0.51</formula>
      <formula>0.75</formula>
    </cfRule>
    <cfRule type="cellIs" dxfId="8401" priority="9839" operator="greaterThan">
      <formula>1</formula>
    </cfRule>
    <cfRule type="cellIs" dxfId="8400" priority="9840" operator="between">
      <formula>0.95</formula>
      <formula>1</formula>
    </cfRule>
    <cfRule type="cellIs" dxfId="8399" priority="9841" stopIfTrue="1" operator="between">
      <formula>0</formula>
      <formula>0.5</formula>
    </cfRule>
  </conditionalFormatting>
  <conditionalFormatting sqref="AC65">
    <cfRule type="cellIs" dxfId="8398" priority="9832" operator="between">
      <formula>0.56251</formula>
      <formula>0.7125</formula>
    </cfRule>
    <cfRule type="cellIs" dxfId="8397" priority="9833" operator="between">
      <formula>0.3751</formula>
      <formula>0.5625</formula>
    </cfRule>
    <cfRule type="cellIs" dxfId="8396" priority="9834" operator="greaterThan">
      <formula>0.751</formula>
    </cfRule>
    <cfRule type="cellIs" dxfId="8395" priority="9835" operator="between">
      <formula>0.71251</formula>
      <formula>0.75</formula>
    </cfRule>
    <cfRule type="cellIs" dxfId="8394" priority="9836" stopIfTrue="1" operator="between">
      <formula>0</formula>
      <formula>0.375</formula>
    </cfRule>
  </conditionalFormatting>
  <conditionalFormatting sqref="S65">
    <cfRule type="cellIs" dxfId="8393" priority="9817" operator="between">
      <formula>0.76</formula>
      <formula>0.95</formula>
    </cfRule>
    <cfRule type="cellIs" dxfId="8392" priority="9818" operator="between">
      <formula>0.51</formula>
      <formula>0.75</formula>
    </cfRule>
    <cfRule type="cellIs" dxfId="8391" priority="9819" operator="greaterThan">
      <formula>1</formula>
    </cfRule>
    <cfRule type="cellIs" dxfId="8390" priority="9820" operator="between">
      <formula>0.95</formula>
      <formula>1</formula>
    </cfRule>
    <cfRule type="cellIs" dxfId="8389" priority="9821" stopIfTrue="1" operator="between">
      <formula>0</formula>
      <formula>0.5</formula>
    </cfRule>
  </conditionalFormatting>
  <conditionalFormatting sqref="V65">
    <cfRule type="cellIs" dxfId="8388" priority="9812" operator="between">
      <formula>0.376</formula>
      <formula>0.475</formula>
    </cfRule>
    <cfRule type="cellIs" dxfId="8387" priority="9813" operator="between">
      <formula>0.2551</formula>
      <formula>0.3751</formula>
    </cfRule>
    <cfRule type="cellIs" dxfId="8386" priority="9814" operator="greaterThan">
      <formula>0.505</formula>
    </cfRule>
    <cfRule type="cellIs" dxfId="8385" priority="9815" operator="between">
      <formula>0.48</formula>
      <formula>0.5</formula>
    </cfRule>
    <cfRule type="cellIs" dxfId="8384" priority="9816" stopIfTrue="1" operator="between">
      <formula>0</formula>
      <formula>0.255</formula>
    </cfRule>
  </conditionalFormatting>
  <conditionalFormatting sqref="AG65">
    <cfRule type="cellIs" dxfId="8383" priority="9807" operator="between">
      <formula>0.76</formula>
      <formula>0.95</formula>
    </cfRule>
    <cfRule type="cellIs" dxfId="8382" priority="9808" operator="between">
      <formula>0.51</formula>
      <formula>0.75</formula>
    </cfRule>
    <cfRule type="cellIs" dxfId="8381" priority="9809" operator="greaterThan">
      <formula>1</formula>
    </cfRule>
    <cfRule type="cellIs" dxfId="8380" priority="9810" operator="between">
      <formula>0.95</formula>
      <formula>1</formula>
    </cfRule>
    <cfRule type="cellIs" dxfId="8379" priority="9811" stopIfTrue="1" operator="between">
      <formula>0</formula>
      <formula>0.5</formula>
    </cfRule>
  </conditionalFormatting>
  <conditionalFormatting sqref="AG87:AG88 AG90 AG92:AG94">
    <cfRule type="cellIs" dxfId="8378" priority="9582" operator="between">
      <formula>0.76</formula>
      <formula>0.95</formula>
    </cfRule>
    <cfRule type="cellIs" dxfId="8377" priority="9583" operator="between">
      <formula>0.51</formula>
      <formula>0.75</formula>
    </cfRule>
    <cfRule type="cellIs" dxfId="8376" priority="9584" operator="greaterThan">
      <formula>1</formula>
    </cfRule>
    <cfRule type="cellIs" dxfId="8375" priority="9585" operator="between">
      <formula>0.95</formula>
      <formula>1</formula>
    </cfRule>
    <cfRule type="cellIs" dxfId="8374" priority="9586" stopIfTrue="1" operator="between">
      <formula>0</formula>
      <formula>0.5</formula>
    </cfRule>
  </conditionalFormatting>
  <conditionalFormatting sqref="S92:S94">
    <cfRule type="cellIs" dxfId="8373" priority="9572" operator="between">
      <formula>0.76</formula>
      <formula>0.95</formula>
    </cfRule>
    <cfRule type="cellIs" dxfId="8372" priority="9573" operator="between">
      <formula>0.51</formula>
      <formula>0.75</formula>
    </cfRule>
    <cfRule type="cellIs" dxfId="8371" priority="9574" operator="greaterThan">
      <formula>1</formula>
    </cfRule>
    <cfRule type="cellIs" dxfId="8370" priority="9575" operator="between">
      <formula>0.95</formula>
      <formula>1</formula>
    </cfRule>
    <cfRule type="cellIs" dxfId="8369" priority="9576" stopIfTrue="1" operator="between">
      <formula>0</formula>
      <formula>0.5</formula>
    </cfRule>
  </conditionalFormatting>
  <conditionalFormatting sqref="V92:V94">
    <cfRule type="cellIs" dxfId="8368" priority="9567" operator="between">
      <formula>0.376</formula>
      <formula>0.475</formula>
    </cfRule>
    <cfRule type="cellIs" dxfId="8367" priority="9568" operator="between">
      <formula>0.2551</formula>
      <formula>0.3751</formula>
    </cfRule>
    <cfRule type="cellIs" dxfId="8366" priority="9569" operator="greaterThan">
      <formula>0.505</formula>
    </cfRule>
    <cfRule type="cellIs" dxfId="8365" priority="9570" operator="between">
      <formula>0.48</formula>
      <formula>0.5</formula>
    </cfRule>
    <cfRule type="cellIs" dxfId="8364" priority="9571" stopIfTrue="1" operator="between">
      <formula>0</formula>
      <formula>0.255</formula>
    </cfRule>
  </conditionalFormatting>
  <conditionalFormatting sqref="AG91">
    <cfRule type="cellIs" dxfId="8363" priority="9552" operator="between">
      <formula>0.76</formula>
      <formula>0.95</formula>
    </cfRule>
    <cfRule type="cellIs" dxfId="8362" priority="9553" operator="between">
      <formula>0.51</formula>
      <formula>0.75</formula>
    </cfRule>
    <cfRule type="cellIs" dxfId="8361" priority="9554" operator="greaterThan">
      <formula>1</formula>
    </cfRule>
    <cfRule type="cellIs" dxfId="8360" priority="9555" operator="between">
      <formula>0.95</formula>
      <formula>1</formula>
    </cfRule>
    <cfRule type="cellIs" dxfId="8359" priority="9556" stopIfTrue="1" operator="between">
      <formula>0</formula>
      <formula>0.5</formula>
    </cfRule>
  </conditionalFormatting>
  <conditionalFormatting sqref="AF82:AF86 R82:R86 Y82:Y86 AH82:AI86">
    <cfRule type="cellIs" dxfId="8358" priority="9727" operator="between">
      <formula>0.76</formula>
      <formula>0.95</formula>
    </cfRule>
    <cfRule type="cellIs" dxfId="8357" priority="9728" operator="between">
      <formula>0.51</formula>
      <formula>0.75</formula>
    </cfRule>
    <cfRule type="cellIs" dxfId="8356" priority="9729" operator="greaterThan">
      <formula>1</formula>
    </cfRule>
    <cfRule type="cellIs" dxfId="8355" priority="9730" operator="between">
      <formula>0.95</formula>
      <formula>1</formula>
    </cfRule>
    <cfRule type="cellIs" dxfId="8354" priority="9731" stopIfTrue="1" operator="between">
      <formula>0</formula>
      <formula>0.5</formula>
    </cfRule>
  </conditionalFormatting>
  <conditionalFormatting sqref="T82:T86">
    <cfRule type="cellIs" dxfId="8353" priority="9722" operator="between">
      <formula>0.3751</formula>
      <formula>0.475</formula>
    </cfRule>
    <cfRule type="cellIs" dxfId="8352" priority="9723" operator="between">
      <formula>0.2551</formula>
      <formula>0.375</formula>
    </cfRule>
    <cfRule type="cellIs" dxfId="8351" priority="9724" operator="greaterThan">
      <formula>0.505</formula>
    </cfRule>
    <cfRule type="cellIs" dxfId="8350" priority="9725" operator="between">
      <formula>0.48</formula>
      <formula>0.5</formula>
    </cfRule>
    <cfRule type="cellIs" dxfId="8349" priority="9726" stopIfTrue="1" operator="between">
      <formula>0</formula>
      <formula>0.255</formula>
    </cfRule>
  </conditionalFormatting>
  <conditionalFormatting sqref="AA82:AB86">
    <cfRule type="cellIs" dxfId="8348" priority="9717" operator="between">
      <formula>0.56251</formula>
      <formula>0.7125</formula>
    </cfRule>
    <cfRule type="cellIs" dxfId="8347" priority="9718" operator="between">
      <formula>0.3751</formula>
      <formula>0.5625</formula>
    </cfRule>
    <cfRule type="cellIs" dxfId="8346" priority="9719" operator="greaterThan">
      <formula>0.751</formula>
    </cfRule>
    <cfRule type="cellIs" dxfId="8345" priority="9720" operator="between">
      <formula>0.71251</formula>
      <formula>0.75</formula>
    </cfRule>
    <cfRule type="cellIs" dxfId="8344" priority="9721" stopIfTrue="1" operator="between">
      <formula>0</formula>
      <formula>0.375</formula>
    </cfRule>
  </conditionalFormatting>
  <conditionalFormatting sqref="U82:U86">
    <cfRule type="cellIs" dxfId="8343" priority="9707" operator="between">
      <formula>0.376</formula>
      <formula>0.475</formula>
    </cfRule>
    <cfRule type="cellIs" dxfId="8342" priority="9708" operator="between">
      <formula>0.2551</formula>
      <formula>0.3751</formula>
    </cfRule>
    <cfRule type="cellIs" dxfId="8341" priority="9709" operator="greaterThan">
      <formula>0.505</formula>
    </cfRule>
    <cfRule type="cellIs" dxfId="8340" priority="9710" operator="between">
      <formula>0.48</formula>
      <formula>0.5</formula>
    </cfRule>
    <cfRule type="cellIs" dxfId="8339" priority="9711" stopIfTrue="1" operator="between">
      <formula>0</formula>
      <formula>0.255</formula>
    </cfRule>
  </conditionalFormatting>
  <conditionalFormatting sqref="Z82:Z86">
    <cfRule type="cellIs" dxfId="8338" priority="9687" operator="between">
      <formula>0.76</formula>
      <formula>0.95</formula>
    </cfRule>
    <cfRule type="cellIs" dxfId="8337" priority="9688" operator="between">
      <formula>0.51</formula>
      <formula>0.75</formula>
    </cfRule>
    <cfRule type="cellIs" dxfId="8336" priority="9689" operator="greaterThan">
      <formula>1</formula>
    </cfRule>
    <cfRule type="cellIs" dxfId="8335" priority="9690" operator="between">
      <formula>0.95</formula>
      <formula>1</formula>
    </cfRule>
    <cfRule type="cellIs" dxfId="8334" priority="9691" stopIfTrue="1" operator="between">
      <formula>0</formula>
      <formula>0.5</formula>
    </cfRule>
  </conditionalFormatting>
  <conditionalFormatting sqref="AC82:AC86">
    <cfRule type="cellIs" dxfId="8333" priority="9682" operator="between">
      <formula>0.56251</formula>
      <formula>0.7125</formula>
    </cfRule>
    <cfRule type="cellIs" dxfId="8332" priority="9683" operator="between">
      <formula>0.3751</formula>
      <formula>0.5625</formula>
    </cfRule>
    <cfRule type="cellIs" dxfId="8331" priority="9684" operator="greaterThan">
      <formula>0.751</formula>
    </cfRule>
    <cfRule type="cellIs" dxfId="8330" priority="9685" operator="between">
      <formula>0.71251</formula>
      <formula>0.75</formula>
    </cfRule>
    <cfRule type="cellIs" dxfId="8329" priority="9686" stopIfTrue="1" operator="between">
      <formula>0</formula>
      <formula>0.375</formula>
    </cfRule>
  </conditionalFormatting>
  <conditionalFormatting sqref="S82:S86">
    <cfRule type="cellIs" dxfId="8328" priority="9667" operator="between">
      <formula>0.76</formula>
      <formula>0.95</formula>
    </cfRule>
    <cfRule type="cellIs" dxfId="8327" priority="9668" operator="between">
      <formula>0.51</formula>
      <formula>0.75</formula>
    </cfRule>
    <cfRule type="cellIs" dxfId="8326" priority="9669" operator="greaterThan">
      <formula>1</formula>
    </cfRule>
    <cfRule type="cellIs" dxfId="8325" priority="9670" operator="between">
      <formula>0.95</formula>
      <formula>1</formula>
    </cfRule>
    <cfRule type="cellIs" dxfId="8324" priority="9671" stopIfTrue="1" operator="between">
      <formula>0</formula>
      <formula>0.5</formula>
    </cfRule>
  </conditionalFormatting>
  <conditionalFormatting sqref="V82:V86">
    <cfRule type="cellIs" dxfId="8323" priority="9662" operator="between">
      <formula>0.376</formula>
      <formula>0.475</formula>
    </cfRule>
    <cfRule type="cellIs" dxfId="8322" priority="9663" operator="between">
      <formula>0.2551</formula>
      <formula>0.3751</formula>
    </cfRule>
    <cfRule type="cellIs" dxfId="8321" priority="9664" operator="greaterThan">
      <formula>0.505</formula>
    </cfRule>
    <cfRule type="cellIs" dxfId="8320" priority="9665" operator="between">
      <formula>0.48</formula>
      <formula>0.5</formula>
    </cfRule>
    <cfRule type="cellIs" dxfId="8319" priority="9666" stopIfTrue="1" operator="between">
      <formula>0</formula>
      <formula>0.255</formula>
    </cfRule>
  </conditionalFormatting>
  <conditionalFormatting sqref="AG82:AG86">
    <cfRule type="cellIs" dxfId="8318" priority="9657" operator="between">
      <formula>0.76</formula>
      <formula>0.95</formula>
    </cfRule>
    <cfRule type="cellIs" dxfId="8317" priority="9658" operator="between">
      <formula>0.51</formula>
      <formula>0.75</formula>
    </cfRule>
    <cfRule type="cellIs" dxfId="8316" priority="9659" operator="greaterThan">
      <formula>1</formula>
    </cfRule>
    <cfRule type="cellIs" dxfId="8315" priority="9660" operator="between">
      <formula>0.95</formula>
      <formula>1</formula>
    </cfRule>
    <cfRule type="cellIs" dxfId="8314" priority="9661" stopIfTrue="1" operator="between">
      <formula>0</formula>
      <formula>0.5</formula>
    </cfRule>
  </conditionalFormatting>
  <conditionalFormatting sqref="AF87:AF94 R87:R94 Y87:Y94 AH87:AI94">
    <cfRule type="cellIs" dxfId="8313" priority="9652" operator="between">
      <formula>0.76</formula>
      <formula>0.95</formula>
    </cfRule>
    <cfRule type="cellIs" dxfId="8312" priority="9653" operator="between">
      <formula>0.51</formula>
      <formula>0.75</formula>
    </cfRule>
    <cfRule type="cellIs" dxfId="8311" priority="9654" operator="greaterThan">
      <formula>1</formula>
    </cfRule>
    <cfRule type="cellIs" dxfId="8310" priority="9655" operator="between">
      <formula>0.95</formula>
      <formula>1</formula>
    </cfRule>
    <cfRule type="cellIs" dxfId="8309" priority="9656" stopIfTrue="1" operator="between">
      <formula>0</formula>
      <formula>0.5</formula>
    </cfRule>
  </conditionalFormatting>
  <conditionalFormatting sqref="T87:T94">
    <cfRule type="cellIs" dxfId="8308" priority="9647" operator="between">
      <formula>0.3751</formula>
      <formula>0.475</formula>
    </cfRule>
    <cfRule type="cellIs" dxfId="8307" priority="9648" operator="between">
      <formula>0.2551</formula>
      <formula>0.375</formula>
    </cfRule>
    <cfRule type="cellIs" dxfId="8306" priority="9649" operator="greaterThan">
      <formula>0.505</formula>
    </cfRule>
    <cfRule type="cellIs" dxfId="8305" priority="9650" operator="between">
      <formula>0.48</formula>
      <formula>0.5</formula>
    </cfRule>
    <cfRule type="cellIs" dxfId="8304" priority="9651" stopIfTrue="1" operator="between">
      <formula>0</formula>
      <formula>0.255</formula>
    </cfRule>
  </conditionalFormatting>
  <conditionalFormatting sqref="AA87:AB94">
    <cfRule type="cellIs" dxfId="8303" priority="9642" operator="between">
      <formula>0.56251</formula>
      <formula>0.7125</formula>
    </cfRule>
    <cfRule type="cellIs" dxfId="8302" priority="9643" operator="between">
      <formula>0.3751</formula>
      <formula>0.5625</formula>
    </cfRule>
    <cfRule type="cellIs" dxfId="8301" priority="9644" operator="greaterThan">
      <formula>0.751</formula>
    </cfRule>
    <cfRule type="cellIs" dxfId="8300" priority="9645" operator="between">
      <formula>0.71251</formula>
      <formula>0.75</formula>
    </cfRule>
    <cfRule type="cellIs" dxfId="8299" priority="9646" stopIfTrue="1" operator="between">
      <formula>0</formula>
      <formula>0.375</formula>
    </cfRule>
  </conditionalFormatting>
  <conditionalFormatting sqref="U87:U94">
    <cfRule type="cellIs" dxfId="8298" priority="9632" operator="between">
      <formula>0.376</formula>
      <formula>0.475</formula>
    </cfRule>
    <cfRule type="cellIs" dxfId="8297" priority="9633" operator="between">
      <formula>0.2551</formula>
      <formula>0.3751</formula>
    </cfRule>
    <cfRule type="cellIs" dxfId="8296" priority="9634" operator="greaterThan">
      <formula>0.505</formula>
    </cfRule>
    <cfRule type="cellIs" dxfId="8295" priority="9635" operator="between">
      <formula>0.48</formula>
      <formula>0.5</formula>
    </cfRule>
    <cfRule type="cellIs" dxfId="8294" priority="9636" stopIfTrue="1" operator="between">
      <formula>0</formula>
      <formula>0.255</formula>
    </cfRule>
  </conditionalFormatting>
  <conditionalFormatting sqref="Z87:Z94">
    <cfRule type="cellIs" dxfId="8293" priority="9612" operator="between">
      <formula>0.76</formula>
      <formula>0.95</formula>
    </cfRule>
    <cfRule type="cellIs" dxfId="8292" priority="9613" operator="between">
      <formula>0.51</formula>
      <formula>0.75</formula>
    </cfRule>
    <cfRule type="cellIs" dxfId="8291" priority="9614" operator="greaterThan">
      <formula>1</formula>
    </cfRule>
    <cfRule type="cellIs" dxfId="8290" priority="9615" operator="between">
      <formula>0.95</formula>
      <formula>1</formula>
    </cfRule>
    <cfRule type="cellIs" dxfId="8289" priority="9616" stopIfTrue="1" operator="between">
      <formula>0</formula>
      <formula>0.5</formula>
    </cfRule>
  </conditionalFormatting>
  <conditionalFormatting sqref="AC87:AC94">
    <cfRule type="cellIs" dxfId="8288" priority="9607" operator="between">
      <formula>0.56251</formula>
      <formula>0.7125</formula>
    </cfRule>
    <cfRule type="cellIs" dxfId="8287" priority="9608" operator="between">
      <formula>0.3751</formula>
      <formula>0.5625</formula>
    </cfRule>
    <cfRule type="cellIs" dxfId="8286" priority="9609" operator="greaterThan">
      <formula>0.751</formula>
    </cfRule>
    <cfRule type="cellIs" dxfId="8285" priority="9610" operator="between">
      <formula>0.71251</formula>
      <formula>0.75</formula>
    </cfRule>
    <cfRule type="cellIs" dxfId="8284" priority="9611" stopIfTrue="1" operator="between">
      <formula>0</formula>
      <formula>0.375</formula>
    </cfRule>
  </conditionalFormatting>
  <conditionalFormatting sqref="S88:S91">
    <cfRule type="cellIs" dxfId="8283" priority="9592" operator="between">
      <formula>0.76</formula>
      <formula>0.95</formula>
    </cfRule>
    <cfRule type="cellIs" dxfId="8282" priority="9593" operator="between">
      <formula>0.51</formula>
      <formula>0.75</formula>
    </cfRule>
    <cfRule type="cellIs" dxfId="8281" priority="9594" operator="greaterThan">
      <formula>1</formula>
    </cfRule>
    <cfRule type="cellIs" dxfId="8280" priority="9595" operator="between">
      <formula>0.95</formula>
      <formula>1</formula>
    </cfRule>
    <cfRule type="cellIs" dxfId="8279" priority="9596" stopIfTrue="1" operator="between">
      <formula>0</formula>
      <formula>0.5</formula>
    </cfRule>
  </conditionalFormatting>
  <conditionalFormatting sqref="V88:V91">
    <cfRule type="cellIs" dxfId="8278" priority="9587" operator="between">
      <formula>0.376</formula>
      <formula>0.475</formula>
    </cfRule>
    <cfRule type="cellIs" dxfId="8277" priority="9588" operator="between">
      <formula>0.2551</formula>
      <formula>0.3751</formula>
    </cfRule>
    <cfRule type="cellIs" dxfId="8276" priority="9589" operator="greaterThan">
      <formula>0.505</formula>
    </cfRule>
    <cfRule type="cellIs" dxfId="8275" priority="9590" operator="between">
      <formula>0.48</formula>
      <formula>0.5</formula>
    </cfRule>
    <cfRule type="cellIs" dxfId="8274" priority="9591" stopIfTrue="1" operator="between">
      <formula>0</formula>
      <formula>0.255</formula>
    </cfRule>
  </conditionalFormatting>
  <conditionalFormatting sqref="S87">
    <cfRule type="cellIs" dxfId="8273" priority="9577" operator="between">
      <formula>0.76</formula>
      <formula>0.95</formula>
    </cfRule>
    <cfRule type="cellIs" dxfId="8272" priority="9578" operator="between">
      <formula>0.51</formula>
      <formula>0.75</formula>
    </cfRule>
    <cfRule type="cellIs" dxfId="8271" priority="9579" operator="greaterThan">
      <formula>1</formula>
    </cfRule>
    <cfRule type="cellIs" dxfId="8270" priority="9580" operator="between">
      <formula>0.95</formula>
      <formula>1</formula>
    </cfRule>
    <cfRule type="cellIs" dxfId="8269" priority="9581" stopIfTrue="1" operator="between">
      <formula>0</formula>
      <formula>0.5</formula>
    </cfRule>
  </conditionalFormatting>
  <conditionalFormatting sqref="V87">
    <cfRule type="cellIs" dxfId="8268" priority="9562" operator="between">
      <formula>0.376</formula>
      <formula>0.475</formula>
    </cfRule>
    <cfRule type="cellIs" dxfId="8267" priority="9563" operator="between">
      <formula>0.2551</formula>
      <formula>0.3751</formula>
    </cfRule>
    <cfRule type="cellIs" dxfId="8266" priority="9564" operator="greaterThan">
      <formula>0.505</formula>
    </cfRule>
    <cfRule type="cellIs" dxfId="8265" priority="9565" operator="between">
      <formula>0.48</formula>
      <formula>0.5</formula>
    </cfRule>
    <cfRule type="cellIs" dxfId="8264" priority="9566" stopIfTrue="1" operator="between">
      <formula>0</formula>
      <formula>0.255</formula>
    </cfRule>
  </conditionalFormatting>
  <conditionalFormatting sqref="AG89">
    <cfRule type="cellIs" dxfId="8263" priority="9557" operator="between">
      <formula>0.76</formula>
      <formula>0.95</formula>
    </cfRule>
    <cfRule type="cellIs" dxfId="8262" priority="9558" operator="between">
      <formula>0.51</formula>
      <formula>0.75</formula>
    </cfRule>
    <cfRule type="cellIs" dxfId="8261" priority="9559" operator="greaterThan">
      <formula>1</formula>
    </cfRule>
    <cfRule type="cellIs" dxfId="8260" priority="9560" operator="between">
      <formula>0.95</formula>
      <formula>1</formula>
    </cfRule>
    <cfRule type="cellIs" dxfId="8259" priority="9561" stopIfTrue="1" operator="between">
      <formula>0</formula>
      <formula>0.5</formula>
    </cfRule>
  </conditionalFormatting>
  <conditionalFormatting sqref="AF95 R95 Y95 AH95:AI95">
    <cfRule type="cellIs" dxfId="8258" priority="9547" operator="between">
      <formula>0.76</formula>
      <formula>0.95</formula>
    </cfRule>
    <cfRule type="cellIs" dxfId="8257" priority="9548" operator="between">
      <formula>0.51</formula>
      <formula>0.75</formula>
    </cfRule>
    <cfRule type="cellIs" dxfId="8256" priority="9549" operator="greaterThan">
      <formula>1</formula>
    </cfRule>
    <cfRule type="cellIs" dxfId="8255" priority="9550" operator="between">
      <formula>0.95</formula>
      <formula>1</formula>
    </cfRule>
    <cfRule type="cellIs" dxfId="8254" priority="9551" stopIfTrue="1" operator="between">
      <formula>0</formula>
      <formula>0.5</formula>
    </cfRule>
  </conditionalFormatting>
  <conditionalFormatting sqref="T95">
    <cfRule type="cellIs" dxfId="8253" priority="9542" operator="between">
      <formula>0.3751</formula>
      <formula>0.475</formula>
    </cfRule>
    <cfRule type="cellIs" dxfId="8252" priority="9543" operator="between">
      <formula>0.2551</formula>
      <formula>0.375</formula>
    </cfRule>
    <cfRule type="cellIs" dxfId="8251" priority="9544" operator="greaterThan">
      <formula>0.505</formula>
    </cfRule>
    <cfRule type="cellIs" dxfId="8250" priority="9545" operator="between">
      <formula>0.48</formula>
      <formula>0.5</formula>
    </cfRule>
    <cfRule type="cellIs" dxfId="8249" priority="9546" stopIfTrue="1" operator="between">
      <formula>0</formula>
      <formula>0.255</formula>
    </cfRule>
  </conditionalFormatting>
  <conditionalFormatting sqref="AA95:AB95">
    <cfRule type="cellIs" dxfId="8248" priority="9537" operator="between">
      <formula>0.56251</formula>
      <formula>0.7125</formula>
    </cfRule>
    <cfRule type="cellIs" dxfId="8247" priority="9538" operator="between">
      <formula>0.3751</formula>
      <formula>0.5625</formula>
    </cfRule>
    <cfRule type="cellIs" dxfId="8246" priority="9539" operator="greaterThan">
      <formula>0.751</formula>
    </cfRule>
    <cfRule type="cellIs" dxfId="8245" priority="9540" operator="between">
      <formula>0.71251</formula>
      <formula>0.75</formula>
    </cfRule>
    <cfRule type="cellIs" dxfId="8244" priority="9541" stopIfTrue="1" operator="between">
      <formula>0</formula>
      <formula>0.375</formula>
    </cfRule>
  </conditionalFormatting>
  <conditionalFormatting sqref="U95">
    <cfRule type="cellIs" dxfId="8243" priority="9527" operator="between">
      <formula>0.376</formula>
      <formula>0.475</formula>
    </cfRule>
    <cfRule type="cellIs" dxfId="8242" priority="9528" operator="between">
      <formula>0.2551</formula>
      <formula>0.3751</formula>
    </cfRule>
    <cfRule type="cellIs" dxfId="8241" priority="9529" operator="greaterThan">
      <formula>0.505</formula>
    </cfRule>
    <cfRule type="cellIs" dxfId="8240" priority="9530" operator="between">
      <formula>0.48</formula>
      <formula>0.5</formula>
    </cfRule>
    <cfRule type="cellIs" dxfId="8239" priority="9531" stopIfTrue="1" operator="between">
      <formula>0</formula>
      <formula>0.255</formula>
    </cfRule>
  </conditionalFormatting>
  <conditionalFormatting sqref="Z95">
    <cfRule type="cellIs" dxfId="8238" priority="9507" operator="between">
      <formula>0.76</formula>
      <formula>0.95</formula>
    </cfRule>
    <cfRule type="cellIs" dxfId="8237" priority="9508" operator="between">
      <formula>0.51</formula>
      <formula>0.75</formula>
    </cfRule>
    <cfRule type="cellIs" dxfId="8236" priority="9509" operator="greaterThan">
      <formula>1</formula>
    </cfRule>
    <cfRule type="cellIs" dxfId="8235" priority="9510" operator="between">
      <formula>0.95</formula>
      <formula>1</formula>
    </cfRule>
    <cfRule type="cellIs" dxfId="8234" priority="9511" stopIfTrue="1" operator="between">
      <formula>0</formula>
      <formula>0.5</formula>
    </cfRule>
  </conditionalFormatting>
  <conditionalFormatting sqref="AC95">
    <cfRule type="cellIs" dxfId="8233" priority="9502" operator="between">
      <formula>0.56251</formula>
      <formula>0.7125</formula>
    </cfRule>
    <cfRule type="cellIs" dxfId="8232" priority="9503" operator="between">
      <formula>0.3751</formula>
      <formula>0.5625</formula>
    </cfRule>
    <cfRule type="cellIs" dxfId="8231" priority="9504" operator="greaterThan">
      <formula>0.751</formula>
    </cfRule>
    <cfRule type="cellIs" dxfId="8230" priority="9505" operator="between">
      <formula>0.71251</formula>
      <formula>0.75</formula>
    </cfRule>
    <cfRule type="cellIs" dxfId="8229" priority="9506" stopIfTrue="1" operator="between">
      <formula>0</formula>
      <formula>0.375</formula>
    </cfRule>
  </conditionalFormatting>
  <conditionalFormatting sqref="AG95">
    <cfRule type="cellIs" dxfId="8228" priority="9487" operator="between">
      <formula>0.76</formula>
      <formula>0.95</formula>
    </cfRule>
    <cfRule type="cellIs" dxfId="8227" priority="9488" operator="between">
      <formula>0.51</formula>
      <formula>0.75</formula>
    </cfRule>
    <cfRule type="cellIs" dxfId="8226" priority="9489" operator="greaterThan">
      <formula>1</formula>
    </cfRule>
    <cfRule type="cellIs" dxfId="8225" priority="9490" operator="between">
      <formula>0.95</formula>
      <formula>1</formula>
    </cfRule>
    <cfRule type="cellIs" dxfId="8224" priority="9491" stopIfTrue="1" operator="between">
      <formula>0</formula>
      <formula>0.5</formula>
    </cfRule>
  </conditionalFormatting>
  <conditionalFormatting sqref="S95">
    <cfRule type="cellIs" dxfId="8223" priority="9482" operator="between">
      <formula>0.76</formula>
      <formula>0.95</formula>
    </cfRule>
    <cfRule type="cellIs" dxfId="8222" priority="9483" operator="between">
      <formula>0.51</formula>
      <formula>0.75</formula>
    </cfRule>
    <cfRule type="cellIs" dxfId="8221" priority="9484" operator="greaterThan">
      <formula>1</formula>
    </cfRule>
    <cfRule type="cellIs" dxfId="8220" priority="9485" operator="between">
      <formula>0.95</formula>
      <formula>1</formula>
    </cfRule>
    <cfRule type="cellIs" dxfId="8219" priority="9486" stopIfTrue="1" operator="between">
      <formula>0</formula>
      <formula>0.5</formula>
    </cfRule>
  </conditionalFormatting>
  <conditionalFormatting sqref="V95">
    <cfRule type="cellIs" dxfId="8218" priority="9477" operator="between">
      <formula>0.376</formula>
      <formula>0.475</formula>
    </cfRule>
    <cfRule type="cellIs" dxfId="8217" priority="9478" operator="between">
      <formula>0.2551</formula>
      <formula>0.3751</formula>
    </cfRule>
    <cfRule type="cellIs" dxfId="8216" priority="9479" operator="greaterThan">
      <formula>0.505</formula>
    </cfRule>
    <cfRule type="cellIs" dxfId="8215" priority="9480" operator="between">
      <formula>0.48</formula>
      <formula>0.5</formula>
    </cfRule>
    <cfRule type="cellIs" dxfId="8214" priority="9481" stopIfTrue="1" operator="between">
      <formula>0</formula>
      <formula>0.255</formula>
    </cfRule>
  </conditionalFormatting>
  <conditionalFormatting sqref="AF96:AF117 R96:R117 Y96:Y117 AH96:AI117">
    <cfRule type="cellIs" dxfId="8213" priority="9472" operator="between">
      <formula>0.76</formula>
      <formula>0.95</formula>
    </cfRule>
    <cfRule type="cellIs" dxfId="8212" priority="9473" operator="between">
      <formula>0.51</formula>
      <formula>0.75</formula>
    </cfRule>
    <cfRule type="cellIs" dxfId="8211" priority="9474" operator="greaterThan">
      <formula>1</formula>
    </cfRule>
    <cfRule type="cellIs" dxfId="8210" priority="9475" operator="between">
      <formula>0.95</formula>
      <formula>1</formula>
    </cfRule>
    <cfRule type="cellIs" dxfId="8209" priority="9476" stopIfTrue="1" operator="between">
      <formula>0</formula>
      <formula>0.5</formula>
    </cfRule>
  </conditionalFormatting>
  <conditionalFormatting sqref="T96:T117">
    <cfRule type="cellIs" dxfId="8208" priority="9467" operator="between">
      <formula>0.3751</formula>
      <formula>0.475</formula>
    </cfRule>
    <cfRule type="cellIs" dxfId="8207" priority="9468" operator="between">
      <formula>0.2551</formula>
      <formula>0.375</formula>
    </cfRule>
    <cfRule type="cellIs" dxfId="8206" priority="9469" operator="greaterThan">
      <formula>0.505</formula>
    </cfRule>
    <cfRule type="cellIs" dxfId="8205" priority="9470" operator="between">
      <formula>0.48</formula>
      <formula>0.5</formula>
    </cfRule>
    <cfRule type="cellIs" dxfId="8204" priority="9471" stopIfTrue="1" operator="between">
      <formula>0</formula>
      <formula>0.255</formula>
    </cfRule>
  </conditionalFormatting>
  <conditionalFormatting sqref="AA96:AB117">
    <cfRule type="cellIs" dxfId="8203" priority="9462" operator="between">
      <formula>0.56251</formula>
      <formula>0.7125</formula>
    </cfRule>
    <cfRule type="cellIs" dxfId="8202" priority="9463" operator="between">
      <formula>0.3751</formula>
      <formula>0.5625</formula>
    </cfRule>
    <cfRule type="cellIs" dxfId="8201" priority="9464" operator="greaterThan">
      <formula>0.751</formula>
    </cfRule>
    <cfRule type="cellIs" dxfId="8200" priority="9465" operator="between">
      <formula>0.71251</formula>
      <formula>0.75</formula>
    </cfRule>
    <cfRule type="cellIs" dxfId="8199" priority="9466" stopIfTrue="1" operator="between">
      <formula>0</formula>
      <formula>0.375</formula>
    </cfRule>
  </conditionalFormatting>
  <conditionalFormatting sqref="U96:U117">
    <cfRule type="cellIs" dxfId="8198" priority="9452" operator="between">
      <formula>0.376</formula>
      <formula>0.475</formula>
    </cfRule>
    <cfRule type="cellIs" dxfId="8197" priority="9453" operator="between">
      <formula>0.2551</formula>
      <formula>0.3751</formula>
    </cfRule>
    <cfRule type="cellIs" dxfId="8196" priority="9454" operator="greaterThan">
      <formula>0.505</formula>
    </cfRule>
    <cfRule type="cellIs" dxfId="8195" priority="9455" operator="between">
      <formula>0.48</formula>
      <formula>0.5</formula>
    </cfRule>
    <cfRule type="cellIs" dxfId="8194" priority="9456" stopIfTrue="1" operator="between">
      <formula>0</formula>
      <formula>0.255</formula>
    </cfRule>
  </conditionalFormatting>
  <conditionalFormatting sqref="Z96 Z99 Z101:Z102 Z104 Z106:Z107 Z111:Z114 Z116:Z117">
    <cfRule type="cellIs" dxfId="8193" priority="9432" operator="between">
      <formula>0.76</formula>
      <formula>0.95</formula>
    </cfRule>
    <cfRule type="cellIs" dxfId="8192" priority="9433" operator="between">
      <formula>0.51</formula>
      <formula>0.75</formula>
    </cfRule>
    <cfRule type="cellIs" dxfId="8191" priority="9434" operator="greaterThan">
      <formula>1</formula>
    </cfRule>
    <cfRule type="cellIs" dxfId="8190" priority="9435" operator="between">
      <formula>0.95</formula>
      <formula>1</formula>
    </cfRule>
    <cfRule type="cellIs" dxfId="8189" priority="9436" stopIfTrue="1" operator="between">
      <formula>0</formula>
      <formula>0.5</formula>
    </cfRule>
  </conditionalFormatting>
  <conditionalFormatting sqref="AC96:AC117">
    <cfRule type="cellIs" dxfId="8188" priority="9427" operator="between">
      <formula>0.56251</formula>
      <formula>0.7125</formula>
    </cfRule>
    <cfRule type="cellIs" dxfId="8187" priority="9428" operator="between">
      <formula>0.3751</formula>
      <formula>0.5625</formula>
    </cfRule>
    <cfRule type="cellIs" dxfId="8186" priority="9429" operator="greaterThan">
      <formula>0.751</formula>
    </cfRule>
    <cfRule type="cellIs" dxfId="8185" priority="9430" operator="between">
      <formula>0.71251</formula>
      <formula>0.75</formula>
    </cfRule>
    <cfRule type="cellIs" dxfId="8184" priority="9431" stopIfTrue="1" operator="between">
      <formula>0</formula>
      <formula>0.375</formula>
    </cfRule>
  </conditionalFormatting>
  <conditionalFormatting sqref="AG96:AG98 AG100 AG103 AG105:AG106 AG108:AG110 AG112:AG114 AG116:AG117">
    <cfRule type="cellIs" dxfId="8183" priority="9412" operator="between">
      <formula>0.76</formula>
      <formula>0.95</formula>
    </cfRule>
    <cfRule type="cellIs" dxfId="8182" priority="9413" operator="between">
      <formula>0.51</formula>
      <formula>0.75</formula>
    </cfRule>
    <cfRule type="cellIs" dxfId="8181" priority="9414" operator="greaterThan">
      <formula>1</formula>
    </cfRule>
    <cfRule type="cellIs" dxfId="8180" priority="9415" operator="between">
      <formula>0.95</formula>
      <formula>1</formula>
    </cfRule>
    <cfRule type="cellIs" dxfId="8179" priority="9416" stopIfTrue="1" operator="between">
      <formula>0</formula>
      <formula>0.5</formula>
    </cfRule>
  </conditionalFormatting>
  <conditionalFormatting sqref="S96:S117">
    <cfRule type="cellIs" dxfId="8178" priority="9407" operator="between">
      <formula>0.76</formula>
      <formula>0.95</formula>
    </cfRule>
    <cfRule type="cellIs" dxfId="8177" priority="9408" operator="between">
      <formula>0.51</formula>
      <formula>0.75</formula>
    </cfRule>
    <cfRule type="cellIs" dxfId="8176" priority="9409" operator="greaterThan">
      <formula>1</formula>
    </cfRule>
    <cfRule type="cellIs" dxfId="8175" priority="9410" operator="between">
      <formula>0.95</formula>
      <formula>1</formula>
    </cfRule>
    <cfRule type="cellIs" dxfId="8174" priority="9411" stopIfTrue="1" operator="between">
      <formula>0</formula>
      <formula>0.5</formula>
    </cfRule>
  </conditionalFormatting>
  <conditionalFormatting sqref="V96:V117">
    <cfRule type="cellIs" dxfId="8173" priority="9402" operator="between">
      <formula>0.376</formula>
      <formula>0.475</formula>
    </cfRule>
    <cfRule type="cellIs" dxfId="8172" priority="9403" operator="between">
      <formula>0.2551</formula>
      <formula>0.3751</formula>
    </cfRule>
    <cfRule type="cellIs" dxfId="8171" priority="9404" operator="greaterThan">
      <formula>0.505</formula>
    </cfRule>
    <cfRule type="cellIs" dxfId="8170" priority="9405" operator="between">
      <formula>0.48</formula>
      <formula>0.5</formula>
    </cfRule>
    <cfRule type="cellIs" dxfId="8169" priority="9406" stopIfTrue="1" operator="between">
      <formula>0</formula>
      <formula>0.255</formula>
    </cfRule>
  </conditionalFormatting>
  <conditionalFormatting sqref="Z97:Z98">
    <cfRule type="cellIs" dxfId="8168" priority="9397" operator="between">
      <formula>0.76</formula>
      <formula>0.95</formula>
    </cfRule>
    <cfRule type="cellIs" dxfId="8167" priority="9398" operator="between">
      <formula>0.51</formula>
      <formula>0.75</formula>
    </cfRule>
    <cfRule type="cellIs" dxfId="8166" priority="9399" operator="greaterThan">
      <formula>1</formula>
    </cfRule>
    <cfRule type="cellIs" dxfId="8165" priority="9400" operator="between">
      <formula>0.95</formula>
      <formula>1</formula>
    </cfRule>
    <cfRule type="cellIs" dxfId="8164" priority="9401" stopIfTrue="1" operator="between">
      <formula>0</formula>
      <formula>0.5</formula>
    </cfRule>
  </conditionalFormatting>
  <conditionalFormatting sqref="Z100">
    <cfRule type="cellIs" dxfId="8163" priority="9392" operator="between">
      <formula>0.76</formula>
      <formula>0.95</formula>
    </cfRule>
    <cfRule type="cellIs" dxfId="8162" priority="9393" operator="between">
      <formula>0.51</formula>
      <formula>0.75</formula>
    </cfRule>
    <cfRule type="cellIs" dxfId="8161" priority="9394" operator="greaterThan">
      <formula>1</formula>
    </cfRule>
    <cfRule type="cellIs" dxfId="8160" priority="9395" operator="between">
      <formula>0.95</formula>
      <formula>1</formula>
    </cfRule>
    <cfRule type="cellIs" dxfId="8159" priority="9396" stopIfTrue="1" operator="between">
      <formula>0</formula>
      <formula>0.5</formula>
    </cfRule>
  </conditionalFormatting>
  <conditionalFormatting sqref="Z103">
    <cfRule type="cellIs" dxfId="8158" priority="9387" operator="between">
      <formula>0.76</formula>
      <formula>0.95</formula>
    </cfRule>
    <cfRule type="cellIs" dxfId="8157" priority="9388" operator="between">
      <formula>0.51</formula>
      <formula>0.75</formula>
    </cfRule>
    <cfRule type="cellIs" dxfId="8156" priority="9389" operator="greaterThan">
      <formula>1</formula>
    </cfRule>
    <cfRule type="cellIs" dxfId="8155" priority="9390" operator="between">
      <formula>0.95</formula>
      <formula>1</formula>
    </cfRule>
    <cfRule type="cellIs" dxfId="8154" priority="9391" stopIfTrue="1" operator="between">
      <formula>0</formula>
      <formula>0.5</formula>
    </cfRule>
  </conditionalFormatting>
  <conditionalFormatting sqref="Z105">
    <cfRule type="cellIs" dxfId="8153" priority="9382" operator="between">
      <formula>0.76</formula>
      <formula>0.95</formula>
    </cfRule>
    <cfRule type="cellIs" dxfId="8152" priority="9383" operator="between">
      <formula>0.51</formula>
      <formula>0.75</formula>
    </cfRule>
    <cfRule type="cellIs" dxfId="8151" priority="9384" operator="greaterThan">
      <formula>1</formula>
    </cfRule>
    <cfRule type="cellIs" dxfId="8150" priority="9385" operator="between">
      <formula>0.95</formula>
      <formula>1</formula>
    </cfRule>
    <cfRule type="cellIs" dxfId="8149" priority="9386" stopIfTrue="1" operator="between">
      <formula>0</formula>
      <formula>0.5</formula>
    </cfRule>
  </conditionalFormatting>
  <conditionalFormatting sqref="Z108">
    <cfRule type="cellIs" dxfId="8148" priority="9377" operator="between">
      <formula>0.76</formula>
      <formula>0.95</formula>
    </cfRule>
    <cfRule type="cellIs" dxfId="8147" priority="9378" operator="between">
      <formula>0.51</formula>
      <formula>0.75</formula>
    </cfRule>
    <cfRule type="cellIs" dxfId="8146" priority="9379" operator="greaterThan">
      <formula>1</formula>
    </cfRule>
    <cfRule type="cellIs" dxfId="8145" priority="9380" operator="between">
      <formula>0.95</formula>
      <formula>1</formula>
    </cfRule>
    <cfRule type="cellIs" dxfId="8144" priority="9381" stopIfTrue="1" operator="between">
      <formula>0</formula>
      <formula>0.5</formula>
    </cfRule>
  </conditionalFormatting>
  <conditionalFormatting sqref="Z109:Z110">
    <cfRule type="cellIs" dxfId="8143" priority="9372" operator="between">
      <formula>0.76</formula>
      <formula>0.95</formula>
    </cfRule>
    <cfRule type="cellIs" dxfId="8142" priority="9373" operator="between">
      <formula>0.51</formula>
      <formula>0.75</formula>
    </cfRule>
    <cfRule type="cellIs" dxfId="8141" priority="9374" operator="greaterThan">
      <formula>1</formula>
    </cfRule>
    <cfRule type="cellIs" dxfId="8140" priority="9375" operator="between">
      <formula>0.95</formula>
      <formula>1</formula>
    </cfRule>
    <cfRule type="cellIs" dxfId="8139" priority="9376" stopIfTrue="1" operator="between">
      <formula>0</formula>
      <formula>0.5</formula>
    </cfRule>
  </conditionalFormatting>
  <conditionalFormatting sqref="AG99">
    <cfRule type="cellIs" dxfId="8138" priority="9357" operator="between">
      <formula>0.76</formula>
      <formula>0.95</formula>
    </cfRule>
    <cfRule type="cellIs" dxfId="8137" priority="9358" operator="between">
      <formula>0.51</formula>
      <formula>0.75</formula>
    </cfRule>
    <cfRule type="cellIs" dxfId="8136" priority="9359" operator="greaterThan">
      <formula>1</formula>
    </cfRule>
    <cfRule type="cellIs" dxfId="8135" priority="9360" operator="between">
      <formula>0.95</formula>
      <formula>1</formula>
    </cfRule>
    <cfRule type="cellIs" dxfId="8134" priority="9361" stopIfTrue="1" operator="between">
      <formula>0</formula>
      <formula>0.5</formula>
    </cfRule>
  </conditionalFormatting>
  <conditionalFormatting sqref="AG101">
    <cfRule type="cellIs" dxfId="8133" priority="9352" operator="between">
      <formula>0.76</formula>
      <formula>0.95</formula>
    </cfRule>
    <cfRule type="cellIs" dxfId="8132" priority="9353" operator="between">
      <formula>0.51</formula>
      <formula>0.75</formula>
    </cfRule>
    <cfRule type="cellIs" dxfId="8131" priority="9354" operator="greaterThan">
      <formula>1</formula>
    </cfRule>
    <cfRule type="cellIs" dxfId="8130" priority="9355" operator="between">
      <formula>0.95</formula>
      <formula>1</formula>
    </cfRule>
    <cfRule type="cellIs" dxfId="8129" priority="9356" stopIfTrue="1" operator="between">
      <formula>0</formula>
      <formula>0.5</formula>
    </cfRule>
  </conditionalFormatting>
  <conditionalFormatting sqref="AG102">
    <cfRule type="cellIs" dxfId="8128" priority="9347" operator="between">
      <formula>0.76</formula>
      <formula>0.95</formula>
    </cfRule>
    <cfRule type="cellIs" dxfId="8127" priority="9348" operator="between">
      <formula>0.51</formula>
      <formula>0.75</formula>
    </cfRule>
    <cfRule type="cellIs" dxfId="8126" priority="9349" operator="greaterThan">
      <formula>1</formula>
    </cfRule>
    <cfRule type="cellIs" dxfId="8125" priority="9350" operator="between">
      <formula>0.95</formula>
      <formula>1</formula>
    </cfRule>
    <cfRule type="cellIs" dxfId="8124" priority="9351" stopIfTrue="1" operator="between">
      <formula>0</formula>
      <formula>0.5</formula>
    </cfRule>
  </conditionalFormatting>
  <conditionalFormatting sqref="AG104">
    <cfRule type="cellIs" dxfId="8123" priority="9342" operator="between">
      <formula>0.76</formula>
      <formula>0.95</formula>
    </cfRule>
    <cfRule type="cellIs" dxfId="8122" priority="9343" operator="between">
      <formula>0.51</formula>
      <formula>0.75</formula>
    </cfRule>
    <cfRule type="cellIs" dxfId="8121" priority="9344" operator="greaterThan">
      <formula>1</formula>
    </cfRule>
    <cfRule type="cellIs" dxfId="8120" priority="9345" operator="between">
      <formula>0.95</formula>
      <formula>1</formula>
    </cfRule>
    <cfRule type="cellIs" dxfId="8119" priority="9346" stopIfTrue="1" operator="between">
      <formula>0</formula>
      <formula>0.5</formula>
    </cfRule>
  </conditionalFormatting>
  <conditionalFormatting sqref="AG107">
    <cfRule type="cellIs" dxfId="8118" priority="9337" operator="between">
      <formula>0.76</formula>
      <formula>0.95</formula>
    </cfRule>
    <cfRule type="cellIs" dxfId="8117" priority="9338" operator="between">
      <formula>0.51</formula>
      <formula>0.75</formula>
    </cfRule>
    <cfRule type="cellIs" dxfId="8116" priority="9339" operator="greaterThan">
      <formula>1</formula>
    </cfRule>
    <cfRule type="cellIs" dxfId="8115" priority="9340" operator="between">
      <formula>0.95</formula>
      <formula>1</formula>
    </cfRule>
    <cfRule type="cellIs" dxfId="8114" priority="9341" stopIfTrue="1" operator="between">
      <formula>0</formula>
      <formula>0.5</formula>
    </cfRule>
  </conditionalFormatting>
  <conditionalFormatting sqref="AG111">
    <cfRule type="cellIs" dxfId="8113" priority="9332" operator="between">
      <formula>0.76</formula>
      <formula>0.95</formula>
    </cfRule>
    <cfRule type="cellIs" dxfId="8112" priority="9333" operator="between">
      <formula>0.51</formula>
      <formula>0.75</formula>
    </cfRule>
    <cfRule type="cellIs" dxfId="8111" priority="9334" operator="greaterThan">
      <formula>1</formula>
    </cfRule>
    <cfRule type="cellIs" dxfId="8110" priority="9335" operator="between">
      <formula>0.95</formula>
      <formula>1</formula>
    </cfRule>
    <cfRule type="cellIs" dxfId="8109" priority="9336" stopIfTrue="1" operator="between">
      <formula>0</formula>
      <formula>0.5</formula>
    </cfRule>
  </conditionalFormatting>
  <conditionalFormatting sqref="Z115">
    <cfRule type="cellIs" dxfId="8108" priority="9317" operator="between">
      <formula>0.76</formula>
      <formula>0.95</formula>
    </cfRule>
    <cfRule type="cellIs" dxfId="8107" priority="9318" operator="between">
      <formula>0.51</formula>
      <formula>0.75</formula>
    </cfRule>
    <cfRule type="cellIs" dxfId="8106" priority="9319" operator="greaterThan">
      <formula>1</formula>
    </cfRule>
    <cfRule type="cellIs" dxfId="8105" priority="9320" operator="between">
      <formula>0.95</formula>
      <formula>1</formula>
    </cfRule>
    <cfRule type="cellIs" dxfId="8104" priority="9321" stopIfTrue="1" operator="between">
      <formula>0</formula>
      <formula>0.5</formula>
    </cfRule>
  </conditionalFormatting>
  <conditionalFormatting sqref="AG115">
    <cfRule type="cellIs" dxfId="8103" priority="9312" operator="between">
      <formula>0.76</formula>
      <formula>0.95</formula>
    </cfRule>
    <cfRule type="cellIs" dxfId="8102" priority="9313" operator="between">
      <formula>0.51</formula>
      <formula>0.75</formula>
    </cfRule>
    <cfRule type="cellIs" dxfId="8101" priority="9314" operator="greaterThan">
      <formula>1</formula>
    </cfRule>
    <cfRule type="cellIs" dxfId="8100" priority="9315" operator="between">
      <formula>0.95</formula>
      <formula>1</formula>
    </cfRule>
    <cfRule type="cellIs" dxfId="8099" priority="9316" stopIfTrue="1" operator="between">
      <formula>0</formula>
      <formula>0.5</formula>
    </cfRule>
  </conditionalFormatting>
  <conditionalFormatting sqref="AF118 R118 Y118 AH118:AI118">
    <cfRule type="cellIs" dxfId="8098" priority="9307" operator="between">
      <formula>0.76</formula>
      <formula>0.95</formula>
    </cfRule>
    <cfRule type="cellIs" dxfId="8097" priority="9308" operator="between">
      <formula>0.51</formula>
      <formula>0.75</formula>
    </cfRule>
    <cfRule type="cellIs" dxfId="8096" priority="9309" operator="greaterThan">
      <formula>1</formula>
    </cfRule>
    <cfRule type="cellIs" dxfId="8095" priority="9310" operator="between">
      <formula>0.95</formula>
      <formula>1</formula>
    </cfRule>
    <cfRule type="cellIs" dxfId="8094" priority="9311" stopIfTrue="1" operator="between">
      <formula>0</formula>
      <formula>0.5</formula>
    </cfRule>
  </conditionalFormatting>
  <conditionalFormatting sqref="T118">
    <cfRule type="cellIs" dxfId="8093" priority="9302" operator="between">
      <formula>0.3751</formula>
      <formula>0.475</formula>
    </cfRule>
    <cfRule type="cellIs" dxfId="8092" priority="9303" operator="between">
      <formula>0.2551</formula>
      <formula>0.375</formula>
    </cfRule>
    <cfRule type="cellIs" dxfId="8091" priority="9304" operator="greaterThan">
      <formula>0.505</formula>
    </cfRule>
    <cfRule type="cellIs" dxfId="8090" priority="9305" operator="between">
      <formula>0.48</formula>
      <formula>0.5</formula>
    </cfRule>
    <cfRule type="cellIs" dxfId="8089" priority="9306" stopIfTrue="1" operator="between">
      <formula>0</formula>
      <formula>0.255</formula>
    </cfRule>
  </conditionalFormatting>
  <conditionalFormatting sqref="AA118:AB118">
    <cfRule type="cellIs" dxfId="8088" priority="9297" operator="between">
      <formula>0.56251</formula>
      <formula>0.7125</formula>
    </cfRule>
    <cfRule type="cellIs" dxfId="8087" priority="9298" operator="between">
      <formula>0.3751</formula>
      <formula>0.5625</formula>
    </cfRule>
    <cfRule type="cellIs" dxfId="8086" priority="9299" operator="greaterThan">
      <formula>0.751</formula>
    </cfRule>
    <cfRule type="cellIs" dxfId="8085" priority="9300" operator="between">
      <formula>0.71251</formula>
      <formula>0.75</formula>
    </cfRule>
    <cfRule type="cellIs" dxfId="8084" priority="9301" stopIfTrue="1" operator="between">
      <formula>0</formula>
      <formula>0.375</formula>
    </cfRule>
  </conditionalFormatting>
  <conditionalFormatting sqref="U118">
    <cfRule type="cellIs" dxfId="8083" priority="9287" operator="between">
      <formula>0.376</formula>
      <formula>0.475</formula>
    </cfRule>
    <cfRule type="cellIs" dxfId="8082" priority="9288" operator="between">
      <formula>0.2551</formula>
      <formula>0.3751</formula>
    </cfRule>
    <cfRule type="cellIs" dxfId="8081" priority="9289" operator="greaterThan">
      <formula>0.505</formula>
    </cfRule>
    <cfRule type="cellIs" dxfId="8080" priority="9290" operator="between">
      <formula>0.48</formula>
      <formula>0.5</formula>
    </cfRule>
    <cfRule type="cellIs" dxfId="8079" priority="9291" stopIfTrue="1" operator="between">
      <formula>0</formula>
      <formula>0.255</formula>
    </cfRule>
  </conditionalFormatting>
  <conditionalFormatting sqref="Z118">
    <cfRule type="cellIs" dxfId="8078" priority="9267" operator="between">
      <formula>0.76</formula>
      <formula>0.95</formula>
    </cfRule>
    <cfRule type="cellIs" dxfId="8077" priority="9268" operator="between">
      <formula>0.51</formula>
      <formula>0.75</formula>
    </cfRule>
    <cfRule type="cellIs" dxfId="8076" priority="9269" operator="greaterThan">
      <formula>1</formula>
    </cfRule>
    <cfRule type="cellIs" dxfId="8075" priority="9270" operator="between">
      <formula>0.95</formula>
      <formula>1</formula>
    </cfRule>
    <cfRule type="cellIs" dxfId="8074" priority="9271" stopIfTrue="1" operator="between">
      <formula>0</formula>
      <formula>0.5</formula>
    </cfRule>
  </conditionalFormatting>
  <conditionalFormatting sqref="AG118">
    <cfRule type="cellIs" dxfId="8073" priority="9247" operator="between">
      <formula>0.76</formula>
      <formula>0.95</formula>
    </cfRule>
    <cfRule type="cellIs" dxfId="8072" priority="9248" operator="between">
      <formula>0.51</formula>
      <formula>0.75</formula>
    </cfRule>
    <cfRule type="cellIs" dxfId="8071" priority="9249" operator="greaterThan">
      <formula>1</formula>
    </cfRule>
    <cfRule type="cellIs" dxfId="8070" priority="9250" operator="between">
      <formula>0.95</formula>
      <formula>1</formula>
    </cfRule>
    <cfRule type="cellIs" dxfId="8069" priority="9251" stopIfTrue="1" operator="between">
      <formula>0</formula>
      <formula>0.5</formula>
    </cfRule>
  </conditionalFormatting>
  <conditionalFormatting sqref="Z119">
    <cfRule type="cellIs" dxfId="8068" priority="9137" operator="between">
      <formula>0.76</formula>
      <formula>0.95</formula>
    </cfRule>
    <cfRule type="cellIs" dxfId="8067" priority="9138" operator="between">
      <formula>0.51</formula>
      <formula>0.75</formula>
    </cfRule>
    <cfRule type="cellIs" dxfId="8066" priority="9139" operator="greaterThan">
      <formula>1</formula>
    </cfRule>
    <cfRule type="cellIs" dxfId="8065" priority="9140" operator="between">
      <formula>0.95</formula>
      <formula>1</formula>
    </cfRule>
    <cfRule type="cellIs" dxfId="8064" priority="9141" stopIfTrue="1" operator="between">
      <formula>0</formula>
      <formula>0.5</formula>
    </cfRule>
  </conditionalFormatting>
  <conditionalFormatting sqref="V118">
    <cfRule type="cellIs" dxfId="8063" priority="9237" operator="between">
      <formula>0.376</formula>
      <formula>0.475</formula>
    </cfRule>
    <cfRule type="cellIs" dxfId="8062" priority="9238" operator="between">
      <formula>0.2551</formula>
      <formula>0.3751</formula>
    </cfRule>
    <cfRule type="cellIs" dxfId="8061" priority="9239" operator="greaterThan">
      <formula>0.505</formula>
    </cfRule>
    <cfRule type="cellIs" dxfId="8060" priority="9240" operator="between">
      <formula>0.48</formula>
      <formula>0.5</formula>
    </cfRule>
    <cfRule type="cellIs" dxfId="8059" priority="9241" stopIfTrue="1" operator="between">
      <formula>0</formula>
      <formula>0.255</formula>
    </cfRule>
  </conditionalFormatting>
  <conditionalFormatting sqref="S118">
    <cfRule type="cellIs" dxfId="8058" priority="9232" operator="between">
      <formula>0.76</formula>
      <formula>0.95</formula>
    </cfRule>
    <cfRule type="cellIs" dxfId="8057" priority="9233" operator="between">
      <formula>0.51</formula>
      <formula>0.75</formula>
    </cfRule>
    <cfRule type="cellIs" dxfId="8056" priority="9234" operator="greaterThan">
      <formula>1</formula>
    </cfRule>
    <cfRule type="cellIs" dxfId="8055" priority="9235" operator="between">
      <formula>0.95</formula>
      <formula>1</formula>
    </cfRule>
    <cfRule type="cellIs" dxfId="8054" priority="9236" stopIfTrue="1" operator="between">
      <formula>0</formula>
      <formula>0.5</formula>
    </cfRule>
  </conditionalFormatting>
  <conditionalFormatting sqref="AC118">
    <cfRule type="cellIs" dxfId="8053" priority="9227" operator="between">
      <formula>0.56251</formula>
      <formula>0.7125</formula>
    </cfRule>
    <cfRule type="cellIs" dxfId="8052" priority="9228" operator="between">
      <formula>0.3751</formula>
      <formula>0.5625</formula>
    </cfRule>
    <cfRule type="cellIs" dxfId="8051" priority="9229" operator="greaterThan">
      <formula>0.751</formula>
    </cfRule>
    <cfRule type="cellIs" dxfId="8050" priority="9230" operator="between">
      <formula>0.71251</formula>
      <formula>0.75</formula>
    </cfRule>
    <cfRule type="cellIs" dxfId="8049" priority="9231" stopIfTrue="1" operator="between">
      <formula>0</formula>
      <formula>0.375</formula>
    </cfRule>
  </conditionalFormatting>
  <conditionalFormatting sqref="AF119 R119 Y119 AH119:AI119">
    <cfRule type="cellIs" dxfId="8048" priority="9222" operator="between">
      <formula>0.76</formula>
      <formula>0.95</formula>
    </cfRule>
    <cfRule type="cellIs" dxfId="8047" priority="9223" operator="between">
      <formula>0.51</formula>
      <formula>0.75</formula>
    </cfRule>
    <cfRule type="cellIs" dxfId="8046" priority="9224" operator="greaterThan">
      <formula>1</formula>
    </cfRule>
    <cfRule type="cellIs" dxfId="8045" priority="9225" operator="between">
      <formula>0.95</formula>
      <formula>1</formula>
    </cfRule>
    <cfRule type="cellIs" dxfId="8044" priority="9226" stopIfTrue="1" operator="between">
      <formula>0</formula>
      <formula>0.5</formula>
    </cfRule>
  </conditionalFormatting>
  <conditionalFormatting sqref="T119">
    <cfRule type="cellIs" dxfId="8043" priority="9217" operator="between">
      <formula>0.3751</formula>
      <formula>0.475</formula>
    </cfRule>
    <cfRule type="cellIs" dxfId="8042" priority="9218" operator="between">
      <formula>0.2551</formula>
      <formula>0.375</formula>
    </cfRule>
    <cfRule type="cellIs" dxfId="8041" priority="9219" operator="greaterThan">
      <formula>0.505</formula>
    </cfRule>
    <cfRule type="cellIs" dxfId="8040" priority="9220" operator="between">
      <formula>0.48</formula>
      <formula>0.5</formula>
    </cfRule>
    <cfRule type="cellIs" dxfId="8039" priority="9221" stopIfTrue="1" operator="between">
      <formula>0</formula>
      <formula>0.255</formula>
    </cfRule>
  </conditionalFormatting>
  <conditionalFormatting sqref="AA119:AB119">
    <cfRule type="cellIs" dxfId="8038" priority="9212" operator="between">
      <formula>0.56251</formula>
      <formula>0.7125</formula>
    </cfRule>
    <cfRule type="cellIs" dxfId="8037" priority="9213" operator="between">
      <formula>0.3751</formula>
      <formula>0.5625</formula>
    </cfRule>
    <cfRule type="cellIs" dxfId="8036" priority="9214" operator="greaterThan">
      <formula>0.751</formula>
    </cfRule>
    <cfRule type="cellIs" dxfId="8035" priority="9215" operator="between">
      <formula>0.71251</formula>
      <formula>0.75</formula>
    </cfRule>
    <cfRule type="cellIs" dxfId="8034" priority="9216" stopIfTrue="1" operator="between">
      <formula>0</formula>
      <formula>0.375</formula>
    </cfRule>
  </conditionalFormatting>
  <conditionalFormatting sqref="U119">
    <cfRule type="cellIs" dxfId="8033" priority="9202" operator="between">
      <formula>0.376</formula>
      <formula>0.475</formula>
    </cfRule>
    <cfRule type="cellIs" dxfId="8032" priority="9203" operator="between">
      <formula>0.2551</formula>
      <formula>0.3751</formula>
    </cfRule>
    <cfRule type="cellIs" dxfId="8031" priority="9204" operator="greaterThan">
      <formula>0.505</formula>
    </cfRule>
    <cfRule type="cellIs" dxfId="8030" priority="9205" operator="between">
      <formula>0.48</formula>
      <formula>0.5</formula>
    </cfRule>
    <cfRule type="cellIs" dxfId="8029" priority="9206" stopIfTrue="1" operator="between">
      <formula>0</formula>
      <formula>0.255</formula>
    </cfRule>
  </conditionalFormatting>
  <conditionalFormatting sqref="S119">
    <cfRule type="cellIs" dxfId="8028" priority="9157" operator="between">
      <formula>0.76</formula>
      <formula>0.95</formula>
    </cfRule>
    <cfRule type="cellIs" dxfId="8027" priority="9158" operator="between">
      <formula>0.51</formula>
      <formula>0.75</formula>
    </cfRule>
    <cfRule type="cellIs" dxfId="8026" priority="9159" operator="greaterThan">
      <formula>1</formula>
    </cfRule>
    <cfRule type="cellIs" dxfId="8025" priority="9160" operator="between">
      <formula>0.95</formula>
      <formula>1</formula>
    </cfRule>
    <cfRule type="cellIs" dxfId="8024" priority="9161" stopIfTrue="1" operator="between">
      <formula>0</formula>
      <formula>0.5</formula>
    </cfRule>
  </conditionalFormatting>
  <conditionalFormatting sqref="V119">
    <cfRule type="cellIs" dxfId="8023" priority="9162" operator="between">
      <formula>0.376</formula>
      <formula>0.475</formula>
    </cfRule>
    <cfRule type="cellIs" dxfId="8022" priority="9163" operator="between">
      <formula>0.2551</formula>
      <formula>0.3751</formula>
    </cfRule>
    <cfRule type="cellIs" dxfId="8021" priority="9164" operator="greaterThan">
      <formula>0.505</formula>
    </cfRule>
    <cfRule type="cellIs" dxfId="8020" priority="9165" operator="between">
      <formula>0.48</formula>
      <formula>0.5</formula>
    </cfRule>
    <cfRule type="cellIs" dxfId="8019" priority="9166" stopIfTrue="1" operator="between">
      <formula>0</formula>
      <formula>0.255</formula>
    </cfRule>
  </conditionalFormatting>
  <conditionalFormatting sqref="AC119">
    <cfRule type="cellIs" dxfId="8018" priority="9152" operator="between">
      <formula>0.56251</formula>
      <formula>0.7125</formula>
    </cfRule>
    <cfRule type="cellIs" dxfId="8017" priority="9153" operator="between">
      <formula>0.3751</formula>
      <formula>0.5625</formula>
    </cfRule>
    <cfRule type="cellIs" dxfId="8016" priority="9154" operator="greaterThan">
      <formula>0.751</formula>
    </cfRule>
    <cfRule type="cellIs" dxfId="8015" priority="9155" operator="between">
      <formula>0.71251</formula>
      <formula>0.75</formula>
    </cfRule>
    <cfRule type="cellIs" dxfId="8014" priority="9156" stopIfTrue="1" operator="between">
      <formula>0</formula>
      <formula>0.375</formula>
    </cfRule>
  </conditionalFormatting>
  <conditionalFormatting sqref="AG119">
    <cfRule type="cellIs" dxfId="8013" priority="9132" operator="between">
      <formula>0.76</formula>
      <formula>0.95</formula>
    </cfRule>
    <cfRule type="cellIs" dxfId="8012" priority="9133" operator="between">
      <formula>0.51</formula>
      <formula>0.75</formula>
    </cfRule>
    <cfRule type="cellIs" dxfId="8011" priority="9134" operator="greaterThan">
      <formula>1</formula>
    </cfRule>
    <cfRule type="cellIs" dxfId="8010" priority="9135" operator="between">
      <formula>0.95</formula>
      <formula>1</formula>
    </cfRule>
    <cfRule type="cellIs" dxfId="8009" priority="9136" stopIfTrue="1" operator="between">
      <formula>0</formula>
      <formula>0.5</formula>
    </cfRule>
  </conditionalFormatting>
  <conditionalFormatting sqref="Z120">
    <cfRule type="cellIs" dxfId="8008" priority="9062" operator="between">
      <formula>0.76</formula>
      <formula>0.95</formula>
    </cfRule>
    <cfRule type="cellIs" dxfId="8007" priority="9063" operator="between">
      <formula>0.51</formula>
      <formula>0.75</formula>
    </cfRule>
    <cfRule type="cellIs" dxfId="8006" priority="9064" operator="greaterThan">
      <formula>1</formula>
    </cfRule>
    <cfRule type="cellIs" dxfId="8005" priority="9065" operator="between">
      <formula>0.95</formula>
      <formula>1</formula>
    </cfRule>
    <cfRule type="cellIs" dxfId="8004" priority="9066" stopIfTrue="1" operator="between">
      <formula>0</formula>
      <formula>0.5</formula>
    </cfRule>
  </conditionalFormatting>
  <conditionalFormatting sqref="AF120 R120 Y120 AH120:AI120">
    <cfRule type="cellIs" dxfId="8003" priority="9127" operator="between">
      <formula>0.76</formula>
      <formula>0.95</formula>
    </cfRule>
    <cfRule type="cellIs" dxfId="8002" priority="9128" operator="between">
      <formula>0.51</formula>
      <formula>0.75</formula>
    </cfRule>
    <cfRule type="cellIs" dxfId="8001" priority="9129" operator="greaterThan">
      <formula>1</formula>
    </cfRule>
    <cfRule type="cellIs" dxfId="8000" priority="9130" operator="between">
      <formula>0.95</formula>
      <formula>1</formula>
    </cfRule>
    <cfRule type="cellIs" dxfId="7999" priority="9131" stopIfTrue="1" operator="between">
      <formula>0</formula>
      <formula>0.5</formula>
    </cfRule>
  </conditionalFormatting>
  <conditionalFormatting sqref="T120">
    <cfRule type="cellIs" dxfId="7998" priority="9122" operator="between">
      <formula>0.3751</formula>
      <formula>0.475</formula>
    </cfRule>
    <cfRule type="cellIs" dxfId="7997" priority="9123" operator="between">
      <formula>0.2551</formula>
      <formula>0.375</formula>
    </cfRule>
    <cfRule type="cellIs" dxfId="7996" priority="9124" operator="greaterThan">
      <formula>0.505</formula>
    </cfRule>
    <cfRule type="cellIs" dxfId="7995" priority="9125" operator="between">
      <formula>0.48</formula>
      <formula>0.5</formula>
    </cfRule>
    <cfRule type="cellIs" dxfId="7994" priority="9126" stopIfTrue="1" operator="between">
      <formula>0</formula>
      <formula>0.255</formula>
    </cfRule>
  </conditionalFormatting>
  <conditionalFormatting sqref="AA120:AB120">
    <cfRule type="cellIs" dxfId="7993" priority="9117" operator="between">
      <formula>0.56251</formula>
      <formula>0.7125</formula>
    </cfRule>
    <cfRule type="cellIs" dxfId="7992" priority="9118" operator="between">
      <formula>0.3751</formula>
      <formula>0.5625</formula>
    </cfRule>
    <cfRule type="cellIs" dxfId="7991" priority="9119" operator="greaterThan">
      <formula>0.751</formula>
    </cfRule>
    <cfRule type="cellIs" dxfId="7990" priority="9120" operator="between">
      <formula>0.71251</formula>
      <formula>0.75</formula>
    </cfRule>
    <cfRule type="cellIs" dxfId="7989" priority="9121" stopIfTrue="1" operator="between">
      <formula>0</formula>
      <formula>0.375</formula>
    </cfRule>
  </conditionalFormatting>
  <conditionalFormatting sqref="U120">
    <cfRule type="cellIs" dxfId="7988" priority="9107" operator="between">
      <formula>0.376</formula>
      <formula>0.475</formula>
    </cfRule>
    <cfRule type="cellIs" dxfId="7987" priority="9108" operator="between">
      <formula>0.2551</formula>
      <formula>0.3751</formula>
    </cfRule>
    <cfRule type="cellIs" dxfId="7986" priority="9109" operator="greaterThan">
      <formula>0.505</formula>
    </cfRule>
    <cfRule type="cellIs" dxfId="7985" priority="9110" operator="between">
      <formula>0.48</formula>
      <formula>0.5</formula>
    </cfRule>
    <cfRule type="cellIs" dxfId="7984" priority="9111" stopIfTrue="1" operator="between">
      <formula>0</formula>
      <formula>0.255</formula>
    </cfRule>
  </conditionalFormatting>
  <conditionalFormatting sqref="S120">
    <cfRule type="cellIs" dxfId="7983" priority="9082" operator="between">
      <formula>0.76</formula>
      <formula>0.95</formula>
    </cfRule>
    <cfRule type="cellIs" dxfId="7982" priority="9083" operator="between">
      <formula>0.51</formula>
      <formula>0.75</formula>
    </cfRule>
    <cfRule type="cellIs" dxfId="7981" priority="9084" operator="greaterThan">
      <formula>1</formula>
    </cfRule>
    <cfRule type="cellIs" dxfId="7980" priority="9085" operator="between">
      <formula>0.95</formula>
      <formula>1</formula>
    </cfRule>
    <cfRule type="cellIs" dxfId="7979" priority="9086" stopIfTrue="1" operator="between">
      <formula>0</formula>
      <formula>0.5</formula>
    </cfRule>
  </conditionalFormatting>
  <conditionalFormatting sqref="V120">
    <cfRule type="cellIs" dxfId="7978" priority="9087" operator="between">
      <formula>0.376</formula>
      <formula>0.475</formula>
    </cfRule>
    <cfRule type="cellIs" dxfId="7977" priority="9088" operator="between">
      <formula>0.2551</formula>
      <formula>0.3751</formula>
    </cfRule>
    <cfRule type="cellIs" dxfId="7976" priority="9089" operator="greaterThan">
      <formula>0.505</formula>
    </cfRule>
    <cfRule type="cellIs" dxfId="7975" priority="9090" operator="between">
      <formula>0.48</formula>
      <formula>0.5</formula>
    </cfRule>
    <cfRule type="cellIs" dxfId="7974" priority="9091" stopIfTrue="1" operator="between">
      <formula>0</formula>
      <formula>0.255</formula>
    </cfRule>
  </conditionalFormatting>
  <conditionalFormatting sqref="AC120">
    <cfRule type="cellIs" dxfId="7973" priority="9077" operator="between">
      <formula>0.56251</formula>
      <formula>0.7125</formula>
    </cfRule>
    <cfRule type="cellIs" dxfId="7972" priority="9078" operator="between">
      <formula>0.3751</formula>
      <formula>0.5625</formula>
    </cfRule>
    <cfRule type="cellIs" dxfId="7971" priority="9079" operator="greaterThan">
      <formula>0.751</formula>
    </cfRule>
    <cfRule type="cellIs" dxfId="7970" priority="9080" operator="between">
      <formula>0.71251</formula>
      <formula>0.75</formula>
    </cfRule>
    <cfRule type="cellIs" dxfId="7969" priority="9081" stopIfTrue="1" operator="between">
      <formula>0</formula>
      <formula>0.375</formula>
    </cfRule>
  </conditionalFormatting>
  <conditionalFormatting sqref="AG120">
    <cfRule type="cellIs" dxfId="7968" priority="9057" operator="between">
      <formula>0.76</formula>
      <formula>0.95</formula>
    </cfRule>
    <cfRule type="cellIs" dxfId="7967" priority="9058" operator="between">
      <formula>0.51</formula>
      <formula>0.75</formula>
    </cfRule>
    <cfRule type="cellIs" dxfId="7966" priority="9059" operator="greaterThan">
      <formula>1</formula>
    </cfRule>
    <cfRule type="cellIs" dxfId="7965" priority="9060" operator="between">
      <formula>0.95</formula>
      <formula>1</formula>
    </cfRule>
    <cfRule type="cellIs" dxfId="7964" priority="9061" stopIfTrue="1" operator="between">
      <formula>0</formula>
      <formula>0.5</formula>
    </cfRule>
  </conditionalFormatting>
  <conditionalFormatting sqref="AG290 AI290 S290 Z290">
    <cfRule type="cellIs" dxfId="7963" priority="9052" operator="between">
      <formula>0.76</formula>
      <formula>0.95</formula>
    </cfRule>
    <cfRule type="cellIs" dxfId="7962" priority="9053" operator="between">
      <formula>0.51</formula>
      <formula>0.75</formula>
    </cfRule>
    <cfRule type="cellIs" dxfId="7961" priority="9054" operator="greaterThan">
      <formula>1</formula>
    </cfRule>
    <cfRule type="cellIs" dxfId="7960" priority="9055" operator="between">
      <formula>0.95</formula>
      <formula>1</formula>
    </cfRule>
    <cfRule type="cellIs" dxfId="7959" priority="9056" stopIfTrue="1" operator="between">
      <formula>0</formula>
      <formula>0.5</formula>
    </cfRule>
  </conditionalFormatting>
  <conditionalFormatting sqref="R290">
    <cfRule type="cellIs" dxfId="7958" priority="9042" operator="between">
      <formula>0.76</formula>
      <formula>0.95</formula>
    </cfRule>
    <cfRule type="cellIs" dxfId="7957" priority="9043" operator="between">
      <formula>0.51</formula>
      <formula>0.75</formula>
    </cfRule>
    <cfRule type="cellIs" dxfId="7956" priority="9044" operator="greaterThan">
      <formula>1</formula>
    </cfRule>
    <cfRule type="cellIs" dxfId="7955" priority="9045" operator="between">
      <formula>0.95</formula>
      <formula>1</formula>
    </cfRule>
    <cfRule type="cellIs" dxfId="7954" priority="9046" stopIfTrue="1" operator="between">
      <formula>0</formula>
      <formula>0.5</formula>
    </cfRule>
  </conditionalFormatting>
  <conditionalFormatting sqref="Y290">
    <cfRule type="cellIs" dxfId="7953" priority="9037" operator="between">
      <formula>0.76</formula>
      <formula>0.95</formula>
    </cfRule>
    <cfRule type="cellIs" dxfId="7952" priority="9038" operator="between">
      <formula>0.51</formula>
      <formula>0.75</formula>
    </cfRule>
    <cfRule type="cellIs" dxfId="7951" priority="9039" operator="greaterThan">
      <formula>1</formula>
    </cfRule>
    <cfRule type="cellIs" dxfId="7950" priority="9040" operator="between">
      <formula>0.95</formula>
      <formula>1</formula>
    </cfRule>
    <cfRule type="cellIs" dxfId="7949" priority="9041" stopIfTrue="1" operator="between">
      <formula>0</formula>
      <formula>0.5</formula>
    </cfRule>
  </conditionalFormatting>
  <conditionalFormatting sqref="AF290">
    <cfRule type="cellIs" dxfId="7948" priority="9032" operator="between">
      <formula>0.76</formula>
      <formula>0.95</formula>
    </cfRule>
    <cfRule type="cellIs" dxfId="7947" priority="9033" operator="between">
      <formula>0.51</formula>
      <formula>0.75</formula>
    </cfRule>
    <cfRule type="cellIs" dxfId="7946" priority="9034" operator="greaterThan">
      <formula>1</formula>
    </cfRule>
    <cfRule type="cellIs" dxfId="7945" priority="9035" operator="between">
      <formula>0.95</formula>
      <formula>1</formula>
    </cfRule>
    <cfRule type="cellIs" dxfId="7944" priority="9036" stopIfTrue="1" operator="between">
      <formula>0</formula>
      <formula>0.5</formula>
    </cfRule>
  </conditionalFormatting>
  <conditionalFormatting sqref="AH290">
    <cfRule type="cellIs" dxfId="7943" priority="9027" operator="between">
      <formula>0.76</formula>
      <formula>0.95</formula>
    </cfRule>
    <cfRule type="cellIs" dxfId="7942" priority="9028" operator="between">
      <formula>0.51</formula>
      <formula>0.75</formula>
    </cfRule>
    <cfRule type="cellIs" dxfId="7941" priority="9029" operator="greaterThan">
      <formula>1</formula>
    </cfRule>
    <cfRule type="cellIs" dxfId="7940" priority="9030" operator="between">
      <formula>0.95</formula>
      <formula>1</formula>
    </cfRule>
    <cfRule type="cellIs" dxfId="7939" priority="9031" stopIfTrue="1" operator="between">
      <formula>0</formula>
      <formula>0.5</formula>
    </cfRule>
  </conditionalFormatting>
  <conditionalFormatting sqref="T290">
    <cfRule type="cellIs" dxfId="7938" priority="9012" operator="between">
      <formula>0.3751</formula>
      <formula>0.475</formula>
    </cfRule>
    <cfRule type="cellIs" dxfId="7937" priority="9013" operator="between">
      <formula>0.2551</formula>
      <formula>0.375</formula>
    </cfRule>
    <cfRule type="cellIs" dxfId="7936" priority="9014" operator="greaterThan">
      <formula>0.505</formula>
    </cfRule>
    <cfRule type="cellIs" dxfId="7935" priority="9015" operator="between">
      <formula>0.48</formula>
      <formula>0.5</formula>
    </cfRule>
    <cfRule type="cellIs" dxfId="7934" priority="9016" stopIfTrue="1" operator="between">
      <formula>0</formula>
      <formula>0.255</formula>
    </cfRule>
  </conditionalFormatting>
  <conditionalFormatting sqref="U290:V290">
    <cfRule type="cellIs" dxfId="7933" priority="9007" operator="between">
      <formula>0.376</formula>
      <formula>0.475</formula>
    </cfRule>
    <cfRule type="cellIs" dxfId="7932" priority="9008" operator="between">
      <formula>0.2551</formula>
      <formula>0.3751</formula>
    </cfRule>
    <cfRule type="cellIs" dxfId="7931" priority="9009" operator="greaterThan">
      <formula>0.505</formula>
    </cfRule>
    <cfRule type="cellIs" dxfId="7930" priority="9010" operator="between">
      <formula>0.48</formula>
      <formula>0.5</formula>
    </cfRule>
    <cfRule type="cellIs" dxfId="7929" priority="9011" stopIfTrue="1" operator="between">
      <formula>0</formula>
      <formula>0.255</formula>
    </cfRule>
  </conditionalFormatting>
  <conditionalFormatting sqref="AA290">
    <cfRule type="cellIs" dxfId="7928" priority="9002" operator="between">
      <formula>0.56251</formula>
      <formula>0.7125</formula>
    </cfRule>
    <cfRule type="cellIs" dxfId="7927" priority="9003" operator="between">
      <formula>0.3751</formula>
      <formula>0.5625</formula>
    </cfRule>
    <cfRule type="cellIs" dxfId="7926" priority="9004" operator="greaterThan">
      <formula>0.751</formula>
    </cfRule>
    <cfRule type="cellIs" dxfId="7925" priority="9005" operator="between">
      <formula>0.71251</formula>
      <formula>0.75</formula>
    </cfRule>
    <cfRule type="cellIs" dxfId="7924" priority="9006" stopIfTrue="1" operator="between">
      <formula>0</formula>
      <formula>0.375</formula>
    </cfRule>
  </conditionalFormatting>
  <conditionalFormatting sqref="AC290">
    <cfRule type="cellIs" dxfId="7923" priority="8997" operator="between">
      <formula>0.56251</formula>
      <formula>0.7125</formula>
    </cfRule>
    <cfRule type="cellIs" dxfId="7922" priority="8998" operator="between">
      <formula>0.3751</formula>
      <formula>0.5625</formula>
    </cfRule>
    <cfRule type="cellIs" dxfId="7921" priority="8999" operator="greaterThan">
      <formula>0.751</formula>
    </cfRule>
    <cfRule type="cellIs" dxfId="7920" priority="9000" operator="between">
      <formula>0.71251</formula>
      <formula>0.75</formula>
    </cfRule>
    <cfRule type="cellIs" dxfId="7919" priority="9001" stopIfTrue="1" operator="between">
      <formula>0</formula>
      <formula>0.375</formula>
    </cfRule>
  </conditionalFormatting>
  <conditionalFormatting sqref="AB290">
    <cfRule type="cellIs" dxfId="7918" priority="8992" operator="between">
      <formula>0.56251</formula>
      <formula>0.7125</formula>
    </cfRule>
    <cfRule type="cellIs" dxfId="7917" priority="8993" operator="between">
      <formula>0.3751</formula>
      <formula>0.5625</formula>
    </cfRule>
    <cfRule type="cellIs" dxfId="7916" priority="8994" operator="greaterThan">
      <formula>0.751</formula>
    </cfRule>
    <cfRule type="cellIs" dxfId="7915" priority="8995" operator="between">
      <formula>0.71251</formula>
      <formula>0.75</formula>
    </cfRule>
    <cfRule type="cellIs" dxfId="7914" priority="8996" stopIfTrue="1" operator="between">
      <formula>0</formula>
      <formula>0.375</formula>
    </cfRule>
  </conditionalFormatting>
  <conditionalFormatting sqref="AI291">
    <cfRule type="cellIs" dxfId="7913" priority="8970" operator="between">
      <formula>0.76</formula>
      <formula>0.95</formula>
    </cfRule>
    <cfRule type="cellIs" dxfId="7912" priority="8971" operator="between">
      <formula>0.51</formula>
      <formula>0.75</formula>
    </cfRule>
    <cfRule type="cellIs" dxfId="7911" priority="8972" operator="greaterThan">
      <formula>1</formula>
    </cfRule>
    <cfRule type="cellIs" dxfId="7910" priority="8973" operator="between">
      <formula>0.95</formula>
      <formula>1</formula>
    </cfRule>
    <cfRule type="cellIs" dxfId="7909" priority="8974" stopIfTrue="1" operator="between">
      <formula>0</formula>
      <formula>0.5</formula>
    </cfRule>
  </conditionalFormatting>
  <conditionalFormatting sqref="R291">
    <cfRule type="cellIs" dxfId="7908" priority="8960" operator="between">
      <formula>0.76</formula>
      <formula>0.95</formula>
    </cfRule>
    <cfRule type="cellIs" dxfId="7907" priority="8961" operator="between">
      <formula>0.51</formula>
      <formula>0.75</formula>
    </cfRule>
    <cfRule type="cellIs" dxfId="7906" priority="8962" operator="greaterThan">
      <formula>1</formula>
    </cfRule>
    <cfRule type="cellIs" dxfId="7905" priority="8963" operator="between">
      <formula>0.95</formula>
      <formula>1</formula>
    </cfRule>
    <cfRule type="cellIs" dxfId="7904" priority="8964" stopIfTrue="1" operator="between">
      <formula>0</formula>
      <formula>0.5</formula>
    </cfRule>
  </conditionalFormatting>
  <conditionalFormatting sqref="Y291">
    <cfRule type="cellIs" dxfId="7903" priority="8955" operator="between">
      <formula>0.76</formula>
      <formula>0.95</formula>
    </cfRule>
    <cfRule type="cellIs" dxfId="7902" priority="8956" operator="between">
      <formula>0.51</formula>
      <formula>0.75</formula>
    </cfRule>
    <cfRule type="cellIs" dxfId="7901" priority="8957" operator="greaterThan">
      <formula>1</formula>
    </cfRule>
    <cfRule type="cellIs" dxfId="7900" priority="8958" operator="between">
      <formula>0.95</formula>
      <formula>1</formula>
    </cfRule>
    <cfRule type="cellIs" dxfId="7899" priority="8959" stopIfTrue="1" operator="between">
      <formula>0</formula>
      <formula>0.5</formula>
    </cfRule>
  </conditionalFormatting>
  <conditionalFormatting sqref="AF291">
    <cfRule type="cellIs" dxfId="7898" priority="8950" operator="between">
      <formula>0.76</formula>
      <formula>0.95</formula>
    </cfRule>
    <cfRule type="cellIs" dxfId="7897" priority="8951" operator="between">
      <formula>0.51</formula>
      <formula>0.75</formula>
    </cfRule>
    <cfRule type="cellIs" dxfId="7896" priority="8952" operator="greaterThan">
      <formula>1</formula>
    </cfRule>
    <cfRule type="cellIs" dxfId="7895" priority="8953" operator="between">
      <formula>0.95</formula>
      <formula>1</formula>
    </cfRule>
    <cfRule type="cellIs" dxfId="7894" priority="8954" stopIfTrue="1" operator="between">
      <formula>0</formula>
      <formula>0.5</formula>
    </cfRule>
  </conditionalFormatting>
  <conditionalFormatting sqref="AH291">
    <cfRule type="cellIs" dxfId="7893" priority="8945" operator="between">
      <formula>0.76</formula>
      <formula>0.95</formula>
    </cfRule>
    <cfRule type="cellIs" dxfId="7892" priority="8946" operator="between">
      <formula>0.51</formula>
      <formula>0.75</formula>
    </cfRule>
    <cfRule type="cellIs" dxfId="7891" priority="8947" operator="greaterThan">
      <formula>1</formula>
    </cfRule>
    <cfRule type="cellIs" dxfId="7890" priority="8948" operator="between">
      <formula>0.95</formula>
      <formula>1</formula>
    </cfRule>
    <cfRule type="cellIs" dxfId="7889" priority="8949" stopIfTrue="1" operator="between">
      <formula>0</formula>
      <formula>0.5</formula>
    </cfRule>
  </conditionalFormatting>
  <conditionalFormatting sqref="T291">
    <cfRule type="cellIs" dxfId="7888" priority="8930" operator="between">
      <formula>0.3751</formula>
      <formula>0.475</formula>
    </cfRule>
    <cfRule type="cellIs" dxfId="7887" priority="8931" operator="between">
      <formula>0.2551</formula>
      <formula>0.375</formula>
    </cfRule>
    <cfRule type="cellIs" dxfId="7886" priority="8932" operator="greaterThan">
      <formula>0.505</formula>
    </cfRule>
    <cfRule type="cellIs" dxfId="7885" priority="8933" operator="between">
      <formula>0.48</formula>
      <formula>0.5</formula>
    </cfRule>
    <cfRule type="cellIs" dxfId="7884" priority="8934" stopIfTrue="1" operator="between">
      <formula>0</formula>
      <formula>0.255</formula>
    </cfRule>
  </conditionalFormatting>
  <conditionalFormatting sqref="U291:V291">
    <cfRule type="cellIs" dxfId="7883" priority="8925" operator="between">
      <formula>0.376</formula>
      <formula>0.475</formula>
    </cfRule>
    <cfRule type="cellIs" dxfId="7882" priority="8926" operator="between">
      <formula>0.2551</formula>
      <formula>0.3751</formula>
    </cfRule>
    <cfRule type="cellIs" dxfId="7881" priority="8927" operator="greaterThan">
      <formula>0.505</formula>
    </cfRule>
    <cfRule type="cellIs" dxfId="7880" priority="8928" operator="between">
      <formula>0.48</formula>
      <formula>0.5</formula>
    </cfRule>
    <cfRule type="cellIs" dxfId="7879" priority="8929" stopIfTrue="1" operator="between">
      <formula>0</formula>
      <formula>0.255</formula>
    </cfRule>
  </conditionalFormatting>
  <conditionalFormatting sqref="AA291">
    <cfRule type="cellIs" dxfId="7878" priority="8920" operator="between">
      <formula>0.56251</formula>
      <formula>0.7125</formula>
    </cfRule>
    <cfRule type="cellIs" dxfId="7877" priority="8921" operator="between">
      <formula>0.3751</formula>
      <formula>0.5625</formula>
    </cfRule>
    <cfRule type="cellIs" dxfId="7876" priority="8922" operator="greaterThan">
      <formula>0.751</formula>
    </cfRule>
    <cfRule type="cellIs" dxfId="7875" priority="8923" operator="between">
      <formula>0.71251</formula>
      <formula>0.75</formula>
    </cfRule>
    <cfRule type="cellIs" dxfId="7874" priority="8924" stopIfTrue="1" operator="between">
      <formula>0</formula>
      <formula>0.375</formula>
    </cfRule>
  </conditionalFormatting>
  <conditionalFormatting sqref="AC291">
    <cfRule type="cellIs" dxfId="7873" priority="8915" operator="between">
      <formula>0.56251</formula>
      <formula>0.7125</formula>
    </cfRule>
    <cfRule type="cellIs" dxfId="7872" priority="8916" operator="between">
      <formula>0.3751</formula>
      <formula>0.5625</formula>
    </cfRule>
    <cfRule type="cellIs" dxfId="7871" priority="8917" operator="greaterThan">
      <formula>0.751</formula>
    </cfRule>
    <cfRule type="cellIs" dxfId="7870" priority="8918" operator="between">
      <formula>0.71251</formula>
      <formula>0.75</formula>
    </cfRule>
    <cfRule type="cellIs" dxfId="7869" priority="8919" stopIfTrue="1" operator="between">
      <formula>0</formula>
      <formula>0.375</formula>
    </cfRule>
  </conditionalFormatting>
  <conditionalFormatting sqref="AB291">
    <cfRule type="cellIs" dxfId="7868" priority="8910" operator="between">
      <formula>0.56251</formula>
      <formula>0.7125</formula>
    </cfRule>
    <cfRule type="cellIs" dxfId="7867" priority="8911" operator="between">
      <formula>0.3751</formula>
      <formula>0.5625</formula>
    </cfRule>
    <cfRule type="cellIs" dxfId="7866" priority="8912" operator="greaterThan">
      <formula>0.751</formula>
    </cfRule>
    <cfRule type="cellIs" dxfId="7865" priority="8913" operator="between">
      <formula>0.71251</formula>
      <formula>0.75</formula>
    </cfRule>
    <cfRule type="cellIs" dxfId="7864" priority="8914" stopIfTrue="1" operator="between">
      <formula>0</formula>
      <formula>0.375</formula>
    </cfRule>
  </conditionalFormatting>
  <conditionalFormatting sqref="S291">
    <cfRule type="cellIs" dxfId="7863" priority="8888" operator="between">
      <formula>0.76</formula>
      <formula>0.95</formula>
    </cfRule>
    <cfRule type="cellIs" dxfId="7862" priority="8889" operator="between">
      <formula>0.51</formula>
      <formula>0.75</formula>
    </cfRule>
    <cfRule type="cellIs" dxfId="7861" priority="8890" operator="greaterThan">
      <formula>1</formula>
    </cfRule>
    <cfRule type="cellIs" dxfId="7860" priority="8891" operator="between">
      <formula>0.95</formula>
      <formula>1</formula>
    </cfRule>
    <cfRule type="cellIs" dxfId="7859" priority="8892" stopIfTrue="1" operator="between">
      <formula>0</formula>
      <formula>0.5</formula>
    </cfRule>
  </conditionalFormatting>
  <conditionalFormatting sqref="Z291">
    <cfRule type="cellIs" dxfId="7858" priority="8883" operator="between">
      <formula>0.76</formula>
      <formula>0.95</formula>
    </cfRule>
    <cfRule type="cellIs" dxfId="7857" priority="8884" operator="between">
      <formula>0.51</formula>
      <formula>0.75</formula>
    </cfRule>
    <cfRule type="cellIs" dxfId="7856" priority="8885" operator="greaterThan">
      <formula>1</formula>
    </cfRule>
    <cfRule type="cellIs" dxfId="7855" priority="8886" operator="between">
      <formula>0.95</formula>
      <formula>1</formula>
    </cfRule>
    <cfRule type="cellIs" dxfId="7854" priority="8887" stopIfTrue="1" operator="between">
      <formula>0</formula>
      <formula>0.5</formula>
    </cfRule>
  </conditionalFormatting>
  <conditionalFormatting sqref="AG291">
    <cfRule type="cellIs" dxfId="7853" priority="8878" operator="between">
      <formula>0.76</formula>
      <formula>0.95</formula>
    </cfRule>
    <cfRule type="cellIs" dxfId="7852" priority="8879" operator="between">
      <formula>0.51</formula>
      <formula>0.75</formula>
    </cfRule>
    <cfRule type="cellIs" dxfId="7851" priority="8880" operator="greaterThan">
      <formula>1</formula>
    </cfRule>
    <cfRule type="cellIs" dxfId="7850" priority="8881" operator="between">
      <formula>0.95</formula>
      <formula>1</formula>
    </cfRule>
    <cfRule type="cellIs" dxfId="7849" priority="8882" stopIfTrue="1" operator="between">
      <formula>0</formula>
      <formula>0.5</formula>
    </cfRule>
  </conditionalFormatting>
  <conditionalFormatting sqref="R243:S243 Y243:Z243 AF243:AI243">
    <cfRule type="cellIs" dxfId="7848" priority="8873" operator="between">
      <formula>0.76</formula>
      <formula>0.95</formula>
    </cfRule>
    <cfRule type="cellIs" dxfId="7847" priority="8874" operator="between">
      <formula>0.51</formula>
      <formula>0.75</formula>
    </cfRule>
    <cfRule type="cellIs" dxfId="7846" priority="8875" operator="greaterThan">
      <formula>1</formula>
    </cfRule>
    <cfRule type="cellIs" dxfId="7845" priority="8876" operator="between">
      <formula>0.95</formula>
      <formula>1</formula>
    </cfRule>
    <cfRule type="cellIs" dxfId="7844" priority="8877" stopIfTrue="1" operator="between">
      <formula>0</formula>
      <formula>0.5</formula>
    </cfRule>
  </conditionalFormatting>
  <conditionalFormatting sqref="T243">
    <cfRule type="cellIs" dxfId="7843" priority="8868" operator="between">
      <formula>0.3751</formula>
      <formula>0.475</formula>
    </cfRule>
    <cfRule type="cellIs" dxfId="7842" priority="8869" operator="between">
      <formula>0.2551</formula>
      <formula>0.375</formula>
    </cfRule>
    <cfRule type="cellIs" dxfId="7841" priority="8870" operator="greaterThan">
      <formula>0.505</formula>
    </cfRule>
    <cfRule type="cellIs" dxfId="7840" priority="8871" operator="between">
      <formula>0.48</formula>
      <formula>0.5</formula>
    </cfRule>
    <cfRule type="cellIs" dxfId="7839" priority="8872" stopIfTrue="1" operator="between">
      <formula>0</formula>
      <formula>0.255</formula>
    </cfRule>
  </conditionalFormatting>
  <conditionalFormatting sqref="AA243:AC243">
    <cfRule type="cellIs" dxfId="7838" priority="8863" operator="between">
      <formula>0.56251</formula>
      <formula>0.7125</formula>
    </cfRule>
    <cfRule type="cellIs" dxfId="7837" priority="8864" operator="between">
      <formula>0.3751</formula>
      <formula>0.5625</formula>
    </cfRule>
    <cfRule type="cellIs" dxfId="7836" priority="8865" operator="greaterThan">
      <formula>0.751</formula>
    </cfRule>
    <cfRule type="cellIs" dxfId="7835" priority="8866" operator="between">
      <formula>0.71251</formula>
      <formula>0.75</formula>
    </cfRule>
    <cfRule type="cellIs" dxfId="7834" priority="8867" stopIfTrue="1" operator="between">
      <formula>0</formula>
      <formula>0.375</formula>
    </cfRule>
  </conditionalFormatting>
  <conditionalFormatting sqref="U243:V243">
    <cfRule type="cellIs" dxfId="7833" priority="8853" operator="between">
      <formula>0.376</formula>
      <formula>0.475</formula>
    </cfRule>
    <cfRule type="cellIs" dxfId="7832" priority="8854" operator="between">
      <formula>0.2551</formula>
      <formula>0.3751</formula>
    </cfRule>
    <cfRule type="cellIs" dxfId="7831" priority="8855" operator="greaterThan">
      <formula>0.505</formula>
    </cfRule>
    <cfRule type="cellIs" dxfId="7830" priority="8856" operator="between">
      <formula>0.48</formula>
      <formula>0.5</formula>
    </cfRule>
    <cfRule type="cellIs" dxfId="7829" priority="8857" stopIfTrue="1" operator="between">
      <formula>0</formula>
      <formula>0.255</formula>
    </cfRule>
  </conditionalFormatting>
  <conditionalFormatting sqref="R244:S247 Y244:Z248 AF245:AI248 AF244 AH244:AI244 R248">
    <cfRule type="cellIs" dxfId="7828" priority="8845" operator="between">
      <formula>0.76</formula>
      <formula>0.95</formula>
    </cfRule>
    <cfRule type="cellIs" dxfId="7827" priority="8846" operator="between">
      <formula>0.51</formula>
      <formula>0.75</formula>
    </cfRule>
    <cfRule type="cellIs" dxfId="7826" priority="8847" operator="greaterThan">
      <formula>1</formula>
    </cfRule>
    <cfRule type="cellIs" dxfId="7825" priority="8848" operator="between">
      <formula>0.95</formula>
      <formula>1</formula>
    </cfRule>
    <cfRule type="cellIs" dxfId="7824" priority="8849" stopIfTrue="1" operator="between">
      <formula>0</formula>
      <formula>0.5</formula>
    </cfRule>
  </conditionalFormatting>
  <conditionalFormatting sqref="T244:T248">
    <cfRule type="cellIs" dxfId="7823" priority="8840" operator="between">
      <formula>0.3751</formula>
      <formula>0.475</formula>
    </cfRule>
    <cfRule type="cellIs" dxfId="7822" priority="8841" operator="between">
      <formula>0.2551</formula>
      <formula>0.375</formula>
    </cfRule>
    <cfRule type="cellIs" dxfId="7821" priority="8842" operator="greaterThan">
      <formula>0.505</formula>
    </cfRule>
    <cfRule type="cellIs" dxfId="7820" priority="8843" operator="between">
      <formula>0.48</formula>
      <formula>0.5</formula>
    </cfRule>
    <cfRule type="cellIs" dxfId="7819" priority="8844" stopIfTrue="1" operator="between">
      <formula>0</formula>
      <formula>0.255</formula>
    </cfRule>
  </conditionalFormatting>
  <conditionalFormatting sqref="AA244:AC248">
    <cfRule type="cellIs" dxfId="7818" priority="8835" operator="between">
      <formula>0.56251</formula>
      <formula>0.7125</formula>
    </cfRule>
    <cfRule type="cellIs" dxfId="7817" priority="8836" operator="between">
      <formula>0.3751</formula>
      <formula>0.5625</formula>
    </cfRule>
    <cfRule type="cellIs" dxfId="7816" priority="8837" operator="greaterThan">
      <formula>0.751</formula>
    </cfRule>
    <cfRule type="cellIs" dxfId="7815" priority="8838" operator="between">
      <formula>0.71251</formula>
      <formula>0.75</formula>
    </cfRule>
    <cfRule type="cellIs" dxfId="7814" priority="8839" stopIfTrue="1" operator="between">
      <formula>0</formula>
      <formula>0.375</formula>
    </cfRule>
  </conditionalFormatting>
  <conditionalFormatting sqref="U247:V247 U244:U246 U248">
    <cfRule type="cellIs" dxfId="7813" priority="8825" operator="between">
      <formula>0.376</formula>
      <formula>0.475</formula>
    </cfRule>
    <cfRule type="cellIs" dxfId="7812" priority="8826" operator="between">
      <formula>0.2551</formula>
      <formula>0.3751</formula>
    </cfRule>
    <cfRule type="cellIs" dxfId="7811" priority="8827" operator="greaterThan">
      <formula>0.505</formula>
    </cfRule>
    <cfRule type="cellIs" dxfId="7810" priority="8828" operator="between">
      <formula>0.48</formula>
      <formula>0.5</formula>
    </cfRule>
    <cfRule type="cellIs" dxfId="7809" priority="8829" stopIfTrue="1" operator="between">
      <formula>0</formula>
      <formula>0.255</formula>
    </cfRule>
  </conditionalFormatting>
  <conditionalFormatting sqref="V242">
    <cfRule type="cellIs" dxfId="7808" priority="8797" operator="between">
      <formula>0.376</formula>
      <formula>0.475</formula>
    </cfRule>
    <cfRule type="cellIs" dxfId="7807" priority="8798" operator="between">
      <formula>0.2551</formula>
      <formula>0.3751</formula>
    </cfRule>
    <cfRule type="cellIs" dxfId="7806" priority="8799" operator="greaterThan">
      <formula>0.505</formula>
    </cfRule>
    <cfRule type="cellIs" dxfId="7805" priority="8800" operator="between">
      <formula>0.48</formula>
      <formula>0.5</formula>
    </cfRule>
    <cfRule type="cellIs" dxfId="7804" priority="8801" stopIfTrue="1" operator="between">
      <formula>0</formula>
      <formula>0.255</formula>
    </cfRule>
  </conditionalFormatting>
  <conditionalFormatting sqref="AC242">
    <cfRule type="cellIs" dxfId="7803" priority="8792" operator="between">
      <formula>0.56251</formula>
      <formula>0.7125</formula>
    </cfRule>
    <cfRule type="cellIs" dxfId="7802" priority="8793" operator="between">
      <formula>0.3751</formula>
      <formula>0.5625</formula>
    </cfRule>
    <cfRule type="cellIs" dxfId="7801" priority="8794" operator="greaterThan">
      <formula>0.751</formula>
    </cfRule>
    <cfRule type="cellIs" dxfId="7800" priority="8795" operator="between">
      <formula>0.71251</formula>
      <formula>0.75</formula>
    </cfRule>
    <cfRule type="cellIs" dxfId="7799" priority="8796" stopIfTrue="1" operator="between">
      <formula>0</formula>
      <formula>0.375</formula>
    </cfRule>
  </conditionalFormatting>
  <conditionalFormatting sqref="V244:V246">
    <cfRule type="cellIs" dxfId="7798" priority="8787" operator="between">
      <formula>0.376</formula>
      <formula>0.475</formula>
    </cfRule>
    <cfRule type="cellIs" dxfId="7797" priority="8788" operator="between">
      <formula>0.2551</formula>
      <formula>0.3751</formula>
    </cfRule>
    <cfRule type="cellIs" dxfId="7796" priority="8789" operator="greaterThan">
      <formula>0.505</formula>
    </cfRule>
    <cfRule type="cellIs" dxfId="7795" priority="8790" operator="between">
      <formula>0.48</formula>
      <formula>0.5</formula>
    </cfRule>
    <cfRule type="cellIs" dxfId="7794" priority="8791" stopIfTrue="1" operator="between">
      <formula>0</formula>
      <formula>0.255</formula>
    </cfRule>
  </conditionalFormatting>
  <conditionalFormatting sqref="AG244">
    <cfRule type="cellIs" dxfId="7793" priority="8782" operator="between">
      <formula>0.76</formula>
      <formula>0.95</formula>
    </cfRule>
    <cfRule type="cellIs" dxfId="7792" priority="8783" operator="between">
      <formula>0.51</formula>
      <formula>0.75</formula>
    </cfRule>
    <cfRule type="cellIs" dxfId="7791" priority="8784" operator="greaterThan">
      <formula>1</formula>
    </cfRule>
    <cfRule type="cellIs" dxfId="7790" priority="8785" operator="between">
      <formula>0.95</formula>
      <formula>1</formula>
    </cfRule>
    <cfRule type="cellIs" dxfId="7789" priority="8786" stopIfTrue="1" operator="between">
      <formula>0</formula>
      <formula>0.5</formula>
    </cfRule>
  </conditionalFormatting>
  <conditionalFormatting sqref="S248">
    <cfRule type="cellIs" dxfId="7788" priority="8777" operator="between">
      <formula>0.76</formula>
      <formula>0.95</formula>
    </cfRule>
    <cfRule type="cellIs" dxfId="7787" priority="8778" operator="between">
      <formula>0.51</formula>
      <formula>0.75</formula>
    </cfRule>
    <cfRule type="cellIs" dxfId="7786" priority="8779" operator="greaterThan">
      <formula>1</formula>
    </cfRule>
    <cfRule type="cellIs" dxfId="7785" priority="8780" operator="between">
      <formula>0.95</formula>
      <formula>1</formula>
    </cfRule>
    <cfRule type="cellIs" dxfId="7784" priority="8781" stopIfTrue="1" operator="between">
      <formula>0</formula>
      <formula>0.5</formula>
    </cfRule>
  </conditionalFormatting>
  <conditionalFormatting sqref="V248">
    <cfRule type="cellIs" dxfId="7783" priority="8772" operator="between">
      <formula>0.376</formula>
      <formula>0.475</formula>
    </cfRule>
    <cfRule type="cellIs" dxfId="7782" priority="8773" operator="between">
      <formula>0.2551</formula>
      <formula>0.3751</formula>
    </cfRule>
    <cfRule type="cellIs" dxfId="7781" priority="8774" operator="greaterThan">
      <formula>0.505</formula>
    </cfRule>
    <cfRule type="cellIs" dxfId="7780" priority="8775" operator="between">
      <formula>0.48</formula>
      <formula>0.5</formula>
    </cfRule>
    <cfRule type="cellIs" dxfId="7779" priority="8776" stopIfTrue="1" operator="between">
      <formula>0</formula>
      <formula>0.255</formula>
    </cfRule>
  </conditionalFormatting>
  <conditionalFormatting sqref="R167:S167 Y167:Z167 AF167:AI167">
    <cfRule type="cellIs" dxfId="7778" priority="8767" operator="between">
      <formula>0.76</formula>
      <formula>0.95</formula>
    </cfRule>
    <cfRule type="cellIs" dxfId="7777" priority="8768" operator="between">
      <formula>0.51</formula>
      <formula>0.75</formula>
    </cfRule>
    <cfRule type="cellIs" dxfId="7776" priority="8769" operator="greaterThan">
      <formula>1</formula>
    </cfRule>
    <cfRule type="cellIs" dxfId="7775" priority="8770" operator="between">
      <formula>0.95</formula>
      <formula>1</formula>
    </cfRule>
    <cfRule type="cellIs" dxfId="7774" priority="8771" stopIfTrue="1" operator="between">
      <formula>0</formula>
      <formula>0.5</formula>
    </cfRule>
  </conditionalFormatting>
  <conditionalFormatting sqref="T167">
    <cfRule type="cellIs" dxfId="7773" priority="8762" operator="between">
      <formula>0.3751</formula>
      <formula>0.475</formula>
    </cfRule>
    <cfRule type="cellIs" dxfId="7772" priority="8763" operator="between">
      <formula>0.2551</formula>
      <formula>0.375</formula>
    </cfRule>
    <cfRule type="cellIs" dxfId="7771" priority="8764" operator="greaterThan">
      <formula>0.505</formula>
    </cfRule>
    <cfRule type="cellIs" dxfId="7770" priority="8765" operator="between">
      <formula>0.48</formula>
      <formula>0.5</formula>
    </cfRule>
    <cfRule type="cellIs" dxfId="7769" priority="8766" stopIfTrue="1" operator="between">
      <formula>0</formula>
      <formula>0.255</formula>
    </cfRule>
  </conditionalFormatting>
  <conditionalFormatting sqref="AA167:AC167">
    <cfRule type="cellIs" dxfId="7768" priority="8757" operator="between">
      <formula>0.56251</formula>
      <formula>0.7125</formula>
    </cfRule>
    <cfRule type="cellIs" dxfId="7767" priority="8758" operator="between">
      <formula>0.3751</formula>
      <formula>0.5625</formula>
    </cfRule>
    <cfRule type="cellIs" dxfId="7766" priority="8759" operator="greaterThan">
      <formula>0.751</formula>
    </cfRule>
    <cfRule type="cellIs" dxfId="7765" priority="8760" operator="between">
      <formula>0.71251</formula>
      <formula>0.75</formula>
    </cfRule>
    <cfRule type="cellIs" dxfId="7764" priority="8761" stopIfTrue="1" operator="between">
      <formula>0</formula>
      <formula>0.375</formula>
    </cfRule>
  </conditionalFormatting>
  <conditionalFormatting sqref="U167:V167">
    <cfRule type="cellIs" dxfId="7763" priority="8747" operator="between">
      <formula>0.376</formula>
      <formula>0.475</formula>
    </cfRule>
    <cfRule type="cellIs" dxfId="7762" priority="8748" operator="between">
      <formula>0.2551</formula>
      <formula>0.3751</formula>
    </cfRule>
    <cfRule type="cellIs" dxfId="7761" priority="8749" operator="greaterThan">
      <formula>0.505</formula>
    </cfRule>
    <cfRule type="cellIs" dxfId="7760" priority="8750" operator="between">
      <formula>0.48</formula>
      <formula>0.5</formula>
    </cfRule>
    <cfRule type="cellIs" dxfId="7759" priority="8751" stopIfTrue="1" operator="between">
      <formula>0</formula>
      <formula>0.255</formula>
    </cfRule>
  </conditionalFormatting>
  <conditionalFormatting sqref="Y249:Z249 AF249:AI249 R249">
    <cfRule type="cellIs" dxfId="7758" priority="8724" operator="between">
      <formula>0.76</formula>
      <formula>0.95</formula>
    </cfRule>
    <cfRule type="cellIs" dxfId="7757" priority="8725" operator="between">
      <formula>0.51</formula>
      <formula>0.75</formula>
    </cfRule>
    <cfRule type="cellIs" dxfId="7756" priority="8726" operator="greaterThan">
      <formula>1</formula>
    </cfRule>
    <cfRule type="cellIs" dxfId="7755" priority="8727" operator="between">
      <formula>0.95</formula>
      <formula>1</formula>
    </cfRule>
    <cfRule type="cellIs" dxfId="7754" priority="8728" stopIfTrue="1" operator="between">
      <formula>0</formula>
      <formula>0.5</formula>
    </cfRule>
  </conditionalFormatting>
  <conditionalFormatting sqref="T249">
    <cfRule type="cellIs" dxfId="7753" priority="8719" operator="between">
      <formula>0.3751</formula>
      <formula>0.475</formula>
    </cfRule>
    <cfRule type="cellIs" dxfId="7752" priority="8720" operator="between">
      <formula>0.2551</formula>
      <formula>0.375</formula>
    </cfRule>
    <cfRule type="cellIs" dxfId="7751" priority="8721" operator="greaterThan">
      <formula>0.505</formula>
    </cfRule>
    <cfRule type="cellIs" dxfId="7750" priority="8722" operator="between">
      <formula>0.48</formula>
      <formula>0.5</formula>
    </cfRule>
    <cfRule type="cellIs" dxfId="7749" priority="8723" stopIfTrue="1" operator="between">
      <formula>0</formula>
      <formula>0.255</formula>
    </cfRule>
  </conditionalFormatting>
  <conditionalFormatting sqref="AA249:AC249">
    <cfRule type="cellIs" dxfId="7748" priority="8714" operator="between">
      <formula>0.56251</formula>
      <formula>0.7125</formula>
    </cfRule>
    <cfRule type="cellIs" dxfId="7747" priority="8715" operator="between">
      <formula>0.3751</formula>
      <formula>0.5625</formula>
    </cfRule>
    <cfRule type="cellIs" dxfId="7746" priority="8716" operator="greaterThan">
      <formula>0.751</formula>
    </cfRule>
    <cfRule type="cellIs" dxfId="7745" priority="8717" operator="between">
      <formula>0.71251</formula>
      <formula>0.75</formula>
    </cfRule>
    <cfRule type="cellIs" dxfId="7744" priority="8718" stopIfTrue="1" operator="between">
      <formula>0</formula>
      <formula>0.375</formula>
    </cfRule>
  </conditionalFormatting>
  <conditionalFormatting sqref="U249">
    <cfRule type="cellIs" dxfId="7743" priority="8704" operator="between">
      <formula>0.376</formula>
      <formula>0.475</formula>
    </cfRule>
    <cfRule type="cellIs" dxfId="7742" priority="8705" operator="between">
      <formula>0.2551</formula>
      <formula>0.3751</formula>
    </cfRule>
    <cfRule type="cellIs" dxfId="7741" priority="8706" operator="greaterThan">
      <formula>0.505</formula>
    </cfRule>
    <cfRule type="cellIs" dxfId="7740" priority="8707" operator="between">
      <formula>0.48</formula>
      <formula>0.5</formula>
    </cfRule>
    <cfRule type="cellIs" dxfId="7739" priority="8708" stopIfTrue="1" operator="between">
      <formula>0</formula>
      <formula>0.255</formula>
    </cfRule>
  </conditionalFormatting>
  <conditionalFormatting sqref="S249">
    <cfRule type="cellIs" dxfId="7738" priority="8696" operator="between">
      <formula>0.76</formula>
      <formula>0.95</formula>
    </cfRule>
    <cfRule type="cellIs" dxfId="7737" priority="8697" operator="between">
      <formula>0.51</formula>
      <formula>0.75</formula>
    </cfRule>
    <cfRule type="cellIs" dxfId="7736" priority="8698" operator="greaterThan">
      <formula>1</formula>
    </cfRule>
    <cfRule type="cellIs" dxfId="7735" priority="8699" operator="between">
      <formula>0.95</formula>
      <formula>1</formula>
    </cfRule>
    <cfRule type="cellIs" dxfId="7734" priority="8700" stopIfTrue="1" operator="between">
      <formula>0</formula>
      <formula>0.5</formula>
    </cfRule>
  </conditionalFormatting>
  <conditionalFormatting sqref="V249">
    <cfRule type="cellIs" dxfId="7733" priority="8691" operator="between">
      <formula>0.376</formula>
      <formula>0.475</formula>
    </cfRule>
    <cfRule type="cellIs" dxfId="7732" priority="8692" operator="between">
      <formula>0.2551</formula>
      <formula>0.3751</formula>
    </cfRule>
    <cfRule type="cellIs" dxfId="7731" priority="8693" operator="greaterThan">
      <formula>0.505</formula>
    </cfRule>
    <cfRule type="cellIs" dxfId="7730" priority="8694" operator="between">
      <formula>0.48</formula>
      <formula>0.5</formula>
    </cfRule>
    <cfRule type="cellIs" dxfId="7729" priority="8695" stopIfTrue="1" operator="between">
      <formula>0</formula>
      <formula>0.255</formula>
    </cfRule>
  </conditionalFormatting>
  <conditionalFormatting sqref="Y253:Z256 AF250:AI250 R250:R256 Y250:Y252 AF253:AI253 AF251:AF252 AH251:AI252 AF254:AF256 AH254:AI256">
    <cfRule type="cellIs" dxfId="7728" priority="8686" operator="between">
      <formula>0.76</formula>
      <formula>0.95</formula>
    </cfRule>
    <cfRule type="cellIs" dxfId="7727" priority="8687" operator="between">
      <formula>0.51</formula>
      <formula>0.75</formula>
    </cfRule>
    <cfRule type="cellIs" dxfId="7726" priority="8688" operator="greaterThan">
      <formula>1</formula>
    </cfRule>
    <cfRule type="cellIs" dxfId="7725" priority="8689" operator="between">
      <formula>0.95</formula>
      <formula>1</formula>
    </cfRule>
    <cfRule type="cellIs" dxfId="7724" priority="8690" stopIfTrue="1" operator="between">
      <formula>0</formula>
      <formula>0.5</formula>
    </cfRule>
  </conditionalFormatting>
  <conditionalFormatting sqref="T250:T256">
    <cfRule type="cellIs" dxfId="7723" priority="8681" operator="between">
      <formula>0.3751</formula>
      <formula>0.475</formula>
    </cfRule>
    <cfRule type="cellIs" dxfId="7722" priority="8682" operator="between">
      <formula>0.2551</formula>
      <formula>0.375</formula>
    </cfRule>
    <cfRule type="cellIs" dxfId="7721" priority="8683" operator="greaterThan">
      <formula>0.505</formula>
    </cfRule>
    <cfRule type="cellIs" dxfId="7720" priority="8684" operator="between">
      <formula>0.48</formula>
      <formula>0.5</formula>
    </cfRule>
    <cfRule type="cellIs" dxfId="7719" priority="8685" stopIfTrue="1" operator="between">
      <formula>0</formula>
      <formula>0.255</formula>
    </cfRule>
  </conditionalFormatting>
  <conditionalFormatting sqref="AA250:AC256">
    <cfRule type="cellIs" dxfId="7718" priority="8676" operator="between">
      <formula>0.56251</formula>
      <formula>0.7125</formula>
    </cfRule>
    <cfRule type="cellIs" dxfId="7717" priority="8677" operator="between">
      <formula>0.3751</formula>
      <formula>0.5625</formula>
    </cfRule>
    <cfRule type="cellIs" dxfId="7716" priority="8678" operator="greaterThan">
      <formula>0.751</formula>
    </cfRule>
    <cfRule type="cellIs" dxfId="7715" priority="8679" operator="between">
      <formula>0.71251</formula>
      <formula>0.75</formula>
    </cfRule>
    <cfRule type="cellIs" dxfId="7714" priority="8680" stopIfTrue="1" operator="between">
      <formula>0</formula>
      <formula>0.375</formula>
    </cfRule>
  </conditionalFormatting>
  <conditionalFormatting sqref="U250:U256">
    <cfRule type="cellIs" dxfId="7713" priority="8666" operator="between">
      <formula>0.376</formula>
      <formula>0.475</formula>
    </cfRule>
    <cfRule type="cellIs" dxfId="7712" priority="8667" operator="between">
      <formula>0.2551</formula>
      <formula>0.3751</formula>
    </cfRule>
    <cfRule type="cellIs" dxfId="7711" priority="8668" operator="greaterThan">
      <formula>0.505</formula>
    </cfRule>
    <cfRule type="cellIs" dxfId="7710" priority="8669" operator="between">
      <formula>0.48</formula>
      <formula>0.5</formula>
    </cfRule>
    <cfRule type="cellIs" dxfId="7709" priority="8670" stopIfTrue="1" operator="between">
      <formula>0</formula>
      <formula>0.255</formula>
    </cfRule>
  </conditionalFormatting>
  <conditionalFormatting sqref="S250:S256">
    <cfRule type="cellIs" dxfId="7708" priority="8658" operator="between">
      <formula>0.76</formula>
      <formula>0.95</formula>
    </cfRule>
    <cfRule type="cellIs" dxfId="7707" priority="8659" operator="between">
      <formula>0.51</formula>
      <formula>0.75</formula>
    </cfRule>
    <cfRule type="cellIs" dxfId="7706" priority="8660" operator="greaterThan">
      <formula>1</formula>
    </cfRule>
    <cfRule type="cellIs" dxfId="7705" priority="8661" operator="between">
      <formula>0.95</formula>
      <formula>1</formula>
    </cfRule>
    <cfRule type="cellIs" dxfId="7704" priority="8662" stopIfTrue="1" operator="between">
      <formula>0</formula>
      <formula>0.5</formula>
    </cfRule>
  </conditionalFormatting>
  <conditionalFormatting sqref="V250:V256">
    <cfRule type="cellIs" dxfId="7703" priority="8653" operator="between">
      <formula>0.376</formula>
      <formula>0.475</formula>
    </cfRule>
    <cfRule type="cellIs" dxfId="7702" priority="8654" operator="between">
      <formula>0.2551</formula>
      <formula>0.3751</formula>
    </cfRule>
    <cfRule type="cellIs" dxfId="7701" priority="8655" operator="greaterThan">
      <formula>0.505</formula>
    </cfRule>
    <cfRule type="cellIs" dxfId="7700" priority="8656" operator="between">
      <formula>0.48</formula>
      <formula>0.5</formula>
    </cfRule>
    <cfRule type="cellIs" dxfId="7699" priority="8657" stopIfTrue="1" operator="between">
      <formula>0</formula>
      <formula>0.255</formula>
    </cfRule>
  </conditionalFormatting>
  <conditionalFormatting sqref="Y257 AF257:AI257 R257">
    <cfRule type="cellIs" dxfId="7698" priority="8648" operator="between">
      <formula>0.76</formula>
      <formula>0.95</formula>
    </cfRule>
    <cfRule type="cellIs" dxfId="7697" priority="8649" operator="between">
      <formula>0.51</formula>
      <formula>0.75</formula>
    </cfRule>
    <cfRule type="cellIs" dxfId="7696" priority="8650" operator="greaterThan">
      <formula>1</formula>
    </cfRule>
    <cfRule type="cellIs" dxfId="7695" priority="8651" operator="between">
      <formula>0.95</formula>
      <formula>1</formula>
    </cfRule>
    <cfRule type="cellIs" dxfId="7694" priority="8652" stopIfTrue="1" operator="between">
      <formula>0</formula>
      <formula>0.5</formula>
    </cfRule>
  </conditionalFormatting>
  <conditionalFormatting sqref="T257">
    <cfRule type="cellIs" dxfId="7693" priority="8643" operator="between">
      <formula>0.3751</formula>
      <formula>0.475</formula>
    </cfRule>
    <cfRule type="cellIs" dxfId="7692" priority="8644" operator="between">
      <formula>0.2551</formula>
      <formula>0.375</formula>
    </cfRule>
    <cfRule type="cellIs" dxfId="7691" priority="8645" operator="greaterThan">
      <formula>0.505</formula>
    </cfRule>
    <cfRule type="cellIs" dxfId="7690" priority="8646" operator="between">
      <formula>0.48</formula>
      <formula>0.5</formula>
    </cfRule>
    <cfRule type="cellIs" dxfId="7689" priority="8647" stopIfTrue="1" operator="between">
      <formula>0</formula>
      <formula>0.255</formula>
    </cfRule>
  </conditionalFormatting>
  <conditionalFormatting sqref="AA257:AC257">
    <cfRule type="cellIs" dxfId="7688" priority="8638" operator="between">
      <formula>0.56251</formula>
      <formula>0.7125</formula>
    </cfRule>
    <cfRule type="cellIs" dxfId="7687" priority="8639" operator="between">
      <formula>0.3751</formula>
      <formula>0.5625</formula>
    </cfRule>
    <cfRule type="cellIs" dxfId="7686" priority="8640" operator="greaterThan">
      <formula>0.751</formula>
    </cfRule>
    <cfRule type="cellIs" dxfId="7685" priority="8641" operator="between">
      <formula>0.71251</formula>
      <formula>0.75</formula>
    </cfRule>
    <cfRule type="cellIs" dxfId="7684" priority="8642" stopIfTrue="1" operator="between">
      <formula>0</formula>
      <formula>0.375</formula>
    </cfRule>
  </conditionalFormatting>
  <conditionalFormatting sqref="U257">
    <cfRule type="cellIs" dxfId="7683" priority="8628" operator="between">
      <formula>0.376</formula>
      <formula>0.475</formula>
    </cfRule>
    <cfRule type="cellIs" dxfId="7682" priority="8629" operator="between">
      <formula>0.2551</formula>
      <formula>0.3751</formula>
    </cfRule>
    <cfRule type="cellIs" dxfId="7681" priority="8630" operator="greaterThan">
      <formula>0.505</formula>
    </cfRule>
    <cfRule type="cellIs" dxfId="7680" priority="8631" operator="between">
      <formula>0.48</formula>
      <formula>0.5</formula>
    </cfRule>
    <cfRule type="cellIs" dxfId="7679" priority="8632" stopIfTrue="1" operator="between">
      <formula>0</formula>
      <formula>0.255</formula>
    </cfRule>
  </conditionalFormatting>
  <conditionalFormatting sqref="S257">
    <cfRule type="cellIs" dxfId="7678" priority="8620" operator="between">
      <formula>0.76</formula>
      <formula>0.95</formula>
    </cfRule>
    <cfRule type="cellIs" dxfId="7677" priority="8621" operator="between">
      <formula>0.51</formula>
      <formula>0.75</formula>
    </cfRule>
    <cfRule type="cellIs" dxfId="7676" priority="8622" operator="greaterThan">
      <formula>1</formula>
    </cfRule>
    <cfRule type="cellIs" dxfId="7675" priority="8623" operator="between">
      <formula>0.95</formula>
      <formula>1</formula>
    </cfRule>
    <cfRule type="cellIs" dxfId="7674" priority="8624" stopIfTrue="1" operator="between">
      <formula>0</formula>
      <formula>0.5</formula>
    </cfRule>
  </conditionalFormatting>
  <conditionalFormatting sqref="V257">
    <cfRule type="cellIs" dxfId="7673" priority="8615" operator="between">
      <formula>0.376</formula>
      <formula>0.475</formula>
    </cfRule>
    <cfRule type="cellIs" dxfId="7672" priority="8616" operator="between">
      <formula>0.2551</formula>
      <formula>0.3751</formula>
    </cfRule>
    <cfRule type="cellIs" dxfId="7671" priority="8617" operator="greaterThan">
      <formula>0.505</formula>
    </cfRule>
    <cfRule type="cellIs" dxfId="7670" priority="8618" operator="between">
      <formula>0.48</formula>
      <formula>0.5</formula>
    </cfRule>
    <cfRule type="cellIs" dxfId="7669" priority="8619" stopIfTrue="1" operator="between">
      <formula>0</formula>
      <formula>0.255</formula>
    </cfRule>
  </conditionalFormatting>
  <conditionalFormatting sqref="AI292">
    <cfRule type="cellIs" dxfId="7668" priority="8610" operator="between">
      <formula>0.76</formula>
      <formula>0.95</formula>
    </cfRule>
    <cfRule type="cellIs" dxfId="7667" priority="8611" operator="between">
      <formula>0.51</formula>
      <formula>0.75</formula>
    </cfRule>
    <cfRule type="cellIs" dxfId="7666" priority="8612" operator="greaterThan">
      <formula>1</formula>
    </cfRule>
    <cfRule type="cellIs" dxfId="7665" priority="8613" operator="between">
      <formula>0.95</formula>
      <formula>1</formula>
    </cfRule>
    <cfRule type="cellIs" dxfId="7664" priority="8614" stopIfTrue="1" operator="between">
      <formula>0</formula>
      <formula>0.5</formula>
    </cfRule>
  </conditionalFormatting>
  <conditionalFormatting sqref="R292">
    <cfRule type="cellIs" dxfId="7663" priority="8600" operator="between">
      <formula>0.76</formula>
      <formula>0.95</formula>
    </cfRule>
    <cfRule type="cellIs" dxfId="7662" priority="8601" operator="between">
      <formula>0.51</formula>
      <formula>0.75</formula>
    </cfRule>
    <cfRule type="cellIs" dxfId="7661" priority="8602" operator="greaterThan">
      <formula>1</formula>
    </cfRule>
    <cfRule type="cellIs" dxfId="7660" priority="8603" operator="between">
      <formula>0.95</formula>
      <formula>1</formula>
    </cfRule>
    <cfRule type="cellIs" dxfId="7659" priority="8604" stopIfTrue="1" operator="between">
      <formula>0</formula>
      <formula>0.5</formula>
    </cfRule>
  </conditionalFormatting>
  <conditionalFormatting sqref="Y292">
    <cfRule type="cellIs" dxfId="7658" priority="8595" operator="between">
      <formula>0.76</formula>
      <formula>0.95</formula>
    </cfRule>
    <cfRule type="cellIs" dxfId="7657" priority="8596" operator="between">
      <formula>0.51</formula>
      <formula>0.75</formula>
    </cfRule>
    <cfRule type="cellIs" dxfId="7656" priority="8597" operator="greaterThan">
      <formula>1</formula>
    </cfRule>
    <cfRule type="cellIs" dxfId="7655" priority="8598" operator="between">
      <formula>0.95</formula>
      <formula>1</formula>
    </cfRule>
    <cfRule type="cellIs" dxfId="7654" priority="8599" stopIfTrue="1" operator="between">
      <formula>0</formula>
      <formula>0.5</formula>
    </cfRule>
  </conditionalFormatting>
  <conditionalFormatting sqref="AF292">
    <cfRule type="cellIs" dxfId="7653" priority="8590" operator="between">
      <formula>0.76</formula>
      <formula>0.95</formula>
    </cfRule>
    <cfRule type="cellIs" dxfId="7652" priority="8591" operator="between">
      <formula>0.51</formula>
      <formula>0.75</formula>
    </cfRule>
    <cfRule type="cellIs" dxfId="7651" priority="8592" operator="greaterThan">
      <formula>1</formula>
    </cfRule>
    <cfRule type="cellIs" dxfId="7650" priority="8593" operator="between">
      <formula>0.95</formula>
      <formula>1</formula>
    </cfRule>
    <cfRule type="cellIs" dxfId="7649" priority="8594" stopIfTrue="1" operator="between">
      <formula>0</formula>
      <formula>0.5</formula>
    </cfRule>
  </conditionalFormatting>
  <conditionalFormatting sqref="AH292">
    <cfRule type="cellIs" dxfId="7648" priority="8585" operator="between">
      <formula>0.76</formula>
      <formula>0.95</formula>
    </cfRule>
    <cfRule type="cellIs" dxfId="7647" priority="8586" operator="between">
      <formula>0.51</formula>
      <formula>0.75</formula>
    </cfRule>
    <cfRule type="cellIs" dxfId="7646" priority="8587" operator="greaterThan">
      <formula>1</formula>
    </cfRule>
    <cfRule type="cellIs" dxfId="7645" priority="8588" operator="between">
      <formula>0.95</formula>
      <formula>1</formula>
    </cfRule>
    <cfRule type="cellIs" dxfId="7644" priority="8589" stopIfTrue="1" operator="between">
      <formula>0</formula>
      <formula>0.5</formula>
    </cfRule>
  </conditionalFormatting>
  <conditionalFormatting sqref="T292">
    <cfRule type="cellIs" dxfId="7643" priority="8570" operator="between">
      <formula>0.3751</formula>
      <formula>0.475</formula>
    </cfRule>
    <cfRule type="cellIs" dxfId="7642" priority="8571" operator="between">
      <formula>0.2551</formula>
      <formula>0.375</formula>
    </cfRule>
    <cfRule type="cellIs" dxfId="7641" priority="8572" operator="greaterThan">
      <formula>0.505</formula>
    </cfRule>
    <cfRule type="cellIs" dxfId="7640" priority="8573" operator="between">
      <formula>0.48</formula>
      <formula>0.5</formula>
    </cfRule>
    <cfRule type="cellIs" dxfId="7639" priority="8574" stopIfTrue="1" operator="between">
      <formula>0</formula>
      <formula>0.255</formula>
    </cfRule>
  </conditionalFormatting>
  <conditionalFormatting sqref="U292:V292">
    <cfRule type="cellIs" dxfId="7638" priority="8565" operator="between">
      <formula>0.376</formula>
      <formula>0.475</formula>
    </cfRule>
    <cfRule type="cellIs" dxfId="7637" priority="8566" operator="between">
      <formula>0.2551</formula>
      <formula>0.3751</formula>
    </cfRule>
    <cfRule type="cellIs" dxfId="7636" priority="8567" operator="greaterThan">
      <formula>0.505</formula>
    </cfRule>
    <cfRule type="cellIs" dxfId="7635" priority="8568" operator="between">
      <formula>0.48</formula>
      <formula>0.5</formula>
    </cfRule>
    <cfRule type="cellIs" dxfId="7634" priority="8569" stopIfTrue="1" operator="between">
      <formula>0</formula>
      <formula>0.255</formula>
    </cfRule>
  </conditionalFormatting>
  <conditionalFormatting sqref="AA292">
    <cfRule type="cellIs" dxfId="7633" priority="8560" operator="between">
      <formula>0.56251</formula>
      <formula>0.7125</formula>
    </cfRule>
    <cfRule type="cellIs" dxfId="7632" priority="8561" operator="between">
      <formula>0.3751</formula>
      <formula>0.5625</formula>
    </cfRule>
    <cfRule type="cellIs" dxfId="7631" priority="8562" operator="greaterThan">
      <formula>0.751</formula>
    </cfRule>
    <cfRule type="cellIs" dxfId="7630" priority="8563" operator="between">
      <formula>0.71251</formula>
      <formula>0.75</formula>
    </cfRule>
    <cfRule type="cellIs" dxfId="7629" priority="8564" stopIfTrue="1" operator="between">
      <formula>0</formula>
      <formula>0.375</formula>
    </cfRule>
  </conditionalFormatting>
  <conditionalFormatting sqref="AC292">
    <cfRule type="cellIs" dxfId="7628" priority="8555" operator="between">
      <formula>0.56251</formula>
      <formula>0.7125</formula>
    </cfRule>
    <cfRule type="cellIs" dxfId="7627" priority="8556" operator="between">
      <formula>0.3751</formula>
      <formula>0.5625</formula>
    </cfRule>
    <cfRule type="cellIs" dxfId="7626" priority="8557" operator="greaterThan">
      <formula>0.751</formula>
    </cfRule>
    <cfRule type="cellIs" dxfId="7625" priority="8558" operator="between">
      <formula>0.71251</formula>
      <formula>0.75</formula>
    </cfRule>
    <cfRule type="cellIs" dxfId="7624" priority="8559" stopIfTrue="1" operator="between">
      <formula>0</formula>
      <formula>0.375</formula>
    </cfRule>
  </conditionalFormatting>
  <conditionalFormatting sqref="AB292">
    <cfRule type="cellIs" dxfId="7623" priority="8550" operator="between">
      <formula>0.56251</formula>
      <formula>0.7125</formula>
    </cfRule>
    <cfRule type="cellIs" dxfId="7622" priority="8551" operator="between">
      <formula>0.3751</formula>
      <formula>0.5625</formula>
    </cfRule>
    <cfRule type="cellIs" dxfId="7621" priority="8552" operator="greaterThan">
      <formula>0.751</formula>
    </cfRule>
    <cfRule type="cellIs" dxfId="7620" priority="8553" operator="between">
      <formula>0.71251</formula>
      <formula>0.75</formula>
    </cfRule>
    <cfRule type="cellIs" dxfId="7619" priority="8554" stopIfTrue="1" operator="between">
      <formula>0</formula>
      <formula>0.375</formula>
    </cfRule>
  </conditionalFormatting>
  <conditionalFormatting sqref="S292">
    <cfRule type="cellIs" dxfId="7618" priority="8528" operator="between">
      <formula>0.76</formula>
      <formula>0.95</formula>
    </cfRule>
    <cfRule type="cellIs" dxfId="7617" priority="8529" operator="between">
      <formula>0.51</formula>
      <formula>0.75</formula>
    </cfRule>
    <cfRule type="cellIs" dxfId="7616" priority="8530" operator="greaterThan">
      <formula>1</formula>
    </cfRule>
    <cfRule type="cellIs" dxfId="7615" priority="8531" operator="between">
      <formula>0.95</formula>
      <formula>1</formula>
    </cfRule>
    <cfRule type="cellIs" dxfId="7614" priority="8532" stopIfTrue="1" operator="between">
      <formula>0</formula>
      <formula>0.5</formula>
    </cfRule>
  </conditionalFormatting>
  <conditionalFormatting sqref="Z292">
    <cfRule type="cellIs" dxfId="7613" priority="8523" operator="between">
      <formula>0.76</formula>
      <formula>0.95</formula>
    </cfRule>
    <cfRule type="cellIs" dxfId="7612" priority="8524" operator="between">
      <formula>0.51</formula>
      <formula>0.75</formula>
    </cfRule>
    <cfRule type="cellIs" dxfId="7611" priority="8525" operator="greaterThan">
      <formula>1</formula>
    </cfRule>
    <cfRule type="cellIs" dxfId="7610" priority="8526" operator="between">
      <formula>0.95</formula>
      <formula>1</formula>
    </cfRule>
    <cfRule type="cellIs" dxfId="7609" priority="8527" stopIfTrue="1" operator="between">
      <formula>0</formula>
      <formula>0.5</formula>
    </cfRule>
  </conditionalFormatting>
  <conditionalFormatting sqref="AG292">
    <cfRule type="cellIs" dxfId="7608" priority="8518" operator="between">
      <formula>0.76</formula>
      <formula>0.95</formula>
    </cfRule>
    <cfRule type="cellIs" dxfId="7607" priority="8519" operator="between">
      <formula>0.51</formula>
      <formula>0.75</formula>
    </cfRule>
    <cfRule type="cellIs" dxfId="7606" priority="8520" operator="greaterThan">
      <formula>1</formula>
    </cfRule>
    <cfRule type="cellIs" dxfId="7605" priority="8521" operator="between">
      <formula>0.95</formula>
      <formula>1</formula>
    </cfRule>
    <cfRule type="cellIs" dxfId="7604" priority="8522" stopIfTrue="1" operator="between">
      <formula>0</formula>
      <formula>0.5</formula>
    </cfRule>
  </conditionalFormatting>
  <conditionalFormatting sqref="AI293:AI305">
    <cfRule type="cellIs" dxfId="7603" priority="8513" operator="between">
      <formula>0.76</formula>
      <formula>0.95</formula>
    </cfRule>
    <cfRule type="cellIs" dxfId="7602" priority="8514" operator="between">
      <formula>0.51</formula>
      <formula>0.75</formula>
    </cfRule>
    <cfRule type="cellIs" dxfId="7601" priority="8515" operator="greaterThan">
      <formula>1</formula>
    </cfRule>
    <cfRule type="cellIs" dxfId="7600" priority="8516" operator="between">
      <formula>0.95</formula>
      <formula>1</formula>
    </cfRule>
    <cfRule type="cellIs" dxfId="7599" priority="8517" stopIfTrue="1" operator="between">
      <formula>0</formula>
      <formula>0.5</formula>
    </cfRule>
  </conditionalFormatting>
  <conditionalFormatting sqref="R293:R305">
    <cfRule type="cellIs" dxfId="7598" priority="8503" operator="between">
      <formula>0.76</formula>
      <formula>0.95</formula>
    </cfRule>
    <cfRule type="cellIs" dxfId="7597" priority="8504" operator="between">
      <formula>0.51</formula>
      <formula>0.75</formula>
    </cfRule>
    <cfRule type="cellIs" dxfId="7596" priority="8505" operator="greaterThan">
      <formula>1</formula>
    </cfRule>
    <cfRule type="cellIs" dxfId="7595" priority="8506" operator="between">
      <formula>0.95</formula>
      <formula>1</formula>
    </cfRule>
    <cfRule type="cellIs" dxfId="7594" priority="8507" stopIfTrue="1" operator="between">
      <formula>0</formula>
      <formula>0.5</formula>
    </cfRule>
  </conditionalFormatting>
  <conditionalFormatting sqref="Y293:Y305">
    <cfRule type="cellIs" dxfId="7593" priority="8498" operator="between">
      <formula>0.76</formula>
      <formula>0.95</formula>
    </cfRule>
    <cfRule type="cellIs" dxfId="7592" priority="8499" operator="between">
      <formula>0.51</formula>
      <formula>0.75</formula>
    </cfRule>
    <cfRule type="cellIs" dxfId="7591" priority="8500" operator="greaterThan">
      <formula>1</formula>
    </cfRule>
    <cfRule type="cellIs" dxfId="7590" priority="8501" operator="between">
      <formula>0.95</formula>
      <formula>1</formula>
    </cfRule>
    <cfRule type="cellIs" dxfId="7589" priority="8502" stopIfTrue="1" operator="between">
      <formula>0</formula>
      <formula>0.5</formula>
    </cfRule>
  </conditionalFormatting>
  <conditionalFormatting sqref="AF293:AF305">
    <cfRule type="cellIs" dxfId="7588" priority="8493" operator="between">
      <formula>0.76</formula>
      <formula>0.95</formula>
    </cfRule>
    <cfRule type="cellIs" dxfId="7587" priority="8494" operator="between">
      <formula>0.51</formula>
      <formula>0.75</formula>
    </cfRule>
    <cfRule type="cellIs" dxfId="7586" priority="8495" operator="greaterThan">
      <formula>1</formula>
    </cfRule>
    <cfRule type="cellIs" dxfId="7585" priority="8496" operator="between">
      <formula>0.95</formula>
      <formula>1</formula>
    </cfRule>
    <cfRule type="cellIs" dxfId="7584" priority="8497" stopIfTrue="1" operator="between">
      <formula>0</formula>
      <formula>0.5</formula>
    </cfRule>
  </conditionalFormatting>
  <conditionalFormatting sqref="AH293:AH305">
    <cfRule type="cellIs" dxfId="7583" priority="8488" operator="between">
      <formula>0.76</formula>
      <formula>0.95</formula>
    </cfRule>
    <cfRule type="cellIs" dxfId="7582" priority="8489" operator="between">
      <formula>0.51</formula>
      <formula>0.75</formula>
    </cfRule>
    <cfRule type="cellIs" dxfId="7581" priority="8490" operator="greaterThan">
      <formula>1</formula>
    </cfRule>
    <cfRule type="cellIs" dxfId="7580" priority="8491" operator="between">
      <formula>0.95</formula>
      <formula>1</formula>
    </cfRule>
    <cfRule type="cellIs" dxfId="7579" priority="8492" stopIfTrue="1" operator="between">
      <formula>0</formula>
      <formula>0.5</formula>
    </cfRule>
  </conditionalFormatting>
  <conditionalFormatting sqref="T293:T305">
    <cfRule type="cellIs" dxfId="7578" priority="8473" operator="between">
      <formula>0.3751</formula>
      <formula>0.475</formula>
    </cfRule>
    <cfRule type="cellIs" dxfId="7577" priority="8474" operator="between">
      <formula>0.2551</formula>
      <formula>0.375</formula>
    </cfRule>
    <cfRule type="cellIs" dxfId="7576" priority="8475" operator="greaterThan">
      <formula>0.505</formula>
    </cfRule>
    <cfRule type="cellIs" dxfId="7575" priority="8476" operator="between">
      <formula>0.48</formula>
      <formula>0.5</formula>
    </cfRule>
    <cfRule type="cellIs" dxfId="7574" priority="8477" stopIfTrue="1" operator="between">
      <formula>0</formula>
      <formula>0.255</formula>
    </cfRule>
  </conditionalFormatting>
  <conditionalFormatting sqref="U293:V305">
    <cfRule type="cellIs" dxfId="7573" priority="8468" operator="between">
      <formula>0.376</formula>
      <formula>0.475</formula>
    </cfRule>
    <cfRule type="cellIs" dxfId="7572" priority="8469" operator="between">
      <formula>0.2551</formula>
      <formula>0.3751</formula>
    </cfRule>
    <cfRule type="cellIs" dxfId="7571" priority="8470" operator="greaterThan">
      <formula>0.505</formula>
    </cfRule>
    <cfRule type="cellIs" dxfId="7570" priority="8471" operator="between">
      <formula>0.48</formula>
      <formula>0.5</formula>
    </cfRule>
    <cfRule type="cellIs" dxfId="7569" priority="8472" stopIfTrue="1" operator="between">
      <formula>0</formula>
      <formula>0.255</formula>
    </cfRule>
  </conditionalFormatting>
  <conditionalFormatting sqref="AA293:AA305">
    <cfRule type="cellIs" dxfId="7568" priority="8463" operator="between">
      <formula>0.56251</formula>
      <formula>0.7125</formula>
    </cfRule>
    <cfRule type="cellIs" dxfId="7567" priority="8464" operator="between">
      <formula>0.3751</formula>
      <formula>0.5625</formula>
    </cfRule>
    <cfRule type="cellIs" dxfId="7566" priority="8465" operator="greaterThan">
      <formula>0.751</formula>
    </cfRule>
    <cfRule type="cellIs" dxfId="7565" priority="8466" operator="between">
      <formula>0.71251</formula>
      <formula>0.75</formula>
    </cfRule>
    <cfRule type="cellIs" dxfId="7564" priority="8467" stopIfTrue="1" operator="between">
      <formula>0</formula>
      <formula>0.375</formula>
    </cfRule>
  </conditionalFormatting>
  <conditionalFormatting sqref="AC293:AC305">
    <cfRule type="cellIs" dxfId="7563" priority="8458" operator="between">
      <formula>0.56251</formula>
      <formula>0.7125</formula>
    </cfRule>
    <cfRule type="cellIs" dxfId="7562" priority="8459" operator="between">
      <formula>0.3751</formula>
      <formula>0.5625</formula>
    </cfRule>
    <cfRule type="cellIs" dxfId="7561" priority="8460" operator="greaterThan">
      <formula>0.751</formula>
    </cfRule>
    <cfRule type="cellIs" dxfId="7560" priority="8461" operator="between">
      <formula>0.71251</formula>
      <formula>0.75</formula>
    </cfRule>
    <cfRule type="cellIs" dxfId="7559" priority="8462" stopIfTrue="1" operator="between">
      <formula>0</formula>
      <formula>0.375</formula>
    </cfRule>
  </conditionalFormatting>
  <conditionalFormatting sqref="AB293:AB305">
    <cfRule type="cellIs" dxfId="7558" priority="8453" operator="between">
      <formula>0.56251</formula>
      <formula>0.7125</formula>
    </cfRule>
    <cfRule type="cellIs" dxfId="7557" priority="8454" operator="between">
      <formula>0.3751</formula>
      <formula>0.5625</formula>
    </cfRule>
    <cfRule type="cellIs" dxfId="7556" priority="8455" operator="greaterThan">
      <formula>0.751</formula>
    </cfRule>
    <cfRule type="cellIs" dxfId="7555" priority="8456" operator="between">
      <formula>0.71251</formula>
      <formula>0.75</formula>
    </cfRule>
    <cfRule type="cellIs" dxfId="7554" priority="8457" stopIfTrue="1" operator="between">
      <formula>0</formula>
      <formula>0.375</formula>
    </cfRule>
  </conditionalFormatting>
  <conditionalFormatting sqref="S294 S296:S299 S303 S305">
    <cfRule type="cellIs" dxfId="7553" priority="8431" operator="between">
      <formula>0.76</formula>
      <formula>0.95</formula>
    </cfRule>
    <cfRule type="cellIs" dxfId="7552" priority="8432" operator="between">
      <formula>0.51</formula>
      <formula>0.75</formula>
    </cfRule>
    <cfRule type="cellIs" dxfId="7551" priority="8433" operator="greaterThan">
      <formula>1</formula>
    </cfRule>
    <cfRule type="cellIs" dxfId="7550" priority="8434" operator="between">
      <formula>0.95</formula>
      <formula>1</formula>
    </cfRule>
    <cfRule type="cellIs" dxfId="7549" priority="8435" stopIfTrue="1" operator="between">
      <formula>0</formula>
      <formula>0.5</formula>
    </cfRule>
  </conditionalFormatting>
  <conditionalFormatting sqref="Z293 Z295 Z297 Z299:Z302 Z304">
    <cfRule type="cellIs" dxfId="7548" priority="8426" operator="between">
      <formula>0.76</formula>
      <formula>0.95</formula>
    </cfRule>
    <cfRule type="cellIs" dxfId="7547" priority="8427" operator="between">
      <formula>0.51</formula>
      <formula>0.75</formula>
    </cfRule>
    <cfRule type="cellIs" dxfId="7546" priority="8428" operator="greaterThan">
      <formula>1</formula>
    </cfRule>
    <cfRule type="cellIs" dxfId="7545" priority="8429" operator="between">
      <formula>0.95</formula>
      <formula>1</formula>
    </cfRule>
    <cfRule type="cellIs" dxfId="7544" priority="8430" stopIfTrue="1" operator="between">
      <formula>0</formula>
      <formula>0.5</formula>
    </cfRule>
  </conditionalFormatting>
  <conditionalFormatting sqref="AG293:AG305">
    <cfRule type="cellIs" dxfId="7543" priority="8421" operator="between">
      <formula>0.76</formula>
      <formula>0.95</formula>
    </cfRule>
    <cfRule type="cellIs" dxfId="7542" priority="8422" operator="between">
      <formula>0.51</formula>
      <formula>0.75</formula>
    </cfRule>
    <cfRule type="cellIs" dxfId="7541" priority="8423" operator="greaterThan">
      <formula>1</formula>
    </cfRule>
    <cfRule type="cellIs" dxfId="7540" priority="8424" operator="between">
      <formula>0.95</formula>
      <formula>1</formula>
    </cfRule>
    <cfRule type="cellIs" dxfId="7539" priority="8425" stopIfTrue="1" operator="between">
      <formula>0</formula>
      <formula>0.5</formula>
    </cfRule>
  </conditionalFormatting>
  <conditionalFormatting sqref="AI306:AI310">
    <cfRule type="cellIs" dxfId="7538" priority="8416" operator="between">
      <formula>0.76</formula>
      <formula>0.95</formula>
    </cfRule>
    <cfRule type="cellIs" dxfId="7537" priority="8417" operator="between">
      <formula>0.51</formula>
      <formula>0.75</formula>
    </cfRule>
    <cfRule type="cellIs" dxfId="7536" priority="8418" operator="greaterThan">
      <formula>1</formula>
    </cfRule>
    <cfRule type="cellIs" dxfId="7535" priority="8419" operator="between">
      <formula>0.95</formula>
      <formula>1</formula>
    </cfRule>
    <cfRule type="cellIs" dxfId="7534" priority="8420" stopIfTrue="1" operator="between">
      <formula>0</formula>
      <formula>0.5</formula>
    </cfRule>
  </conditionalFormatting>
  <conditionalFormatting sqref="R306:R310">
    <cfRule type="cellIs" dxfId="7533" priority="8406" operator="between">
      <formula>0.76</formula>
      <formula>0.95</formula>
    </cfRule>
    <cfRule type="cellIs" dxfId="7532" priority="8407" operator="between">
      <formula>0.51</formula>
      <formula>0.75</formula>
    </cfRule>
    <cfRule type="cellIs" dxfId="7531" priority="8408" operator="greaterThan">
      <formula>1</formula>
    </cfRule>
    <cfRule type="cellIs" dxfId="7530" priority="8409" operator="between">
      <formula>0.95</formula>
      <formula>1</formula>
    </cfRule>
    <cfRule type="cellIs" dxfId="7529" priority="8410" stopIfTrue="1" operator="between">
      <formula>0</formula>
      <formula>0.5</formula>
    </cfRule>
  </conditionalFormatting>
  <conditionalFormatting sqref="Y306:Y310">
    <cfRule type="cellIs" dxfId="7528" priority="8401" operator="between">
      <formula>0.76</formula>
      <formula>0.95</formula>
    </cfRule>
    <cfRule type="cellIs" dxfId="7527" priority="8402" operator="between">
      <formula>0.51</formula>
      <formula>0.75</formula>
    </cfRule>
    <cfRule type="cellIs" dxfId="7526" priority="8403" operator="greaterThan">
      <formula>1</formula>
    </cfRule>
    <cfRule type="cellIs" dxfId="7525" priority="8404" operator="between">
      <formula>0.95</formula>
      <formula>1</formula>
    </cfRule>
    <cfRule type="cellIs" dxfId="7524" priority="8405" stopIfTrue="1" operator="between">
      <formula>0</formula>
      <formula>0.5</formula>
    </cfRule>
  </conditionalFormatting>
  <conditionalFormatting sqref="AF306:AF310">
    <cfRule type="cellIs" dxfId="7523" priority="8396" operator="between">
      <formula>0.76</formula>
      <formula>0.95</formula>
    </cfRule>
    <cfRule type="cellIs" dxfId="7522" priority="8397" operator="between">
      <formula>0.51</formula>
      <formula>0.75</formula>
    </cfRule>
    <cfRule type="cellIs" dxfId="7521" priority="8398" operator="greaterThan">
      <formula>1</formula>
    </cfRule>
    <cfRule type="cellIs" dxfId="7520" priority="8399" operator="between">
      <formula>0.95</formula>
      <formula>1</formula>
    </cfRule>
    <cfRule type="cellIs" dxfId="7519" priority="8400" stopIfTrue="1" operator="between">
      <formula>0</formula>
      <formula>0.5</formula>
    </cfRule>
  </conditionalFormatting>
  <conditionalFormatting sqref="AH306:AH310">
    <cfRule type="cellIs" dxfId="7518" priority="8391" operator="between">
      <formula>0.76</formula>
      <formula>0.95</formula>
    </cfRule>
    <cfRule type="cellIs" dxfId="7517" priority="8392" operator="between">
      <formula>0.51</formula>
      <formula>0.75</formula>
    </cfRule>
    <cfRule type="cellIs" dxfId="7516" priority="8393" operator="greaterThan">
      <formula>1</formula>
    </cfRule>
    <cfRule type="cellIs" dxfId="7515" priority="8394" operator="between">
      <formula>0.95</formula>
      <formula>1</formula>
    </cfRule>
    <cfRule type="cellIs" dxfId="7514" priority="8395" stopIfTrue="1" operator="between">
      <formula>0</formula>
      <formula>0.5</formula>
    </cfRule>
  </conditionalFormatting>
  <conditionalFormatting sqref="T306:T310">
    <cfRule type="cellIs" dxfId="7513" priority="8376" operator="between">
      <formula>0.3751</formula>
      <formula>0.475</formula>
    </cfRule>
    <cfRule type="cellIs" dxfId="7512" priority="8377" operator="between">
      <formula>0.2551</formula>
      <formula>0.375</formula>
    </cfRule>
    <cfRule type="cellIs" dxfId="7511" priority="8378" operator="greaterThan">
      <formula>0.505</formula>
    </cfRule>
    <cfRule type="cellIs" dxfId="7510" priority="8379" operator="between">
      <formula>0.48</formula>
      <formula>0.5</formula>
    </cfRule>
    <cfRule type="cellIs" dxfId="7509" priority="8380" stopIfTrue="1" operator="between">
      <formula>0</formula>
      <formula>0.255</formula>
    </cfRule>
  </conditionalFormatting>
  <conditionalFormatting sqref="U306:V310">
    <cfRule type="cellIs" dxfId="7508" priority="8371" operator="between">
      <formula>0.376</formula>
      <formula>0.475</formula>
    </cfRule>
    <cfRule type="cellIs" dxfId="7507" priority="8372" operator="between">
      <formula>0.2551</formula>
      <formula>0.3751</formula>
    </cfRule>
    <cfRule type="cellIs" dxfId="7506" priority="8373" operator="greaterThan">
      <formula>0.505</formula>
    </cfRule>
    <cfRule type="cellIs" dxfId="7505" priority="8374" operator="between">
      <formula>0.48</formula>
      <formula>0.5</formula>
    </cfRule>
    <cfRule type="cellIs" dxfId="7504" priority="8375" stopIfTrue="1" operator="between">
      <formula>0</formula>
      <formula>0.255</formula>
    </cfRule>
  </conditionalFormatting>
  <conditionalFormatting sqref="AA306:AA310">
    <cfRule type="cellIs" dxfId="7503" priority="8366" operator="between">
      <formula>0.56251</formula>
      <formula>0.7125</formula>
    </cfRule>
    <cfRule type="cellIs" dxfId="7502" priority="8367" operator="between">
      <formula>0.3751</formula>
      <formula>0.5625</formula>
    </cfRule>
    <cfRule type="cellIs" dxfId="7501" priority="8368" operator="greaterThan">
      <formula>0.751</formula>
    </cfRule>
    <cfRule type="cellIs" dxfId="7500" priority="8369" operator="between">
      <formula>0.71251</formula>
      <formula>0.75</formula>
    </cfRule>
    <cfRule type="cellIs" dxfId="7499" priority="8370" stopIfTrue="1" operator="between">
      <formula>0</formula>
      <formula>0.375</formula>
    </cfRule>
  </conditionalFormatting>
  <conditionalFormatting sqref="AC306:AC310">
    <cfRule type="cellIs" dxfId="7498" priority="8361" operator="between">
      <formula>0.56251</formula>
      <formula>0.7125</formula>
    </cfRule>
    <cfRule type="cellIs" dxfId="7497" priority="8362" operator="between">
      <formula>0.3751</formula>
      <formula>0.5625</formula>
    </cfRule>
    <cfRule type="cellIs" dxfId="7496" priority="8363" operator="greaterThan">
      <formula>0.751</formula>
    </cfRule>
    <cfRule type="cellIs" dxfId="7495" priority="8364" operator="between">
      <formula>0.71251</formula>
      <formula>0.75</formula>
    </cfRule>
    <cfRule type="cellIs" dxfId="7494" priority="8365" stopIfTrue="1" operator="between">
      <formula>0</formula>
      <formula>0.375</formula>
    </cfRule>
  </conditionalFormatting>
  <conditionalFormatting sqref="AB306:AB310">
    <cfRule type="cellIs" dxfId="7493" priority="8356" operator="between">
      <formula>0.56251</formula>
      <formula>0.7125</formula>
    </cfRule>
    <cfRule type="cellIs" dxfId="7492" priority="8357" operator="between">
      <formula>0.3751</formula>
      <formula>0.5625</formula>
    </cfRule>
    <cfRule type="cellIs" dxfId="7491" priority="8358" operator="greaterThan">
      <formula>0.751</formula>
    </cfRule>
    <cfRule type="cellIs" dxfId="7490" priority="8359" operator="between">
      <formula>0.71251</formula>
      <formula>0.75</formula>
    </cfRule>
    <cfRule type="cellIs" dxfId="7489" priority="8360" stopIfTrue="1" operator="between">
      <formula>0</formula>
      <formula>0.375</formula>
    </cfRule>
  </conditionalFormatting>
  <conditionalFormatting sqref="S306:S308 S310">
    <cfRule type="cellIs" dxfId="7488" priority="8334" operator="between">
      <formula>0.76</formula>
      <formula>0.95</formula>
    </cfRule>
    <cfRule type="cellIs" dxfId="7487" priority="8335" operator="between">
      <formula>0.51</formula>
      <formula>0.75</formula>
    </cfRule>
    <cfRule type="cellIs" dxfId="7486" priority="8336" operator="greaterThan">
      <formula>1</formula>
    </cfRule>
    <cfRule type="cellIs" dxfId="7485" priority="8337" operator="between">
      <formula>0.95</formula>
      <formula>1</formula>
    </cfRule>
    <cfRule type="cellIs" dxfId="7484" priority="8338" stopIfTrue="1" operator="between">
      <formula>0</formula>
      <formula>0.5</formula>
    </cfRule>
  </conditionalFormatting>
  <conditionalFormatting sqref="Z306:Z307">
    <cfRule type="cellIs" dxfId="7483" priority="8329" operator="between">
      <formula>0.76</formula>
      <formula>0.95</formula>
    </cfRule>
    <cfRule type="cellIs" dxfId="7482" priority="8330" operator="between">
      <formula>0.51</formula>
      <formula>0.75</formula>
    </cfRule>
    <cfRule type="cellIs" dxfId="7481" priority="8331" operator="greaterThan">
      <formula>1</formula>
    </cfRule>
    <cfRule type="cellIs" dxfId="7480" priority="8332" operator="between">
      <formula>0.95</formula>
      <formula>1</formula>
    </cfRule>
    <cfRule type="cellIs" dxfId="7479" priority="8333" stopIfTrue="1" operator="between">
      <formula>0</formula>
      <formula>0.5</formula>
    </cfRule>
  </conditionalFormatting>
  <conditionalFormatting sqref="AG306:AG310">
    <cfRule type="cellIs" dxfId="7478" priority="8324" operator="between">
      <formula>0.76</formula>
      <formula>0.95</formula>
    </cfRule>
    <cfRule type="cellIs" dxfId="7477" priority="8325" operator="between">
      <formula>0.51</formula>
      <formula>0.75</formula>
    </cfRule>
    <cfRule type="cellIs" dxfId="7476" priority="8326" operator="greaterThan">
      <formula>1</formula>
    </cfRule>
    <cfRule type="cellIs" dxfId="7475" priority="8327" operator="between">
      <formula>0.95</formula>
      <formula>1</formula>
    </cfRule>
    <cfRule type="cellIs" dxfId="7474" priority="8328" stopIfTrue="1" operator="between">
      <formula>0</formula>
      <formula>0.5</formula>
    </cfRule>
  </conditionalFormatting>
  <conditionalFormatting sqref="S293">
    <cfRule type="cellIs" dxfId="7473" priority="8309" operator="between">
      <formula>0.76</formula>
      <formula>0.95</formula>
    </cfRule>
    <cfRule type="cellIs" dxfId="7472" priority="8310" operator="between">
      <formula>0.51</formula>
      <formula>0.75</formula>
    </cfRule>
    <cfRule type="cellIs" dxfId="7471" priority="8311" operator="greaterThan">
      <formula>1</formula>
    </cfRule>
    <cfRule type="cellIs" dxfId="7470" priority="8312" operator="between">
      <formula>0.95</formula>
      <formula>1</formula>
    </cfRule>
    <cfRule type="cellIs" dxfId="7469" priority="8313" stopIfTrue="1" operator="between">
      <formula>0</formula>
      <formula>0.5</formula>
    </cfRule>
  </conditionalFormatting>
  <conditionalFormatting sqref="S295">
    <cfRule type="cellIs" dxfId="7468" priority="8304" operator="between">
      <formula>0.76</formula>
      <formula>0.95</formula>
    </cfRule>
    <cfRule type="cellIs" dxfId="7467" priority="8305" operator="between">
      <formula>0.51</formula>
      <formula>0.75</formula>
    </cfRule>
    <cfRule type="cellIs" dxfId="7466" priority="8306" operator="greaterThan">
      <formula>1</formula>
    </cfRule>
    <cfRule type="cellIs" dxfId="7465" priority="8307" operator="between">
      <formula>0.95</formula>
      <formula>1</formula>
    </cfRule>
    <cfRule type="cellIs" dxfId="7464" priority="8308" stopIfTrue="1" operator="between">
      <formula>0</formula>
      <formula>0.5</formula>
    </cfRule>
  </conditionalFormatting>
  <conditionalFormatting sqref="S300:S302">
    <cfRule type="cellIs" dxfId="7463" priority="8299" operator="between">
      <formula>0.76</formula>
      <formula>0.95</formula>
    </cfRule>
    <cfRule type="cellIs" dxfId="7462" priority="8300" operator="between">
      <formula>0.51</formula>
      <formula>0.75</formula>
    </cfRule>
    <cfRule type="cellIs" dxfId="7461" priority="8301" operator="greaterThan">
      <formula>1</formula>
    </cfRule>
    <cfRule type="cellIs" dxfId="7460" priority="8302" operator="between">
      <formula>0.95</formula>
      <formula>1</formula>
    </cfRule>
    <cfRule type="cellIs" dxfId="7459" priority="8303" stopIfTrue="1" operator="between">
      <formula>0</formula>
      <formula>0.5</formula>
    </cfRule>
  </conditionalFormatting>
  <conditionalFormatting sqref="S304">
    <cfRule type="cellIs" dxfId="7458" priority="8294" operator="between">
      <formula>0.76</formula>
      <formula>0.95</formula>
    </cfRule>
    <cfRule type="cellIs" dxfId="7457" priority="8295" operator="between">
      <formula>0.51</formula>
      <formula>0.75</formula>
    </cfRule>
    <cfRule type="cellIs" dxfId="7456" priority="8296" operator="greaterThan">
      <formula>1</formula>
    </cfRule>
    <cfRule type="cellIs" dxfId="7455" priority="8297" operator="between">
      <formula>0.95</formula>
      <formula>1</formula>
    </cfRule>
    <cfRule type="cellIs" dxfId="7454" priority="8298" stopIfTrue="1" operator="between">
      <formula>0</formula>
      <formula>0.5</formula>
    </cfRule>
  </conditionalFormatting>
  <conditionalFormatting sqref="S309">
    <cfRule type="cellIs" dxfId="7453" priority="8289" operator="between">
      <formula>0.76</formula>
      <formula>0.95</formula>
    </cfRule>
    <cfRule type="cellIs" dxfId="7452" priority="8290" operator="between">
      <formula>0.51</formula>
      <formula>0.75</formula>
    </cfRule>
    <cfRule type="cellIs" dxfId="7451" priority="8291" operator="greaterThan">
      <formula>1</formula>
    </cfRule>
    <cfRule type="cellIs" dxfId="7450" priority="8292" operator="between">
      <formula>0.95</formula>
      <formula>1</formula>
    </cfRule>
    <cfRule type="cellIs" dxfId="7449" priority="8293" stopIfTrue="1" operator="between">
      <formula>0</formula>
      <formula>0.5</formula>
    </cfRule>
  </conditionalFormatting>
  <conditionalFormatting sqref="Z294">
    <cfRule type="cellIs" dxfId="7448" priority="8284" operator="between">
      <formula>0.76</formula>
      <formula>0.95</formula>
    </cfRule>
    <cfRule type="cellIs" dxfId="7447" priority="8285" operator="between">
      <formula>0.51</formula>
      <formula>0.75</formula>
    </cfRule>
    <cfRule type="cellIs" dxfId="7446" priority="8286" operator="greaterThan">
      <formula>1</formula>
    </cfRule>
    <cfRule type="cellIs" dxfId="7445" priority="8287" operator="between">
      <formula>0.95</formula>
      <formula>1</formula>
    </cfRule>
    <cfRule type="cellIs" dxfId="7444" priority="8288" stopIfTrue="1" operator="between">
      <formula>0</formula>
      <formula>0.5</formula>
    </cfRule>
  </conditionalFormatting>
  <conditionalFormatting sqref="Z296">
    <cfRule type="cellIs" dxfId="7443" priority="8279" operator="between">
      <formula>0.76</formula>
      <formula>0.95</formula>
    </cfRule>
    <cfRule type="cellIs" dxfId="7442" priority="8280" operator="between">
      <formula>0.51</formula>
      <formula>0.75</formula>
    </cfRule>
    <cfRule type="cellIs" dxfId="7441" priority="8281" operator="greaterThan">
      <formula>1</formula>
    </cfRule>
    <cfRule type="cellIs" dxfId="7440" priority="8282" operator="between">
      <formula>0.95</formula>
      <formula>1</formula>
    </cfRule>
    <cfRule type="cellIs" dxfId="7439" priority="8283" stopIfTrue="1" operator="between">
      <formula>0</formula>
      <formula>0.5</formula>
    </cfRule>
  </conditionalFormatting>
  <conditionalFormatting sqref="Z298">
    <cfRule type="cellIs" dxfId="7438" priority="8274" operator="between">
      <formula>0.76</formula>
      <formula>0.95</formula>
    </cfRule>
    <cfRule type="cellIs" dxfId="7437" priority="8275" operator="between">
      <formula>0.51</formula>
      <formula>0.75</formula>
    </cfRule>
    <cfRule type="cellIs" dxfId="7436" priority="8276" operator="greaterThan">
      <formula>1</formula>
    </cfRule>
    <cfRule type="cellIs" dxfId="7435" priority="8277" operator="between">
      <formula>0.95</formula>
      <formula>1</formula>
    </cfRule>
    <cfRule type="cellIs" dxfId="7434" priority="8278" stopIfTrue="1" operator="between">
      <formula>0</formula>
      <formula>0.5</formula>
    </cfRule>
  </conditionalFormatting>
  <conditionalFormatting sqref="Z303">
    <cfRule type="cellIs" dxfId="7433" priority="8269" operator="between">
      <formula>0.76</formula>
      <formula>0.95</formula>
    </cfRule>
    <cfRule type="cellIs" dxfId="7432" priority="8270" operator="between">
      <formula>0.51</formula>
      <formula>0.75</formula>
    </cfRule>
    <cfRule type="cellIs" dxfId="7431" priority="8271" operator="greaterThan">
      <formula>1</formula>
    </cfRule>
    <cfRule type="cellIs" dxfId="7430" priority="8272" operator="between">
      <formula>0.95</formula>
      <formula>1</formula>
    </cfRule>
    <cfRule type="cellIs" dxfId="7429" priority="8273" stopIfTrue="1" operator="between">
      <formula>0</formula>
      <formula>0.5</formula>
    </cfRule>
  </conditionalFormatting>
  <conditionalFormatting sqref="Z305">
    <cfRule type="cellIs" dxfId="7428" priority="8264" operator="between">
      <formula>0.76</formula>
      <formula>0.95</formula>
    </cfRule>
    <cfRule type="cellIs" dxfId="7427" priority="8265" operator="between">
      <formula>0.51</formula>
      <formula>0.75</formula>
    </cfRule>
    <cfRule type="cellIs" dxfId="7426" priority="8266" operator="greaterThan">
      <formula>1</formula>
    </cfRule>
    <cfRule type="cellIs" dxfId="7425" priority="8267" operator="between">
      <formula>0.95</formula>
      <formula>1</formula>
    </cfRule>
    <cfRule type="cellIs" dxfId="7424" priority="8268" stopIfTrue="1" operator="between">
      <formula>0</formula>
      <formula>0.5</formula>
    </cfRule>
  </conditionalFormatting>
  <conditionalFormatting sqref="Z308">
    <cfRule type="cellIs" dxfId="7423" priority="8259" operator="between">
      <formula>0.76</formula>
      <formula>0.95</formula>
    </cfRule>
    <cfRule type="cellIs" dxfId="7422" priority="8260" operator="between">
      <formula>0.51</formula>
      <formula>0.75</formula>
    </cfRule>
    <cfRule type="cellIs" dxfId="7421" priority="8261" operator="greaterThan">
      <formula>1</formula>
    </cfRule>
    <cfRule type="cellIs" dxfId="7420" priority="8262" operator="between">
      <formula>0.95</formula>
      <formula>1</formula>
    </cfRule>
    <cfRule type="cellIs" dxfId="7419" priority="8263" stopIfTrue="1" operator="between">
      <formula>0</formula>
      <formula>0.5</formula>
    </cfRule>
  </conditionalFormatting>
  <conditionalFormatting sqref="Z309">
    <cfRule type="cellIs" dxfId="7418" priority="8254" operator="between">
      <formula>0.76</formula>
      <formula>0.95</formula>
    </cfRule>
    <cfRule type="cellIs" dxfId="7417" priority="8255" operator="between">
      <formula>0.51</formula>
      <formula>0.75</formula>
    </cfRule>
    <cfRule type="cellIs" dxfId="7416" priority="8256" operator="greaterThan">
      <formula>1</formula>
    </cfRule>
    <cfRule type="cellIs" dxfId="7415" priority="8257" operator="between">
      <formula>0.95</formula>
      <formula>1</formula>
    </cfRule>
    <cfRule type="cellIs" dxfId="7414" priority="8258" stopIfTrue="1" operator="between">
      <formula>0</formula>
      <formula>0.5</formula>
    </cfRule>
  </conditionalFormatting>
  <conditionalFormatting sqref="Z310">
    <cfRule type="cellIs" dxfId="7413" priority="8249" operator="between">
      <formula>0.76</formula>
      <formula>0.95</formula>
    </cfRule>
    <cfRule type="cellIs" dxfId="7412" priority="8250" operator="between">
      <formula>0.51</formula>
      <formula>0.75</formula>
    </cfRule>
    <cfRule type="cellIs" dxfId="7411" priority="8251" operator="greaterThan">
      <formula>1</formula>
    </cfRule>
    <cfRule type="cellIs" dxfId="7410" priority="8252" operator="between">
      <formula>0.95</formula>
      <formula>1</formula>
    </cfRule>
    <cfRule type="cellIs" dxfId="7409" priority="8253" stopIfTrue="1" operator="between">
      <formula>0</formula>
      <formula>0.5</formula>
    </cfRule>
  </conditionalFormatting>
  <conditionalFormatting sqref="AI311:AI333">
    <cfRule type="cellIs" dxfId="7408" priority="8244" operator="between">
      <formula>0.76</formula>
      <formula>0.95</formula>
    </cfRule>
    <cfRule type="cellIs" dxfId="7407" priority="8245" operator="between">
      <formula>0.51</formula>
      <formula>0.75</formula>
    </cfRule>
    <cfRule type="cellIs" dxfId="7406" priority="8246" operator="greaterThan">
      <formula>1</formula>
    </cfRule>
    <cfRule type="cellIs" dxfId="7405" priority="8247" operator="between">
      <formula>0.95</formula>
      <formula>1</formula>
    </cfRule>
    <cfRule type="cellIs" dxfId="7404" priority="8248" stopIfTrue="1" operator="between">
      <formula>0</formula>
      <formula>0.5</formula>
    </cfRule>
  </conditionalFormatting>
  <conditionalFormatting sqref="R311:R333">
    <cfRule type="cellIs" dxfId="7403" priority="8234" operator="between">
      <formula>0.76</formula>
      <formula>0.95</formula>
    </cfRule>
    <cfRule type="cellIs" dxfId="7402" priority="8235" operator="between">
      <formula>0.51</formula>
      <formula>0.75</formula>
    </cfRule>
    <cfRule type="cellIs" dxfId="7401" priority="8236" operator="greaterThan">
      <formula>1</formula>
    </cfRule>
    <cfRule type="cellIs" dxfId="7400" priority="8237" operator="between">
      <formula>0.95</formula>
      <formula>1</formula>
    </cfRule>
    <cfRule type="cellIs" dxfId="7399" priority="8238" stopIfTrue="1" operator="between">
      <formula>0</formula>
      <formula>0.5</formula>
    </cfRule>
  </conditionalFormatting>
  <conditionalFormatting sqref="Y311:Y333">
    <cfRule type="cellIs" dxfId="7398" priority="8229" operator="between">
      <formula>0.76</formula>
      <formula>0.95</formula>
    </cfRule>
    <cfRule type="cellIs" dxfId="7397" priority="8230" operator="between">
      <formula>0.51</formula>
      <formula>0.75</formula>
    </cfRule>
    <cfRule type="cellIs" dxfId="7396" priority="8231" operator="greaterThan">
      <formula>1</formula>
    </cfRule>
    <cfRule type="cellIs" dxfId="7395" priority="8232" operator="between">
      <formula>0.95</formula>
      <formula>1</formula>
    </cfRule>
    <cfRule type="cellIs" dxfId="7394" priority="8233" stopIfTrue="1" operator="between">
      <formula>0</formula>
      <formula>0.5</formula>
    </cfRule>
  </conditionalFormatting>
  <conditionalFormatting sqref="AF311:AF333">
    <cfRule type="cellIs" dxfId="7393" priority="8224" operator="between">
      <formula>0.76</formula>
      <formula>0.95</formula>
    </cfRule>
    <cfRule type="cellIs" dxfId="7392" priority="8225" operator="between">
      <formula>0.51</formula>
      <formula>0.75</formula>
    </cfRule>
    <cfRule type="cellIs" dxfId="7391" priority="8226" operator="greaterThan">
      <formula>1</formula>
    </cfRule>
    <cfRule type="cellIs" dxfId="7390" priority="8227" operator="between">
      <formula>0.95</formula>
      <formula>1</formula>
    </cfRule>
    <cfRule type="cellIs" dxfId="7389" priority="8228" stopIfTrue="1" operator="between">
      <formula>0</formula>
      <formula>0.5</formula>
    </cfRule>
  </conditionalFormatting>
  <conditionalFormatting sqref="AH311:AH333">
    <cfRule type="cellIs" dxfId="7388" priority="8219" operator="between">
      <formula>0.76</formula>
      <formula>0.95</formula>
    </cfRule>
    <cfRule type="cellIs" dxfId="7387" priority="8220" operator="between">
      <formula>0.51</formula>
      <formula>0.75</formula>
    </cfRule>
    <cfRule type="cellIs" dxfId="7386" priority="8221" operator="greaterThan">
      <formula>1</formula>
    </cfRule>
    <cfRule type="cellIs" dxfId="7385" priority="8222" operator="between">
      <formula>0.95</formula>
      <formula>1</formula>
    </cfRule>
    <cfRule type="cellIs" dxfId="7384" priority="8223" stopIfTrue="1" operator="between">
      <formula>0</formula>
      <formula>0.5</formula>
    </cfRule>
  </conditionalFormatting>
  <conditionalFormatting sqref="T311:T333">
    <cfRule type="cellIs" dxfId="7383" priority="8204" operator="between">
      <formula>0.3751</formula>
      <formula>0.475</formula>
    </cfRule>
    <cfRule type="cellIs" dxfId="7382" priority="8205" operator="between">
      <formula>0.2551</formula>
      <formula>0.375</formula>
    </cfRule>
    <cfRule type="cellIs" dxfId="7381" priority="8206" operator="greaterThan">
      <formula>0.505</formula>
    </cfRule>
    <cfRule type="cellIs" dxfId="7380" priority="8207" operator="between">
      <formula>0.48</formula>
      <formula>0.5</formula>
    </cfRule>
    <cfRule type="cellIs" dxfId="7379" priority="8208" stopIfTrue="1" operator="between">
      <formula>0</formula>
      <formula>0.255</formula>
    </cfRule>
  </conditionalFormatting>
  <conditionalFormatting sqref="U313:V319 U311:U312 U323:V323 U320:U322 U325:V326 U324 U332:V333 U327:U331">
    <cfRule type="cellIs" dxfId="7378" priority="8199" operator="between">
      <formula>0.376</formula>
      <formula>0.475</formula>
    </cfRule>
    <cfRule type="cellIs" dxfId="7377" priority="8200" operator="between">
      <formula>0.2551</formula>
      <formula>0.3751</formula>
    </cfRule>
    <cfRule type="cellIs" dxfId="7376" priority="8201" operator="greaterThan">
      <formula>0.505</formula>
    </cfRule>
    <cfRule type="cellIs" dxfId="7375" priority="8202" operator="between">
      <formula>0.48</formula>
      <formula>0.5</formula>
    </cfRule>
    <cfRule type="cellIs" dxfId="7374" priority="8203" stopIfTrue="1" operator="between">
      <formula>0</formula>
      <formula>0.255</formula>
    </cfRule>
  </conditionalFormatting>
  <conditionalFormatting sqref="AA311:AA333">
    <cfRule type="cellIs" dxfId="7373" priority="8194" operator="between">
      <formula>0.56251</formula>
      <formula>0.7125</formula>
    </cfRule>
    <cfRule type="cellIs" dxfId="7372" priority="8195" operator="between">
      <formula>0.3751</formula>
      <formula>0.5625</formula>
    </cfRule>
    <cfRule type="cellIs" dxfId="7371" priority="8196" operator="greaterThan">
      <formula>0.751</formula>
    </cfRule>
    <cfRule type="cellIs" dxfId="7370" priority="8197" operator="between">
      <formula>0.71251</formula>
      <formula>0.75</formula>
    </cfRule>
    <cfRule type="cellIs" dxfId="7369" priority="8198" stopIfTrue="1" operator="between">
      <formula>0</formula>
      <formula>0.375</formula>
    </cfRule>
  </conditionalFormatting>
  <conditionalFormatting sqref="AC311:AC333">
    <cfRule type="cellIs" dxfId="7368" priority="8189" operator="between">
      <formula>0.56251</formula>
      <formula>0.7125</formula>
    </cfRule>
    <cfRule type="cellIs" dxfId="7367" priority="8190" operator="between">
      <formula>0.3751</formula>
      <formula>0.5625</formula>
    </cfRule>
    <cfRule type="cellIs" dxfId="7366" priority="8191" operator="greaterThan">
      <formula>0.751</formula>
    </cfRule>
    <cfRule type="cellIs" dxfId="7365" priority="8192" operator="between">
      <formula>0.71251</formula>
      <formula>0.75</formula>
    </cfRule>
    <cfRule type="cellIs" dxfId="7364" priority="8193" stopIfTrue="1" operator="between">
      <formula>0</formula>
      <formula>0.375</formula>
    </cfRule>
  </conditionalFormatting>
  <conditionalFormatting sqref="AB311:AB333">
    <cfRule type="cellIs" dxfId="7363" priority="8184" operator="between">
      <formula>0.56251</formula>
      <formula>0.7125</formula>
    </cfRule>
    <cfRule type="cellIs" dxfId="7362" priority="8185" operator="between">
      <formula>0.3751</formula>
      <formula>0.5625</formula>
    </cfRule>
    <cfRule type="cellIs" dxfId="7361" priority="8186" operator="greaterThan">
      <formula>0.751</formula>
    </cfRule>
    <cfRule type="cellIs" dxfId="7360" priority="8187" operator="between">
      <formula>0.71251</formula>
      <formula>0.75</formula>
    </cfRule>
    <cfRule type="cellIs" dxfId="7359" priority="8188" stopIfTrue="1" operator="between">
      <formula>0</formula>
      <formula>0.375</formula>
    </cfRule>
  </conditionalFormatting>
  <conditionalFormatting sqref="S313:S319 S322:S323 S325:S326 S332:S333">
    <cfRule type="cellIs" dxfId="7358" priority="8162" operator="between">
      <formula>0.76</formula>
      <formula>0.95</formula>
    </cfRule>
    <cfRule type="cellIs" dxfId="7357" priority="8163" operator="between">
      <formula>0.51</formula>
      <formula>0.75</formula>
    </cfRule>
    <cfRule type="cellIs" dxfId="7356" priority="8164" operator="greaterThan">
      <formula>1</formula>
    </cfRule>
    <cfRule type="cellIs" dxfId="7355" priority="8165" operator="between">
      <formula>0.95</formula>
      <formula>1</formula>
    </cfRule>
    <cfRule type="cellIs" dxfId="7354" priority="8166" stopIfTrue="1" operator="between">
      <formula>0</formula>
      <formula>0.5</formula>
    </cfRule>
  </conditionalFormatting>
  <conditionalFormatting sqref="AG311:AG314 AG316 AG319 AG321:AG322 AG324:AG326">
    <cfRule type="cellIs" dxfId="7353" priority="8157" operator="between">
      <formula>0.76</formula>
      <formula>0.95</formula>
    </cfRule>
    <cfRule type="cellIs" dxfId="7352" priority="8158" operator="between">
      <formula>0.51</formula>
      <formula>0.75</formula>
    </cfRule>
    <cfRule type="cellIs" dxfId="7351" priority="8159" operator="greaterThan">
      <formula>1</formula>
    </cfRule>
    <cfRule type="cellIs" dxfId="7350" priority="8160" operator="between">
      <formula>0.95</formula>
      <formula>1</formula>
    </cfRule>
    <cfRule type="cellIs" dxfId="7349" priority="8161" stopIfTrue="1" operator="between">
      <formula>0</formula>
      <formula>0.5</formula>
    </cfRule>
  </conditionalFormatting>
  <conditionalFormatting sqref="Z311:Z333">
    <cfRule type="cellIs" dxfId="7348" priority="8152" operator="between">
      <formula>0.76</formula>
      <formula>0.95</formula>
    </cfRule>
    <cfRule type="cellIs" dxfId="7347" priority="8153" operator="between">
      <formula>0.51</formula>
      <formula>0.75</formula>
    </cfRule>
    <cfRule type="cellIs" dxfId="7346" priority="8154" operator="greaterThan">
      <formula>1</formula>
    </cfRule>
    <cfRule type="cellIs" dxfId="7345" priority="8155" operator="between">
      <formula>0.95</formula>
      <formula>1</formula>
    </cfRule>
    <cfRule type="cellIs" dxfId="7344" priority="8156" stopIfTrue="1" operator="between">
      <formula>0</formula>
      <formula>0.5</formula>
    </cfRule>
  </conditionalFormatting>
  <conditionalFormatting sqref="S311">
    <cfRule type="cellIs" dxfId="7343" priority="8147" operator="between">
      <formula>0.76</formula>
      <formula>0.95</formula>
    </cfRule>
    <cfRule type="cellIs" dxfId="7342" priority="8148" operator="between">
      <formula>0.51</formula>
      <formula>0.75</formula>
    </cfRule>
    <cfRule type="cellIs" dxfId="7341" priority="8149" operator="greaterThan">
      <formula>1</formula>
    </cfRule>
    <cfRule type="cellIs" dxfId="7340" priority="8150" operator="between">
      <formula>0.95</formula>
      <formula>1</formula>
    </cfRule>
    <cfRule type="cellIs" dxfId="7339" priority="8151" stopIfTrue="1" operator="between">
      <formula>0</formula>
      <formula>0.5</formula>
    </cfRule>
  </conditionalFormatting>
  <conditionalFormatting sqref="S312">
    <cfRule type="cellIs" dxfId="7338" priority="8142" operator="between">
      <formula>0.76</formula>
      <formula>0.95</formula>
    </cfRule>
    <cfRule type="cellIs" dxfId="7337" priority="8143" operator="between">
      <formula>0.51</formula>
      <formula>0.75</formula>
    </cfRule>
    <cfRule type="cellIs" dxfId="7336" priority="8144" operator="greaterThan">
      <formula>1</formula>
    </cfRule>
    <cfRule type="cellIs" dxfId="7335" priority="8145" operator="between">
      <formula>0.95</formula>
      <formula>1</formula>
    </cfRule>
    <cfRule type="cellIs" dxfId="7334" priority="8146" stopIfTrue="1" operator="between">
      <formula>0</formula>
      <formula>0.5</formula>
    </cfRule>
  </conditionalFormatting>
  <conditionalFormatting sqref="V311">
    <cfRule type="cellIs" dxfId="7333" priority="8137" operator="between">
      <formula>0.376</formula>
      <formula>0.475</formula>
    </cfRule>
    <cfRule type="cellIs" dxfId="7332" priority="8138" operator="between">
      <formula>0.2551</formula>
      <formula>0.3751</formula>
    </cfRule>
    <cfRule type="cellIs" dxfId="7331" priority="8139" operator="greaterThan">
      <formula>0.505</formula>
    </cfRule>
    <cfRule type="cellIs" dxfId="7330" priority="8140" operator="between">
      <formula>0.48</formula>
      <formula>0.5</formula>
    </cfRule>
    <cfRule type="cellIs" dxfId="7329" priority="8141" stopIfTrue="1" operator="between">
      <formula>0</formula>
      <formula>0.255</formula>
    </cfRule>
  </conditionalFormatting>
  <conditionalFormatting sqref="V312">
    <cfRule type="cellIs" dxfId="7328" priority="8132" operator="between">
      <formula>0.376</formula>
      <formula>0.475</formula>
    </cfRule>
    <cfRule type="cellIs" dxfId="7327" priority="8133" operator="between">
      <formula>0.2551</formula>
      <formula>0.3751</formula>
    </cfRule>
    <cfRule type="cellIs" dxfId="7326" priority="8134" operator="greaterThan">
      <formula>0.505</formula>
    </cfRule>
    <cfRule type="cellIs" dxfId="7325" priority="8135" operator="between">
      <formula>0.48</formula>
      <formula>0.5</formula>
    </cfRule>
    <cfRule type="cellIs" dxfId="7324" priority="8136" stopIfTrue="1" operator="between">
      <formula>0</formula>
      <formula>0.255</formula>
    </cfRule>
  </conditionalFormatting>
  <conditionalFormatting sqref="S320">
    <cfRule type="cellIs" dxfId="7323" priority="8127" operator="between">
      <formula>0.76</formula>
      <formula>0.95</formula>
    </cfRule>
    <cfRule type="cellIs" dxfId="7322" priority="8128" operator="between">
      <formula>0.51</formula>
      <formula>0.75</formula>
    </cfRule>
    <cfRule type="cellIs" dxfId="7321" priority="8129" operator="greaterThan">
      <formula>1</formula>
    </cfRule>
    <cfRule type="cellIs" dxfId="7320" priority="8130" operator="between">
      <formula>0.95</formula>
      <formula>1</formula>
    </cfRule>
    <cfRule type="cellIs" dxfId="7319" priority="8131" stopIfTrue="1" operator="between">
      <formula>0</formula>
      <formula>0.5</formula>
    </cfRule>
  </conditionalFormatting>
  <conditionalFormatting sqref="S321">
    <cfRule type="cellIs" dxfId="7318" priority="8122" operator="between">
      <formula>0.76</formula>
      <formula>0.95</formula>
    </cfRule>
    <cfRule type="cellIs" dxfId="7317" priority="8123" operator="between">
      <formula>0.51</formula>
      <formula>0.75</formula>
    </cfRule>
    <cfRule type="cellIs" dxfId="7316" priority="8124" operator="greaterThan">
      <formula>1</formula>
    </cfRule>
    <cfRule type="cellIs" dxfId="7315" priority="8125" operator="between">
      <formula>0.95</formula>
      <formula>1</formula>
    </cfRule>
    <cfRule type="cellIs" dxfId="7314" priority="8126" stopIfTrue="1" operator="between">
      <formula>0</formula>
      <formula>0.5</formula>
    </cfRule>
  </conditionalFormatting>
  <conditionalFormatting sqref="V320">
    <cfRule type="cellIs" dxfId="7313" priority="8117" operator="between">
      <formula>0.376</formula>
      <formula>0.475</formula>
    </cfRule>
    <cfRule type="cellIs" dxfId="7312" priority="8118" operator="between">
      <formula>0.2551</formula>
      <formula>0.3751</formula>
    </cfRule>
    <cfRule type="cellIs" dxfId="7311" priority="8119" operator="greaterThan">
      <formula>0.505</formula>
    </cfRule>
    <cfRule type="cellIs" dxfId="7310" priority="8120" operator="between">
      <formula>0.48</formula>
      <formula>0.5</formula>
    </cfRule>
    <cfRule type="cellIs" dxfId="7309" priority="8121" stopIfTrue="1" operator="between">
      <formula>0</formula>
      <formula>0.255</formula>
    </cfRule>
  </conditionalFormatting>
  <conditionalFormatting sqref="V321">
    <cfRule type="cellIs" dxfId="7308" priority="8112" operator="between">
      <formula>0.376</formula>
      <formula>0.475</formula>
    </cfRule>
    <cfRule type="cellIs" dxfId="7307" priority="8113" operator="between">
      <formula>0.2551</formula>
      <formula>0.3751</formula>
    </cfRule>
    <cfRule type="cellIs" dxfId="7306" priority="8114" operator="greaterThan">
      <formula>0.505</formula>
    </cfRule>
    <cfRule type="cellIs" dxfId="7305" priority="8115" operator="between">
      <formula>0.48</formula>
      <formula>0.5</formula>
    </cfRule>
    <cfRule type="cellIs" dxfId="7304" priority="8116" stopIfTrue="1" operator="between">
      <formula>0</formula>
      <formula>0.255</formula>
    </cfRule>
  </conditionalFormatting>
  <conditionalFormatting sqref="V322">
    <cfRule type="cellIs" dxfId="7303" priority="8097" operator="between">
      <formula>0.376</formula>
      <formula>0.475</formula>
    </cfRule>
    <cfRule type="cellIs" dxfId="7302" priority="8098" operator="between">
      <formula>0.2551</formula>
      <formula>0.3751</formula>
    </cfRule>
    <cfRule type="cellIs" dxfId="7301" priority="8099" operator="greaterThan">
      <formula>0.505</formula>
    </cfRule>
    <cfRule type="cellIs" dxfId="7300" priority="8100" operator="between">
      <formula>0.48</formula>
      <formula>0.5</formula>
    </cfRule>
    <cfRule type="cellIs" dxfId="7299" priority="8101" stopIfTrue="1" operator="between">
      <formula>0</formula>
      <formula>0.255</formula>
    </cfRule>
  </conditionalFormatting>
  <conditionalFormatting sqref="S324">
    <cfRule type="cellIs" dxfId="7298" priority="8092" operator="between">
      <formula>0.76</formula>
      <formula>0.95</formula>
    </cfRule>
    <cfRule type="cellIs" dxfId="7297" priority="8093" operator="between">
      <formula>0.51</formula>
      <formula>0.75</formula>
    </cfRule>
    <cfRule type="cellIs" dxfId="7296" priority="8094" operator="greaterThan">
      <formula>1</formula>
    </cfRule>
    <cfRule type="cellIs" dxfId="7295" priority="8095" operator="between">
      <formula>0.95</formula>
      <formula>1</formula>
    </cfRule>
    <cfRule type="cellIs" dxfId="7294" priority="8096" stopIfTrue="1" operator="between">
      <formula>0</formula>
      <formula>0.5</formula>
    </cfRule>
  </conditionalFormatting>
  <conditionalFormatting sqref="V324">
    <cfRule type="cellIs" dxfId="7293" priority="8087" operator="between">
      <formula>0.376</formula>
      <formula>0.475</formula>
    </cfRule>
    <cfRule type="cellIs" dxfId="7292" priority="8088" operator="between">
      <formula>0.2551</formula>
      <formula>0.3751</formula>
    </cfRule>
    <cfRule type="cellIs" dxfId="7291" priority="8089" operator="greaterThan">
      <formula>0.505</formula>
    </cfRule>
    <cfRule type="cellIs" dxfId="7290" priority="8090" operator="between">
      <formula>0.48</formula>
      <formula>0.5</formula>
    </cfRule>
    <cfRule type="cellIs" dxfId="7289" priority="8091" stopIfTrue="1" operator="between">
      <formula>0</formula>
      <formula>0.255</formula>
    </cfRule>
  </conditionalFormatting>
  <conditionalFormatting sqref="S327:S331">
    <cfRule type="cellIs" dxfId="7288" priority="8082" operator="between">
      <formula>0.76</formula>
      <formula>0.95</formula>
    </cfRule>
    <cfRule type="cellIs" dxfId="7287" priority="8083" operator="between">
      <formula>0.51</formula>
      <formula>0.75</formula>
    </cfRule>
    <cfRule type="cellIs" dxfId="7286" priority="8084" operator="greaterThan">
      <formula>1</formula>
    </cfRule>
    <cfRule type="cellIs" dxfId="7285" priority="8085" operator="between">
      <formula>0.95</formula>
      <formula>1</formula>
    </cfRule>
    <cfRule type="cellIs" dxfId="7284" priority="8086" stopIfTrue="1" operator="between">
      <formula>0</formula>
      <formula>0.5</formula>
    </cfRule>
  </conditionalFormatting>
  <conditionalFormatting sqref="V327:V331">
    <cfRule type="cellIs" dxfId="7283" priority="8077" operator="between">
      <formula>0.376</formula>
      <formula>0.475</formula>
    </cfRule>
    <cfRule type="cellIs" dxfId="7282" priority="8078" operator="between">
      <formula>0.2551</formula>
      <formula>0.3751</formula>
    </cfRule>
    <cfRule type="cellIs" dxfId="7281" priority="8079" operator="greaterThan">
      <formula>0.505</formula>
    </cfRule>
    <cfRule type="cellIs" dxfId="7280" priority="8080" operator="between">
      <formula>0.48</formula>
      <formula>0.5</formula>
    </cfRule>
    <cfRule type="cellIs" dxfId="7279" priority="8081" stopIfTrue="1" operator="between">
      <formula>0</formula>
      <formula>0.255</formula>
    </cfRule>
  </conditionalFormatting>
  <conditionalFormatting sqref="AG315">
    <cfRule type="cellIs" dxfId="7278" priority="8062" operator="between">
      <formula>0.76</formula>
      <formula>0.95</formula>
    </cfRule>
    <cfRule type="cellIs" dxfId="7277" priority="8063" operator="between">
      <formula>0.51</formula>
      <formula>0.75</formula>
    </cfRule>
    <cfRule type="cellIs" dxfId="7276" priority="8064" operator="greaterThan">
      <formula>1</formula>
    </cfRule>
    <cfRule type="cellIs" dxfId="7275" priority="8065" operator="between">
      <formula>0.95</formula>
      <formula>1</formula>
    </cfRule>
    <cfRule type="cellIs" dxfId="7274" priority="8066" stopIfTrue="1" operator="between">
      <formula>0</formula>
      <formula>0.5</formula>
    </cfRule>
  </conditionalFormatting>
  <conditionalFormatting sqref="AG317">
    <cfRule type="cellIs" dxfId="7273" priority="8057" operator="between">
      <formula>0.76</formula>
      <formula>0.95</formula>
    </cfRule>
    <cfRule type="cellIs" dxfId="7272" priority="8058" operator="between">
      <formula>0.51</formula>
      <formula>0.75</formula>
    </cfRule>
    <cfRule type="cellIs" dxfId="7271" priority="8059" operator="greaterThan">
      <formula>1</formula>
    </cfRule>
    <cfRule type="cellIs" dxfId="7270" priority="8060" operator="between">
      <formula>0.95</formula>
      <formula>1</formula>
    </cfRule>
    <cfRule type="cellIs" dxfId="7269" priority="8061" stopIfTrue="1" operator="between">
      <formula>0</formula>
      <formula>0.5</formula>
    </cfRule>
  </conditionalFormatting>
  <conditionalFormatting sqref="AG318">
    <cfRule type="cellIs" dxfId="7268" priority="8052" operator="between">
      <formula>0.76</formula>
      <formula>0.95</formula>
    </cfRule>
    <cfRule type="cellIs" dxfId="7267" priority="8053" operator="between">
      <formula>0.51</formula>
      <formula>0.75</formula>
    </cfRule>
    <cfRule type="cellIs" dxfId="7266" priority="8054" operator="greaterThan">
      <formula>1</formula>
    </cfRule>
    <cfRule type="cellIs" dxfId="7265" priority="8055" operator="between">
      <formula>0.95</formula>
      <formula>1</formula>
    </cfRule>
    <cfRule type="cellIs" dxfId="7264" priority="8056" stopIfTrue="1" operator="between">
      <formula>0</formula>
      <formula>0.5</formula>
    </cfRule>
  </conditionalFormatting>
  <conditionalFormatting sqref="AG320">
    <cfRule type="cellIs" dxfId="7263" priority="8047" operator="between">
      <formula>0.76</formula>
      <formula>0.95</formula>
    </cfRule>
    <cfRule type="cellIs" dxfId="7262" priority="8048" operator="between">
      <formula>0.51</formula>
      <formula>0.75</formula>
    </cfRule>
    <cfRule type="cellIs" dxfId="7261" priority="8049" operator="greaterThan">
      <formula>1</formula>
    </cfRule>
    <cfRule type="cellIs" dxfId="7260" priority="8050" operator="between">
      <formula>0.95</formula>
      <formula>1</formula>
    </cfRule>
    <cfRule type="cellIs" dxfId="7259" priority="8051" stopIfTrue="1" operator="between">
      <formula>0</formula>
      <formula>0.5</formula>
    </cfRule>
  </conditionalFormatting>
  <conditionalFormatting sqref="AG323">
    <cfRule type="cellIs" dxfId="7258" priority="8042" operator="between">
      <formula>0.76</formula>
      <formula>0.95</formula>
    </cfRule>
    <cfRule type="cellIs" dxfId="7257" priority="8043" operator="between">
      <formula>0.51</formula>
      <formula>0.75</formula>
    </cfRule>
    <cfRule type="cellIs" dxfId="7256" priority="8044" operator="greaterThan">
      <formula>1</formula>
    </cfRule>
    <cfRule type="cellIs" dxfId="7255" priority="8045" operator="between">
      <formula>0.95</formula>
      <formula>1</formula>
    </cfRule>
    <cfRule type="cellIs" dxfId="7254" priority="8046" stopIfTrue="1" operator="between">
      <formula>0</formula>
      <formula>0.5</formula>
    </cfRule>
  </conditionalFormatting>
  <conditionalFormatting sqref="AG327:AG333">
    <cfRule type="cellIs" dxfId="7253" priority="8037" operator="between">
      <formula>0.76</formula>
      <formula>0.95</formula>
    </cfRule>
    <cfRule type="cellIs" dxfId="7252" priority="8038" operator="between">
      <formula>0.51</formula>
      <formula>0.75</formula>
    </cfRule>
    <cfRule type="cellIs" dxfId="7251" priority="8039" operator="greaterThan">
      <formula>1</formula>
    </cfRule>
    <cfRule type="cellIs" dxfId="7250" priority="8040" operator="between">
      <formula>0.95</formula>
      <formula>1</formula>
    </cfRule>
    <cfRule type="cellIs" dxfId="7249" priority="8041" stopIfTrue="1" operator="between">
      <formula>0</formula>
      <formula>0.5</formula>
    </cfRule>
  </conditionalFormatting>
  <conditionalFormatting sqref="Y258 AF258:AI258 R258">
    <cfRule type="cellIs" dxfId="7248" priority="8032" operator="between">
      <formula>0.76</formula>
      <formula>0.95</formula>
    </cfRule>
    <cfRule type="cellIs" dxfId="7247" priority="8033" operator="between">
      <formula>0.51</formula>
      <formula>0.75</formula>
    </cfRule>
    <cfRule type="cellIs" dxfId="7246" priority="8034" operator="greaterThan">
      <formula>1</formula>
    </cfRule>
    <cfRule type="cellIs" dxfId="7245" priority="8035" operator="between">
      <formula>0.95</formula>
      <formula>1</formula>
    </cfRule>
    <cfRule type="cellIs" dxfId="7244" priority="8036" stopIfTrue="1" operator="between">
      <formula>0</formula>
      <formula>0.5</formula>
    </cfRule>
  </conditionalFormatting>
  <conditionalFormatting sqref="T258">
    <cfRule type="cellIs" dxfId="7243" priority="8027" operator="between">
      <formula>0.3751</formula>
      <formula>0.475</formula>
    </cfRule>
    <cfRule type="cellIs" dxfId="7242" priority="8028" operator="between">
      <formula>0.2551</formula>
      <formula>0.375</formula>
    </cfRule>
    <cfRule type="cellIs" dxfId="7241" priority="8029" operator="greaterThan">
      <formula>0.505</formula>
    </cfRule>
    <cfRule type="cellIs" dxfId="7240" priority="8030" operator="between">
      <formula>0.48</formula>
      <formula>0.5</formula>
    </cfRule>
    <cfRule type="cellIs" dxfId="7239" priority="8031" stopIfTrue="1" operator="between">
      <formula>0</formula>
      <formula>0.255</formula>
    </cfRule>
  </conditionalFormatting>
  <conditionalFormatting sqref="AA258:AB258">
    <cfRule type="cellIs" dxfId="7238" priority="8022" operator="between">
      <formula>0.56251</formula>
      <formula>0.7125</formula>
    </cfRule>
    <cfRule type="cellIs" dxfId="7237" priority="8023" operator="between">
      <formula>0.3751</formula>
      <formula>0.5625</formula>
    </cfRule>
    <cfRule type="cellIs" dxfId="7236" priority="8024" operator="greaterThan">
      <formula>0.751</formula>
    </cfRule>
    <cfRule type="cellIs" dxfId="7235" priority="8025" operator="between">
      <formula>0.71251</formula>
      <formula>0.75</formula>
    </cfRule>
    <cfRule type="cellIs" dxfId="7234" priority="8026" stopIfTrue="1" operator="between">
      <formula>0</formula>
      <formula>0.375</formula>
    </cfRule>
  </conditionalFormatting>
  <conditionalFormatting sqref="U258">
    <cfRule type="cellIs" dxfId="7233" priority="8012" operator="between">
      <formula>0.376</formula>
      <formula>0.475</formula>
    </cfRule>
    <cfRule type="cellIs" dxfId="7232" priority="8013" operator="between">
      <formula>0.2551</formula>
      <formula>0.3751</formula>
    </cfRule>
    <cfRule type="cellIs" dxfId="7231" priority="8014" operator="greaterThan">
      <formula>0.505</formula>
    </cfRule>
    <cfRule type="cellIs" dxfId="7230" priority="8015" operator="between">
      <formula>0.48</formula>
      <formula>0.5</formula>
    </cfRule>
    <cfRule type="cellIs" dxfId="7229" priority="8016" stopIfTrue="1" operator="between">
      <formula>0</formula>
      <formula>0.255</formula>
    </cfRule>
  </conditionalFormatting>
  <conditionalFormatting sqref="S258">
    <cfRule type="cellIs" dxfId="7228" priority="8004" operator="between">
      <formula>0.76</formula>
      <formula>0.95</formula>
    </cfRule>
    <cfRule type="cellIs" dxfId="7227" priority="8005" operator="between">
      <formula>0.51</formula>
      <formula>0.75</formula>
    </cfRule>
    <cfRule type="cellIs" dxfId="7226" priority="8006" operator="greaterThan">
      <formula>1</formula>
    </cfRule>
    <cfRule type="cellIs" dxfId="7225" priority="8007" operator="between">
      <formula>0.95</formula>
      <formula>1</formula>
    </cfRule>
    <cfRule type="cellIs" dxfId="7224" priority="8008" stopIfTrue="1" operator="between">
      <formula>0</formula>
      <formula>0.5</formula>
    </cfRule>
  </conditionalFormatting>
  <conditionalFormatting sqref="V258">
    <cfRule type="cellIs" dxfId="7223" priority="7999" operator="between">
      <formula>0.376</formula>
      <formula>0.475</formula>
    </cfRule>
    <cfRule type="cellIs" dxfId="7222" priority="8000" operator="between">
      <formula>0.2551</formula>
      <formula>0.3751</formula>
    </cfRule>
    <cfRule type="cellIs" dxfId="7221" priority="8001" operator="greaterThan">
      <formula>0.505</formula>
    </cfRule>
    <cfRule type="cellIs" dxfId="7220" priority="8002" operator="between">
      <formula>0.48</formula>
      <formula>0.5</formula>
    </cfRule>
    <cfRule type="cellIs" dxfId="7219" priority="8003" stopIfTrue="1" operator="between">
      <formula>0</formula>
      <formula>0.255</formula>
    </cfRule>
  </conditionalFormatting>
  <conditionalFormatting sqref="Z250:Z252">
    <cfRule type="cellIs" dxfId="7218" priority="7994" operator="between">
      <formula>0.76</formula>
      <formula>0.95</formula>
    </cfRule>
    <cfRule type="cellIs" dxfId="7217" priority="7995" operator="between">
      <formula>0.51</formula>
      <formula>0.75</formula>
    </cfRule>
    <cfRule type="cellIs" dxfId="7216" priority="7996" operator="greaterThan">
      <formula>1</formula>
    </cfRule>
    <cfRule type="cellIs" dxfId="7215" priority="7997" operator="between">
      <formula>0.95</formula>
      <formula>1</formula>
    </cfRule>
    <cfRule type="cellIs" dxfId="7214" priority="7998" stopIfTrue="1" operator="between">
      <formula>0</formula>
      <formula>0.5</formula>
    </cfRule>
  </conditionalFormatting>
  <conditionalFormatting sqref="Z257">
    <cfRule type="cellIs" dxfId="7213" priority="7989" operator="between">
      <formula>0.76</formula>
      <formula>0.95</formula>
    </cfRule>
    <cfRule type="cellIs" dxfId="7212" priority="7990" operator="between">
      <formula>0.51</formula>
      <formula>0.75</formula>
    </cfRule>
    <cfRule type="cellIs" dxfId="7211" priority="7991" operator="greaterThan">
      <formula>1</formula>
    </cfRule>
    <cfRule type="cellIs" dxfId="7210" priority="7992" operator="between">
      <formula>0.95</formula>
      <formula>1</formula>
    </cfRule>
    <cfRule type="cellIs" dxfId="7209" priority="7993" stopIfTrue="1" operator="between">
      <formula>0</formula>
      <formula>0.5</formula>
    </cfRule>
  </conditionalFormatting>
  <conditionalFormatting sqref="Z258">
    <cfRule type="cellIs" dxfId="7208" priority="7984" operator="between">
      <formula>0.76</formula>
      <formula>0.95</formula>
    </cfRule>
    <cfRule type="cellIs" dxfId="7207" priority="7985" operator="between">
      <formula>0.51</formula>
      <formula>0.75</formula>
    </cfRule>
    <cfRule type="cellIs" dxfId="7206" priority="7986" operator="greaterThan">
      <formula>1</formula>
    </cfRule>
    <cfRule type="cellIs" dxfId="7205" priority="7987" operator="between">
      <formula>0.95</formula>
      <formula>1</formula>
    </cfRule>
    <cfRule type="cellIs" dxfId="7204" priority="7988" stopIfTrue="1" operator="between">
      <formula>0</formula>
      <formula>0.5</formula>
    </cfRule>
  </conditionalFormatting>
  <conditionalFormatting sqref="AC258">
    <cfRule type="cellIs" dxfId="7203" priority="7979" operator="between">
      <formula>0.56251</formula>
      <formula>0.7125</formula>
    </cfRule>
    <cfRule type="cellIs" dxfId="7202" priority="7980" operator="between">
      <formula>0.3751</formula>
      <formula>0.5625</formula>
    </cfRule>
    <cfRule type="cellIs" dxfId="7201" priority="7981" operator="greaterThan">
      <formula>0.751</formula>
    </cfRule>
    <cfRule type="cellIs" dxfId="7200" priority="7982" operator="between">
      <formula>0.71251</formula>
      <formula>0.75</formula>
    </cfRule>
    <cfRule type="cellIs" dxfId="7199" priority="7983" stopIfTrue="1" operator="between">
      <formula>0</formula>
      <formula>0.375</formula>
    </cfRule>
  </conditionalFormatting>
  <conditionalFormatting sqref="Y259:Y260 AF259:AI260 R259:R260">
    <cfRule type="cellIs" dxfId="7198" priority="7974" operator="between">
      <formula>0.76</formula>
      <formula>0.95</formula>
    </cfRule>
    <cfRule type="cellIs" dxfId="7197" priority="7975" operator="between">
      <formula>0.51</formula>
      <formula>0.75</formula>
    </cfRule>
    <cfRule type="cellIs" dxfId="7196" priority="7976" operator="greaterThan">
      <formula>1</formula>
    </cfRule>
    <cfRule type="cellIs" dxfId="7195" priority="7977" operator="between">
      <formula>0.95</formula>
      <formula>1</formula>
    </cfRule>
    <cfRule type="cellIs" dxfId="7194" priority="7978" stopIfTrue="1" operator="between">
      <formula>0</formula>
      <formula>0.5</formula>
    </cfRule>
  </conditionalFormatting>
  <conditionalFormatting sqref="T259:T260">
    <cfRule type="cellIs" dxfId="7193" priority="7969" operator="between">
      <formula>0.3751</formula>
      <formula>0.475</formula>
    </cfRule>
    <cfRule type="cellIs" dxfId="7192" priority="7970" operator="between">
      <formula>0.2551</formula>
      <formula>0.375</formula>
    </cfRule>
    <cfRule type="cellIs" dxfId="7191" priority="7971" operator="greaterThan">
      <formula>0.505</formula>
    </cfRule>
    <cfRule type="cellIs" dxfId="7190" priority="7972" operator="between">
      <formula>0.48</formula>
      <formula>0.5</formula>
    </cfRule>
    <cfRule type="cellIs" dxfId="7189" priority="7973" stopIfTrue="1" operator="between">
      <formula>0</formula>
      <formula>0.255</formula>
    </cfRule>
  </conditionalFormatting>
  <conditionalFormatting sqref="AA259:AB260">
    <cfRule type="cellIs" dxfId="7188" priority="7964" operator="between">
      <formula>0.56251</formula>
      <formula>0.7125</formula>
    </cfRule>
    <cfRule type="cellIs" dxfId="7187" priority="7965" operator="between">
      <formula>0.3751</formula>
      <formula>0.5625</formula>
    </cfRule>
    <cfRule type="cellIs" dxfId="7186" priority="7966" operator="greaterThan">
      <formula>0.751</formula>
    </cfRule>
    <cfRule type="cellIs" dxfId="7185" priority="7967" operator="between">
      <formula>0.71251</formula>
      <formula>0.75</formula>
    </cfRule>
    <cfRule type="cellIs" dxfId="7184" priority="7968" stopIfTrue="1" operator="between">
      <formula>0</formula>
      <formula>0.375</formula>
    </cfRule>
  </conditionalFormatting>
  <conditionalFormatting sqref="U259:U260">
    <cfRule type="cellIs" dxfId="7183" priority="7954" operator="between">
      <formula>0.376</formula>
      <formula>0.475</formula>
    </cfRule>
    <cfRule type="cellIs" dxfId="7182" priority="7955" operator="between">
      <formula>0.2551</formula>
      <formula>0.3751</formula>
    </cfRule>
    <cfRule type="cellIs" dxfId="7181" priority="7956" operator="greaterThan">
      <formula>0.505</formula>
    </cfRule>
    <cfRule type="cellIs" dxfId="7180" priority="7957" operator="between">
      <formula>0.48</formula>
      <formula>0.5</formula>
    </cfRule>
    <cfRule type="cellIs" dxfId="7179" priority="7958" stopIfTrue="1" operator="between">
      <formula>0</formula>
      <formula>0.255</formula>
    </cfRule>
  </conditionalFormatting>
  <conditionalFormatting sqref="S259:S260">
    <cfRule type="cellIs" dxfId="7178" priority="7946" operator="between">
      <formula>0.76</formula>
      <formula>0.95</formula>
    </cfRule>
    <cfRule type="cellIs" dxfId="7177" priority="7947" operator="between">
      <formula>0.51</formula>
      <formula>0.75</formula>
    </cfRule>
    <cfRule type="cellIs" dxfId="7176" priority="7948" operator="greaterThan">
      <formula>1</formula>
    </cfRule>
    <cfRule type="cellIs" dxfId="7175" priority="7949" operator="between">
      <formula>0.95</formula>
      <formula>1</formula>
    </cfRule>
    <cfRule type="cellIs" dxfId="7174" priority="7950" stopIfTrue="1" operator="between">
      <formula>0</formula>
      <formula>0.5</formula>
    </cfRule>
  </conditionalFormatting>
  <conditionalFormatting sqref="V259:V260">
    <cfRule type="cellIs" dxfId="7173" priority="7941" operator="between">
      <formula>0.376</formula>
      <formula>0.475</formula>
    </cfRule>
    <cfRule type="cellIs" dxfId="7172" priority="7942" operator="between">
      <formula>0.2551</formula>
      <formula>0.3751</formula>
    </cfRule>
    <cfRule type="cellIs" dxfId="7171" priority="7943" operator="greaterThan">
      <formula>0.505</formula>
    </cfRule>
    <cfRule type="cellIs" dxfId="7170" priority="7944" operator="between">
      <formula>0.48</formula>
      <formula>0.5</formula>
    </cfRule>
    <cfRule type="cellIs" dxfId="7169" priority="7945" stopIfTrue="1" operator="between">
      <formula>0</formula>
      <formula>0.255</formula>
    </cfRule>
  </conditionalFormatting>
  <conditionalFormatting sqref="Z259:Z260">
    <cfRule type="cellIs" dxfId="7168" priority="7936" operator="between">
      <formula>0.76</formula>
      <formula>0.95</formula>
    </cfRule>
    <cfRule type="cellIs" dxfId="7167" priority="7937" operator="between">
      <formula>0.51</formula>
      <formula>0.75</formula>
    </cfRule>
    <cfRule type="cellIs" dxfId="7166" priority="7938" operator="greaterThan">
      <formula>1</formula>
    </cfRule>
    <cfRule type="cellIs" dxfId="7165" priority="7939" operator="between">
      <formula>0.95</formula>
      <formula>1</formula>
    </cfRule>
    <cfRule type="cellIs" dxfId="7164" priority="7940" stopIfTrue="1" operator="between">
      <formula>0</formula>
      <formula>0.5</formula>
    </cfRule>
  </conditionalFormatting>
  <conditionalFormatting sqref="AC259:AC260">
    <cfRule type="cellIs" dxfId="7163" priority="7931" operator="between">
      <formula>0.56251</formula>
      <formula>0.7125</formula>
    </cfRule>
    <cfRule type="cellIs" dxfId="7162" priority="7932" operator="between">
      <formula>0.3751</formula>
      <formula>0.5625</formula>
    </cfRule>
    <cfRule type="cellIs" dxfId="7161" priority="7933" operator="greaterThan">
      <formula>0.751</formula>
    </cfRule>
    <cfRule type="cellIs" dxfId="7160" priority="7934" operator="between">
      <formula>0.71251</formula>
      <formula>0.75</formula>
    </cfRule>
    <cfRule type="cellIs" dxfId="7159" priority="7935" stopIfTrue="1" operator="between">
      <formula>0</formula>
      <formula>0.375</formula>
    </cfRule>
  </conditionalFormatting>
  <conditionalFormatting sqref="R168 Y168:Z168 AF168:AI168">
    <cfRule type="cellIs" dxfId="7158" priority="7926" operator="between">
      <formula>0.76</formula>
      <formula>0.95</formula>
    </cfRule>
    <cfRule type="cellIs" dxfId="7157" priority="7927" operator="between">
      <formula>0.51</formula>
      <formula>0.75</formula>
    </cfRule>
    <cfRule type="cellIs" dxfId="7156" priority="7928" operator="greaterThan">
      <formula>1</formula>
    </cfRule>
    <cfRule type="cellIs" dxfId="7155" priority="7929" operator="between">
      <formula>0.95</formula>
      <formula>1</formula>
    </cfRule>
    <cfRule type="cellIs" dxfId="7154" priority="7930" stopIfTrue="1" operator="between">
      <formula>0</formula>
      <formula>0.5</formula>
    </cfRule>
  </conditionalFormatting>
  <conditionalFormatting sqref="T168">
    <cfRule type="cellIs" dxfId="7153" priority="7921" operator="between">
      <formula>0.3751</formula>
      <formula>0.475</formula>
    </cfRule>
    <cfRule type="cellIs" dxfId="7152" priority="7922" operator="between">
      <formula>0.2551</formula>
      <formula>0.375</formula>
    </cfRule>
    <cfRule type="cellIs" dxfId="7151" priority="7923" operator="greaterThan">
      <formula>0.505</formula>
    </cfRule>
    <cfRule type="cellIs" dxfId="7150" priority="7924" operator="between">
      <formula>0.48</formula>
      <formula>0.5</formula>
    </cfRule>
    <cfRule type="cellIs" dxfId="7149" priority="7925" stopIfTrue="1" operator="between">
      <formula>0</formula>
      <formula>0.255</formula>
    </cfRule>
  </conditionalFormatting>
  <conditionalFormatting sqref="AA168:AB168">
    <cfRule type="cellIs" dxfId="7148" priority="7916" operator="between">
      <formula>0.56251</formula>
      <formula>0.7125</formula>
    </cfRule>
    <cfRule type="cellIs" dxfId="7147" priority="7917" operator="between">
      <formula>0.3751</formula>
      <formula>0.5625</formula>
    </cfRule>
    <cfRule type="cellIs" dxfId="7146" priority="7918" operator="greaterThan">
      <formula>0.751</formula>
    </cfRule>
    <cfRule type="cellIs" dxfId="7145" priority="7919" operator="between">
      <formula>0.71251</formula>
      <formula>0.75</formula>
    </cfRule>
    <cfRule type="cellIs" dxfId="7144" priority="7920" stopIfTrue="1" operator="between">
      <formula>0</formula>
      <formula>0.375</formula>
    </cfRule>
  </conditionalFormatting>
  <conditionalFormatting sqref="U168">
    <cfRule type="cellIs" dxfId="7143" priority="7906" operator="between">
      <formula>0.376</formula>
      <formula>0.475</formula>
    </cfRule>
    <cfRule type="cellIs" dxfId="7142" priority="7907" operator="between">
      <formula>0.2551</formula>
      <formula>0.3751</formula>
    </cfRule>
    <cfRule type="cellIs" dxfId="7141" priority="7908" operator="greaterThan">
      <formula>0.505</formula>
    </cfRule>
    <cfRule type="cellIs" dxfId="7140" priority="7909" operator="between">
      <formula>0.48</formula>
      <formula>0.5</formula>
    </cfRule>
    <cfRule type="cellIs" dxfId="7139" priority="7910" stopIfTrue="1" operator="between">
      <formula>0</formula>
      <formula>0.255</formula>
    </cfRule>
  </conditionalFormatting>
  <conditionalFormatting sqref="S168">
    <cfRule type="cellIs" dxfId="7138" priority="7883" operator="between">
      <formula>0.76</formula>
      <formula>0.95</formula>
    </cfRule>
    <cfRule type="cellIs" dxfId="7137" priority="7884" operator="between">
      <formula>0.51</formula>
      <formula>0.75</formula>
    </cfRule>
    <cfRule type="cellIs" dxfId="7136" priority="7885" operator="greaterThan">
      <formula>1</formula>
    </cfRule>
    <cfRule type="cellIs" dxfId="7135" priority="7886" operator="between">
      <formula>0.95</formula>
      <formula>1</formula>
    </cfRule>
    <cfRule type="cellIs" dxfId="7134" priority="7887" stopIfTrue="1" operator="between">
      <formula>0</formula>
      <formula>0.5</formula>
    </cfRule>
  </conditionalFormatting>
  <conditionalFormatting sqref="V168">
    <cfRule type="cellIs" dxfId="7133" priority="7878" operator="between">
      <formula>0.376</formula>
      <formula>0.475</formula>
    </cfRule>
    <cfRule type="cellIs" dxfId="7132" priority="7879" operator="between">
      <formula>0.2551</formula>
      <formula>0.3751</formula>
    </cfRule>
    <cfRule type="cellIs" dxfId="7131" priority="7880" operator="greaterThan">
      <formula>0.505</formula>
    </cfRule>
    <cfRule type="cellIs" dxfId="7130" priority="7881" operator="between">
      <formula>0.48</formula>
      <formula>0.5</formula>
    </cfRule>
    <cfRule type="cellIs" dxfId="7129" priority="7882" stopIfTrue="1" operator="between">
      <formula>0</formula>
      <formula>0.255</formula>
    </cfRule>
  </conditionalFormatting>
  <conditionalFormatting sqref="AC168">
    <cfRule type="cellIs" dxfId="7128" priority="7873" operator="between">
      <formula>0.56251</formula>
      <formula>0.7125</formula>
    </cfRule>
    <cfRule type="cellIs" dxfId="7127" priority="7874" operator="between">
      <formula>0.3751</formula>
      <formula>0.5625</formula>
    </cfRule>
    <cfRule type="cellIs" dxfId="7126" priority="7875" operator="greaterThan">
      <formula>0.751</formula>
    </cfRule>
    <cfRule type="cellIs" dxfId="7125" priority="7876" operator="between">
      <formula>0.71251</formula>
      <formula>0.75</formula>
    </cfRule>
    <cfRule type="cellIs" dxfId="7124" priority="7877" stopIfTrue="1" operator="between">
      <formula>0</formula>
      <formula>0.375</formula>
    </cfRule>
  </conditionalFormatting>
  <conditionalFormatting sqref="Y261 AF261:AI261 R261">
    <cfRule type="cellIs" dxfId="7123" priority="7810" operator="between">
      <formula>0.76</formula>
      <formula>0.95</formula>
    </cfRule>
    <cfRule type="cellIs" dxfId="7122" priority="7811" operator="between">
      <formula>0.51</formula>
      <formula>0.75</formula>
    </cfRule>
    <cfRule type="cellIs" dxfId="7121" priority="7812" operator="greaterThan">
      <formula>1</formula>
    </cfRule>
    <cfRule type="cellIs" dxfId="7120" priority="7813" operator="between">
      <formula>0.95</formula>
      <formula>1</formula>
    </cfRule>
    <cfRule type="cellIs" dxfId="7119" priority="7814" stopIfTrue="1" operator="between">
      <formula>0</formula>
      <formula>0.5</formula>
    </cfRule>
  </conditionalFormatting>
  <conditionalFormatting sqref="T261">
    <cfRule type="cellIs" dxfId="7118" priority="7805" operator="between">
      <formula>0.3751</formula>
      <formula>0.475</formula>
    </cfRule>
    <cfRule type="cellIs" dxfId="7117" priority="7806" operator="between">
      <formula>0.2551</formula>
      <formula>0.375</formula>
    </cfRule>
    <cfRule type="cellIs" dxfId="7116" priority="7807" operator="greaterThan">
      <formula>0.505</formula>
    </cfRule>
    <cfRule type="cellIs" dxfId="7115" priority="7808" operator="between">
      <formula>0.48</formula>
      <formula>0.5</formula>
    </cfRule>
    <cfRule type="cellIs" dxfId="7114" priority="7809" stopIfTrue="1" operator="between">
      <formula>0</formula>
      <formula>0.255</formula>
    </cfRule>
  </conditionalFormatting>
  <conditionalFormatting sqref="AA261:AB261">
    <cfRule type="cellIs" dxfId="7113" priority="7800" operator="between">
      <formula>0.56251</formula>
      <formula>0.7125</formula>
    </cfRule>
    <cfRule type="cellIs" dxfId="7112" priority="7801" operator="between">
      <formula>0.3751</formula>
      <formula>0.5625</formula>
    </cfRule>
    <cfRule type="cellIs" dxfId="7111" priority="7802" operator="greaterThan">
      <formula>0.751</formula>
    </cfRule>
    <cfRule type="cellIs" dxfId="7110" priority="7803" operator="between">
      <formula>0.71251</formula>
      <formula>0.75</formula>
    </cfRule>
    <cfRule type="cellIs" dxfId="7109" priority="7804" stopIfTrue="1" operator="between">
      <formula>0</formula>
      <formula>0.375</formula>
    </cfRule>
  </conditionalFormatting>
  <conditionalFormatting sqref="U261">
    <cfRule type="cellIs" dxfId="7108" priority="7790" operator="between">
      <formula>0.376</formula>
      <formula>0.475</formula>
    </cfRule>
    <cfRule type="cellIs" dxfId="7107" priority="7791" operator="between">
      <formula>0.2551</formula>
      <formula>0.3751</formula>
    </cfRule>
    <cfRule type="cellIs" dxfId="7106" priority="7792" operator="greaterThan">
      <formula>0.505</formula>
    </cfRule>
    <cfRule type="cellIs" dxfId="7105" priority="7793" operator="between">
      <formula>0.48</formula>
      <formula>0.5</formula>
    </cfRule>
    <cfRule type="cellIs" dxfId="7104" priority="7794" stopIfTrue="1" operator="between">
      <formula>0</formula>
      <formula>0.255</formula>
    </cfRule>
  </conditionalFormatting>
  <conditionalFormatting sqref="S261">
    <cfRule type="cellIs" dxfId="7103" priority="7782" operator="between">
      <formula>0.76</formula>
      <formula>0.95</formula>
    </cfRule>
    <cfRule type="cellIs" dxfId="7102" priority="7783" operator="between">
      <formula>0.51</formula>
      <formula>0.75</formula>
    </cfRule>
    <cfRule type="cellIs" dxfId="7101" priority="7784" operator="greaterThan">
      <formula>1</formula>
    </cfRule>
    <cfRule type="cellIs" dxfId="7100" priority="7785" operator="between">
      <formula>0.95</formula>
      <formula>1</formula>
    </cfRule>
    <cfRule type="cellIs" dxfId="7099" priority="7786" stopIfTrue="1" operator="between">
      <formula>0</formula>
      <formula>0.5</formula>
    </cfRule>
  </conditionalFormatting>
  <conditionalFormatting sqref="Z261">
    <cfRule type="cellIs" dxfId="7098" priority="7772" operator="between">
      <formula>0.76</formula>
      <formula>0.95</formula>
    </cfRule>
    <cfRule type="cellIs" dxfId="7097" priority="7773" operator="between">
      <formula>0.51</formula>
      <formula>0.75</formula>
    </cfRule>
    <cfRule type="cellIs" dxfId="7096" priority="7774" operator="greaterThan">
      <formula>1</formula>
    </cfRule>
    <cfRule type="cellIs" dxfId="7095" priority="7775" operator="between">
      <formula>0.95</formula>
      <formula>1</formula>
    </cfRule>
    <cfRule type="cellIs" dxfId="7094" priority="7776" stopIfTrue="1" operator="between">
      <formula>0</formula>
      <formula>0.5</formula>
    </cfRule>
  </conditionalFormatting>
  <conditionalFormatting sqref="AC261">
    <cfRule type="cellIs" dxfId="7093" priority="7767" operator="between">
      <formula>0.56251</formula>
      <formula>0.7125</formula>
    </cfRule>
    <cfRule type="cellIs" dxfId="7092" priority="7768" operator="between">
      <formula>0.3751</formula>
      <formula>0.5625</formula>
    </cfRule>
    <cfRule type="cellIs" dxfId="7091" priority="7769" operator="greaterThan">
      <formula>0.751</formula>
    </cfRule>
    <cfRule type="cellIs" dxfId="7090" priority="7770" operator="between">
      <formula>0.71251</formula>
      <formula>0.75</formula>
    </cfRule>
    <cfRule type="cellIs" dxfId="7089" priority="7771" stopIfTrue="1" operator="between">
      <formula>0</formula>
      <formula>0.375</formula>
    </cfRule>
  </conditionalFormatting>
  <conditionalFormatting sqref="V261">
    <cfRule type="cellIs" dxfId="7088" priority="7742" operator="between">
      <formula>0.376</formula>
      <formula>0.475</formula>
    </cfRule>
    <cfRule type="cellIs" dxfId="7087" priority="7743" operator="between">
      <formula>0.2551</formula>
      <formula>0.3751</formula>
    </cfRule>
    <cfRule type="cellIs" dxfId="7086" priority="7744" operator="greaterThan">
      <formula>0.505</formula>
    </cfRule>
    <cfRule type="cellIs" dxfId="7085" priority="7745" operator="between">
      <formula>0.48</formula>
      <formula>0.5</formula>
    </cfRule>
    <cfRule type="cellIs" dxfId="7084" priority="7746" stopIfTrue="1" operator="between">
      <formula>0</formula>
      <formula>0.255</formula>
    </cfRule>
  </conditionalFormatting>
  <conditionalFormatting sqref="AI334">
    <cfRule type="cellIs" dxfId="7083" priority="7737" operator="between">
      <formula>0.76</formula>
      <formula>0.95</formula>
    </cfRule>
    <cfRule type="cellIs" dxfId="7082" priority="7738" operator="between">
      <formula>0.51</formula>
      <formula>0.75</formula>
    </cfRule>
    <cfRule type="cellIs" dxfId="7081" priority="7739" operator="greaterThan">
      <formula>1</formula>
    </cfRule>
    <cfRule type="cellIs" dxfId="7080" priority="7740" operator="between">
      <formula>0.95</formula>
      <formula>1</formula>
    </cfRule>
    <cfRule type="cellIs" dxfId="7079" priority="7741" stopIfTrue="1" operator="between">
      <formula>0</formula>
      <formula>0.5</formula>
    </cfRule>
  </conditionalFormatting>
  <conditionalFormatting sqref="R334">
    <cfRule type="cellIs" dxfId="7078" priority="7727" operator="between">
      <formula>0.76</formula>
      <formula>0.95</formula>
    </cfRule>
    <cfRule type="cellIs" dxfId="7077" priority="7728" operator="between">
      <formula>0.51</formula>
      <formula>0.75</formula>
    </cfRule>
    <cfRule type="cellIs" dxfId="7076" priority="7729" operator="greaterThan">
      <formula>1</formula>
    </cfRule>
    <cfRule type="cellIs" dxfId="7075" priority="7730" operator="between">
      <formula>0.95</formula>
      <formula>1</formula>
    </cfRule>
    <cfRule type="cellIs" dxfId="7074" priority="7731" stopIfTrue="1" operator="between">
      <formula>0</formula>
      <formula>0.5</formula>
    </cfRule>
  </conditionalFormatting>
  <conditionalFormatting sqref="Y334">
    <cfRule type="cellIs" dxfId="7073" priority="7722" operator="between">
      <formula>0.76</formula>
      <formula>0.95</formula>
    </cfRule>
    <cfRule type="cellIs" dxfId="7072" priority="7723" operator="between">
      <formula>0.51</formula>
      <formula>0.75</formula>
    </cfRule>
    <cfRule type="cellIs" dxfId="7071" priority="7724" operator="greaterThan">
      <formula>1</formula>
    </cfRule>
    <cfRule type="cellIs" dxfId="7070" priority="7725" operator="between">
      <formula>0.95</formula>
      <formula>1</formula>
    </cfRule>
    <cfRule type="cellIs" dxfId="7069" priority="7726" stopIfTrue="1" operator="between">
      <formula>0</formula>
      <formula>0.5</formula>
    </cfRule>
  </conditionalFormatting>
  <conditionalFormatting sqref="AF334">
    <cfRule type="cellIs" dxfId="7068" priority="7717" operator="between">
      <formula>0.76</formula>
      <formula>0.95</formula>
    </cfRule>
    <cfRule type="cellIs" dxfId="7067" priority="7718" operator="between">
      <formula>0.51</formula>
      <formula>0.75</formula>
    </cfRule>
    <cfRule type="cellIs" dxfId="7066" priority="7719" operator="greaterThan">
      <formula>1</formula>
    </cfRule>
    <cfRule type="cellIs" dxfId="7065" priority="7720" operator="between">
      <formula>0.95</formula>
      <formula>1</formula>
    </cfRule>
    <cfRule type="cellIs" dxfId="7064" priority="7721" stopIfTrue="1" operator="between">
      <formula>0</formula>
      <formula>0.5</formula>
    </cfRule>
  </conditionalFormatting>
  <conditionalFormatting sqref="AH334">
    <cfRule type="cellIs" dxfId="7063" priority="7712" operator="between">
      <formula>0.76</formula>
      <formula>0.95</formula>
    </cfRule>
    <cfRule type="cellIs" dxfId="7062" priority="7713" operator="between">
      <formula>0.51</formula>
      <formula>0.75</formula>
    </cfRule>
    <cfRule type="cellIs" dxfId="7061" priority="7714" operator="greaterThan">
      <formula>1</formula>
    </cfRule>
    <cfRule type="cellIs" dxfId="7060" priority="7715" operator="between">
      <formula>0.95</formula>
      <formula>1</formula>
    </cfRule>
    <cfRule type="cellIs" dxfId="7059" priority="7716" stopIfTrue="1" operator="between">
      <formula>0</formula>
      <formula>0.5</formula>
    </cfRule>
  </conditionalFormatting>
  <conditionalFormatting sqref="T334">
    <cfRule type="cellIs" dxfId="7058" priority="7697" operator="between">
      <formula>0.3751</formula>
      <formula>0.475</formula>
    </cfRule>
    <cfRule type="cellIs" dxfId="7057" priority="7698" operator="between">
      <formula>0.2551</formula>
      <formula>0.375</formula>
    </cfRule>
    <cfRule type="cellIs" dxfId="7056" priority="7699" operator="greaterThan">
      <formula>0.505</formula>
    </cfRule>
    <cfRule type="cellIs" dxfId="7055" priority="7700" operator="between">
      <formula>0.48</formula>
      <formula>0.5</formula>
    </cfRule>
    <cfRule type="cellIs" dxfId="7054" priority="7701" stopIfTrue="1" operator="between">
      <formula>0</formula>
      <formula>0.255</formula>
    </cfRule>
  </conditionalFormatting>
  <conditionalFormatting sqref="U334">
    <cfRule type="cellIs" dxfId="7053" priority="7692" operator="between">
      <formula>0.376</formula>
      <formula>0.475</formula>
    </cfRule>
    <cfRule type="cellIs" dxfId="7052" priority="7693" operator="between">
      <formula>0.2551</formula>
      <formula>0.3751</formula>
    </cfRule>
    <cfRule type="cellIs" dxfId="7051" priority="7694" operator="greaterThan">
      <formula>0.505</formula>
    </cfRule>
    <cfRule type="cellIs" dxfId="7050" priority="7695" operator="between">
      <formula>0.48</formula>
      <formula>0.5</formula>
    </cfRule>
    <cfRule type="cellIs" dxfId="7049" priority="7696" stopIfTrue="1" operator="between">
      <formula>0</formula>
      <formula>0.255</formula>
    </cfRule>
  </conditionalFormatting>
  <conditionalFormatting sqref="AA334">
    <cfRule type="cellIs" dxfId="7048" priority="7687" operator="between">
      <formula>0.56251</formula>
      <formula>0.7125</formula>
    </cfRule>
    <cfRule type="cellIs" dxfId="7047" priority="7688" operator="between">
      <formula>0.3751</formula>
      <formula>0.5625</formula>
    </cfRule>
    <cfRule type="cellIs" dxfId="7046" priority="7689" operator="greaterThan">
      <formula>0.751</formula>
    </cfRule>
    <cfRule type="cellIs" dxfId="7045" priority="7690" operator="between">
      <formula>0.71251</formula>
      <formula>0.75</formula>
    </cfRule>
    <cfRule type="cellIs" dxfId="7044" priority="7691" stopIfTrue="1" operator="between">
      <formula>0</formula>
      <formula>0.375</formula>
    </cfRule>
  </conditionalFormatting>
  <conditionalFormatting sqref="AB334">
    <cfRule type="cellIs" dxfId="7043" priority="7677" operator="between">
      <formula>0.56251</formula>
      <formula>0.7125</formula>
    </cfRule>
    <cfRule type="cellIs" dxfId="7042" priority="7678" operator="between">
      <formula>0.3751</formula>
      <formula>0.5625</formula>
    </cfRule>
    <cfRule type="cellIs" dxfId="7041" priority="7679" operator="greaterThan">
      <formula>0.751</formula>
    </cfRule>
    <cfRule type="cellIs" dxfId="7040" priority="7680" operator="between">
      <formula>0.71251</formula>
      <formula>0.75</formula>
    </cfRule>
    <cfRule type="cellIs" dxfId="7039" priority="7681" stopIfTrue="1" operator="between">
      <formula>0</formula>
      <formula>0.375</formula>
    </cfRule>
  </conditionalFormatting>
  <conditionalFormatting sqref="S334">
    <cfRule type="cellIs" dxfId="7038" priority="7630" operator="between">
      <formula>0.76</formula>
      <formula>0.95</formula>
    </cfRule>
    <cfRule type="cellIs" dxfId="7037" priority="7631" operator="between">
      <formula>0.51</formula>
      <formula>0.75</formula>
    </cfRule>
    <cfRule type="cellIs" dxfId="7036" priority="7632" operator="greaterThan">
      <formula>1</formula>
    </cfRule>
    <cfRule type="cellIs" dxfId="7035" priority="7633" operator="between">
      <formula>0.95</formula>
      <formula>1</formula>
    </cfRule>
    <cfRule type="cellIs" dxfId="7034" priority="7634" stopIfTrue="1" operator="between">
      <formula>0</formula>
      <formula>0.5</formula>
    </cfRule>
  </conditionalFormatting>
  <conditionalFormatting sqref="AG334">
    <cfRule type="cellIs" dxfId="7033" priority="7645" operator="between">
      <formula>0.76</formula>
      <formula>0.95</formula>
    </cfRule>
    <cfRule type="cellIs" dxfId="7032" priority="7646" operator="between">
      <formula>0.51</formula>
      <formula>0.75</formula>
    </cfRule>
    <cfRule type="cellIs" dxfId="7031" priority="7647" operator="greaterThan">
      <formula>1</formula>
    </cfRule>
    <cfRule type="cellIs" dxfId="7030" priority="7648" operator="between">
      <formula>0.95</formula>
      <formula>1</formula>
    </cfRule>
    <cfRule type="cellIs" dxfId="7029" priority="7649" stopIfTrue="1" operator="between">
      <formula>0</formula>
      <formula>0.5</formula>
    </cfRule>
  </conditionalFormatting>
  <conditionalFormatting sqref="V334">
    <cfRule type="cellIs" dxfId="7028" priority="7625" operator="between">
      <formula>0.376</formula>
      <formula>0.475</formula>
    </cfRule>
    <cfRule type="cellIs" dxfId="7027" priority="7626" operator="between">
      <formula>0.2551</formula>
      <formula>0.3751</formula>
    </cfRule>
    <cfRule type="cellIs" dxfId="7026" priority="7627" operator="greaterThan">
      <formula>0.505</formula>
    </cfRule>
    <cfRule type="cellIs" dxfId="7025" priority="7628" operator="between">
      <formula>0.48</formula>
      <formula>0.5</formula>
    </cfRule>
    <cfRule type="cellIs" dxfId="7024" priority="7629" stopIfTrue="1" operator="between">
      <formula>0</formula>
      <formula>0.255</formula>
    </cfRule>
  </conditionalFormatting>
  <conditionalFormatting sqref="Z334">
    <cfRule type="cellIs" dxfId="7023" priority="7620" operator="between">
      <formula>0.76</formula>
      <formula>0.95</formula>
    </cfRule>
    <cfRule type="cellIs" dxfId="7022" priority="7621" operator="between">
      <formula>0.51</formula>
      <formula>0.75</formula>
    </cfRule>
    <cfRule type="cellIs" dxfId="7021" priority="7622" operator="greaterThan">
      <formula>1</formula>
    </cfRule>
    <cfRule type="cellIs" dxfId="7020" priority="7623" operator="between">
      <formula>0.95</formula>
      <formula>1</formula>
    </cfRule>
    <cfRule type="cellIs" dxfId="7019" priority="7624" stopIfTrue="1" operator="between">
      <formula>0</formula>
      <formula>0.5</formula>
    </cfRule>
  </conditionalFormatting>
  <conditionalFormatting sqref="AC334">
    <cfRule type="cellIs" dxfId="7018" priority="7615" operator="between">
      <formula>0.56251</formula>
      <formula>0.7125</formula>
    </cfRule>
    <cfRule type="cellIs" dxfId="7017" priority="7616" operator="between">
      <formula>0.3751</formula>
      <formula>0.5625</formula>
    </cfRule>
    <cfRule type="cellIs" dxfId="7016" priority="7617" operator="greaterThan">
      <formula>0.751</formula>
    </cfRule>
    <cfRule type="cellIs" dxfId="7015" priority="7618" operator="between">
      <formula>0.71251</formula>
      <formula>0.75</formula>
    </cfRule>
    <cfRule type="cellIs" dxfId="7014" priority="7619" stopIfTrue="1" operator="between">
      <formula>0</formula>
      <formula>0.375</formula>
    </cfRule>
  </conditionalFormatting>
  <conditionalFormatting sqref="R169 Y169 AF169 AH169:AI169">
    <cfRule type="cellIs" dxfId="7013" priority="7610" operator="between">
      <formula>0.76</formula>
      <formula>0.95</formula>
    </cfRule>
    <cfRule type="cellIs" dxfId="7012" priority="7611" operator="between">
      <formula>0.51</formula>
      <formula>0.75</formula>
    </cfRule>
    <cfRule type="cellIs" dxfId="7011" priority="7612" operator="greaterThan">
      <formula>1</formula>
    </cfRule>
    <cfRule type="cellIs" dxfId="7010" priority="7613" operator="between">
      <formula>0.95</formula>
      <formula>1</formula>
    </cfRule>
    <cfRule type="cellIs" dxfId="7009" priority="7614" stopIfTrue="1" operator="between">
      <formula>0</formula>
      <formula>0.5</formula>
    </cfRule>
  </conditionalFormatting>
  <conditionalFormatting sqref="T169">
    <cfRule type="cellIs" dxfId="7008" priority="7605" operator="between">
      <formula>0.3751</formula>
      <formula>0.475</formula>
    </cfRule>
    <cfRule type="cellIs" dxfId="7007" priority="7606" operator="between">
      <formula>0.2551</formula>
      <formula>0.375</formula>
    </cfRule>
    <cfRule type="cellIs" dxfId="7006" priority="7607" operator="greaterThan">
      <formula>0.505</formula>
    </cfRule>
    <cfRule type="cellIs" dxfId="7005" priority="7608" operator="between">
      <formula>0.48</formula>
      <formula>0.5</formula>
    </cfRule>
    <cfRule type="cellIs" dxfId="7004" priority="7609" stopIfTrue="1" operator="between">
      <formula>0</formula>
      <formula>0.255</formula>
    </cfRule>
  </conditionalFormatting>
  <conditionalFormatting sqref="AA169:AB169">
    <cfRule type="cellIs" dxfId="7003" priority="7600" operator="between">
      <formula>0.56251</formula>
      <formula>0.7125</formula>
    </cfRule>
    <cfRule type="cellIs" dxfId="7002" priority="7601" operator="between">
      <formula>0.3751</formula>
      <formula>0.5625</formula>
    </cfRule>
    <cfRule type="cellIs" dxfId="7001" priority="7602" operator="greaterThan">
      <formula>0.751</formula>
    </cfRule>
    <cfRule type="cellIs" dxfId="7000" priority="7603" operator="between">
      <formula>0.71251</formula>
      <formula>0.75</formula>
    </cfRule>
    <cfRule type="cellIs" dxfId="6999" priority="7604" stopIfTrue="1" operator="between">
      <formula>0</formula>
      <formula>0.375</formula>
    </cfRule>
  </conditionalFormatting>
  <conditionalFormatting sqref="U169">
    <cfRule type="cellIs" dxfId="6998" priority="7590" operator="between">
      <formula>0.376</formula>
      <formula>0.475</formula>
    </cfRule>
    <cfRule type="cellIs" dxfId="6997" priority="7591" operator="between">
      <formula>0.2551</formula>
      <formula>0.3751</formula>
    </cfRule>
    <cfRule type="cellIs" dxfId="6996" priority="7592" operator="greaterThan">
      <formula>0.505</formula>
    </cfRule>
    <cfRule type="cellIs" dxfId="6995" priority="7593" operator="between">
      <formula>0.48</formula>
      <formula>0.5</formula>
    </cfRule>
    <cfRule type="cellIs" dxfId="6994" priority="7594" stopIfTrue="1" operator="between">
      <formula>0</formula>
      <formula>0.255</formula>
    </cfRule>
  </conditionalFormatting>
  <conditionalFormatting sqref="S169">
    <cfRule type="cellIs" dxfId="6993" priority="7567" operator="between">
      <formula>0.76</formula>
      <formula>0.95</formula>
    </cfRule>
    <cfRule type="cellIs" dxfId="6992" priority="7568" operator="between">
      <formula>0.51</formula>
      <formula>0.75</formula>
    </cfRule>
    <cfRule type="cellIs" dxfId="6991" priority="7569" operator="greaterThan">
      <formula>1</formula>
    </cfRule>
    <cfRule type="cellIs" dxfId="6990" priority="7570" operator="between">
      <formula>0.95</formula>
      <formula>1</formula>
    </cfRule>
    <cfRule type="cellIs" dxfId="6989" priority="7571" stopIfTrue="1" operator="between">
      <formula>0</formula>
      <formula>0.5</formula>
    </cfRule>
  </conditionalFormatting>
  <conditionalFormatting sqref="V169">
    <cfRule type="cellIs" dxfId="6988" priority="7562" operator="between">
      <formula>0.376</formula>
      <formula>0.475</formula>
    </cfRule>
    <cfRule type="cellIs" dxfId="6987" priority="7563" operator="between">
      <formula>0.2551</formula>
      <formula>0.3751</formula>
    </cfRule>
    <cfRule type="cellIs" dxfId="6986" priority="7564" operator="greaterThan">
      <formula>0.505</formula>
    </cfRule>
    <cfRule type="cellIs" dxfId="6985" priority="7565" operator="between">
      <formula>0.48</formula>
      <formula>0.5</formula>
    </cfRule>
    <cfRule type="cellIs" dxfId="6984" priority="7566" stopIfTrue="1" operator="between">
      <formula>0</formula>
      <formula>0.255</formula>
    </cfRule>
  </conditionalFormatting>
  <conditionalFormatting sqref="AC169">
    <cfRule type="cellIs" dxfId="6983" priority="7557" operator="between">
      <formula>0.56251</formula>
      <formula>0.7125</formula>
    </cfRule>
    <cfRule type="cellIs" dxfId="6982" priority="7558" operator="between">
      <formula>0.3751</formula>
      <formula>0.5625</formula>
    </cfRule>
    <cfRule type="cellIs" dxfId="6981" priority="7559" operator="greaterThan">
      <formula>0.751</formula>
    </cfRule>
    <cfRule type="cellIs" dxfId="6980" priority="7560" operator="between">
      <formula>0.71251</formula>
      <formula>0.75</formula>
    </cfRule>
    <cfRule type="cellIs" dxfId="6979" priority="7561" stopIfTrue="1" operator="between">
      <formula>0</formula>
      <formula>0.375</formula>
    </cfRule>
  </conditionalFormatting>
  <conditionalFormatting sqref="R172 Y172 AF172 AH172:AI172">
    <cfRule type="cellIs" dxfId="6978" priority="7552" operator="between">
      <formula>0.76</formula>
      <formula>0.95</formula>
    </cfRule>
    <cfRule type="cellIs" dxfId="6977" priority="7553" operator="between">
      <formula>0.51</formula>
      <formula>0.75</formula>
    </cfRule>
    <cfRule type="cellIs" dxfId="6976" priority="7554" operator="greaterThan">
      <formula>1</formula>
    </cfRule>
    <cfRule type="cellIs" dxfId="6975" priority="7555" operator="between">
      <formula>0.95</formula>
      <formula>1</formula>
    </cfRule>
    <cfRule type="cellIs" dxfId="6974" priority="7556" stopIfTrue="1" operator="between">
      <formula>0</formula>
      <formula>0.5</formula>
    </cfRule>
  </conditionalFormatting>
  <conditionalFormatting sqref="T172">
    <cfRule type="cellIs" dxfId="6973" priority="7547" operator="between">
      <formula>0.3751</formula>
      <formula>0.475</formula>
    </cfRule>
    <cfRule type="cellIs" dxfId="6972" priority="7548" operator="between">
      <formula>0.2551</formula>
      <formula>0.375</formula>
    </cfRule>
    <cfRule type="cellIs" dxfId="6971" priority="7549" operator="greaterThan">
      <formula>0.505</formula>
    </cfRule>
    <cfRule type="cellIs" dxfId="6970" priority="7550" operator="between">
      <formula>0.48</formula>
      <formula>0.5</formula>
    </cfRule>
    <cfRule type="cellIs" dxfId="6969" priority="7551" stopIfTrue="1" operator="between">
      <formula>0</formula>
      <formula>0.255</formula>
    </cfRule>
  </conditionalFormatting>
  <conditionalFormatting sqref="AA172:AB172">
    <cfRule type="cellIs" dxfId="6968" priority="7542" operator="between">
      <formula>0.56251</formula>
      <formula>0.7125</formula>
    </cfRule>
    <cfRule type="cellIs" dxfId="6967" priority="7543" operator="between">
      <formula>0.3751</formula>
      <formula>0.5625</formula>
    </cfRule>
    <cfRule type="cellIs" dxfId="6966" priority="7544" operator="greaterThan">
      <formula>0.751</formula>
    </cfRule>
    <cfRule type="cellIs" dxfId="6965" priority="7545" operator="between">
      <formula>0.71251</formula>
      <formula>0.75</formula>
    </cfRule>
    <cfRule type="cellIs" dxfId="6964" priority="7546" stopIfTrue="1" operator="between">
      <formula>0</formula>
      <formula>0.375</formula>
    </cfRule>
  </conditionalFormatting>
  <conditionalFormatting sqref="U172">
    <cfRule type="cellIs" dxfId="6963" priority="7532" operator="between">
      <formula>0.376</formula>
      <formula>0.475</formula>
    </cfRule>
    <cfRule type="cellIs" dxfId="6962" priority="7533" operator="between">
      <formula>0.2551</formula>
      <formula>0.3751</formula>
    </cfRule>
    <cfRule type="cellIs" dxfId="6961" priority="7534" operator="greaterThan">
      <formula>0.505</formula>
    </cfRule>
    <cfRule type="cellIs" dxfId="6960" priority="7535" operator="between">
      <formula>0.48</formula>
      <formula>0.5</formula>
    </cfRule>
    <cfRule type="cellIs" dxfId="6959" priority="7536" stopIfTrue="1" operator="between">
      <formula>0</formula>
      <formula>0.255</formula>
    </cfRule>
  </conditionalFormatting>
  <conditionalFormatting sqref="V172">
    <cfRule type="cellIs" dxfId="6958" priority="7504" operator="between">
      <formula>0.376</formula>
      <formula>0.475</formula>
    </cfRule>
    <cfRule type="cellIs" dxfId="6957" priority="7505" operator="between">
      <formula>0.2551</formula>
      <formula>0.3751</formula>
    </cfRule>
    <cfRule type="cellIs" dxfId="6956" priority="7506" operator="greaterThan">
      <formula>0.505</formula>
    </cfRule>
    <cfRule type="cellIs" dxfId="6955" priority="7507" operator="between">
      <formula>0.48</formula>
      <formula>0.5</formula>
    </cfRule>
    <cfRule type="cellIs" dxfId="6954" priority="7508" stopIfTrue="1" operator="between">
      <formula>0</formula>
      <formula>0.255</formula>
    </cfRule>
  </conditionalFormatting>
  <conditionalFormatting sqref="AC172">
    <cfRule type="cellIs" dxfId="6953" priority="7499" operator="between">
      <formula>0.56251</formula>
      <formula>0.7125</formula>
    </cfRule>
    <cfRule type="cellIs" dxfId="6952" priority="7500" operator="between">
      <formula>0.3751</formula>
      <formula>0.5625</formula>
    </cfRule>
    <cfRule type="cellIs" dxfId="6951" priority="7501" operator="greaterThan">
      <formula>0.751</formula>
    </cfRule>
    <cfRule type="cellIs" dxfId="6950" priority="7502" operator="between">
      <formula>0.71251</formula>
      <formula>0.75</formula>
    </cfRule>
    <cfRule type="cellIs" dxfId="6949" priority="7503" stopIfTrue="1" operator="between">
      <formula>0</formula>
      <formula>0.375</formula>
    </cfRule>
  </conditionalFormatting>
  <conditionalFormatting sqref="S172">
    <cfRule type="cellIs" dxfId="6948" priority="7474" operator="between">
      <formula>0.76</formula>
      <formula>0.95</formula>
    </cfRule>
    <cfRule type="cellIs" dxfId="6947" priority="7475" operator="between">
      <formula>0.51</formula>
      <formula>0.75</formula>
    </cfRule>
    <cfRule type="cellIs" dxfId="6946" priority="7476" operator="greaterThan">
      <formula>1</formula>
    </cfRule>
    <cfRule type="cellIs" dxfId="6945" priority="7477" operator="between">
      <formula>0.95</formula>
      <formula>1</formula>
    </cfRule>
    <cfRule type="cellIs" dxfId="6944" priority="7478" stopIfTrue="1" operator="between">
      <formula>0</formula>
      <formula>0.5</formula>
    </cfRule>
  </conditionalFormatting>
  <conditionalFormatting sqref="Z169">
    <cfRule type="cellIs" dxfId="6943" priority="7469" operator="between">
      <formula>0.76</formula>
      <formula>0.95</formula>
    </cfRule>
    <cfRule type="cellIs" dxfId="6942" priority="7470" operator="between">
      <formula>0.51</formula>
      <formula>0.75</formula>
    </cfRule>
    <cfRule type="cellIs" dxfId="6941" priority="7471" operator="greaterThan">
      <formula>1</formula>
    </cfRule>
    <cfRule type="cellIs" dxfId="6940" priority="7472" operator="between">
      <formula>0.95</formula>
      <formula>1</formula>
    </cfRule>
    <cfRule type="cellIs" dxfId="6939" priority="7473" stopIfTrue="1" operator="between">
      <formula>0</formula>
      <formula>0.5</formula>
    </cfRule>
  </conditionalFormatting>
  <conditionalFormatting sqref="Z172">
    <cfRule type="cellIs" dxfId="6938" priority="7464" operator="between">
      <formula>0.76</formula>
      <formula>0.95</formula>
    </cfRule>
    <cfRule type="cellIs" dxfId="6937" priority="7465" operator="between">
      <formula>0.51</formula>
      <formula>0.75</formula>
    </cfRule>
    <cfRule type="cellIs" dxfId="6936" priority="7466" operator="greaterThan">
      <formula>1</formula>
    </cfRule>
    <cfRule type="cellIs" dxfId="6935" priority="7467" operator="between">
      <formula>0.95</formula>
      <formula>1</formula>
    </cfRule>
    <cfRule type="cellIs" dxfId="6934" priority="7468" stopIfTrue="1" operator="between">
      <formula>0</formula>
      <formula>0.5</formula>
    </cfRule>
  </conditionalFormatting>
  <conditionalFormatting sqref="AG169">
    <cfRule type="cellIs" dxfId="6933" priority="7459" operator="between">
      <formula>0.76</formula>
      <formula>0.95</formula>
    </cfRule>
    <cfRule type="cellIs" dxfId="6932" priority="7460" operator="between">
      <formula>0.51</formula>
      <formula>0.75</formula>
    </cfRule>
    <cfRule type="cellIs" dxfId="6931" priority="7461" operator="greaterThan">
      <formula>1</formula>
    </cfRule>
    <cfRule type="cellIs" dxfId="6930" priority="7462" operator="between">
      <formula>0.95</formula>
      <formula>1</formula>
    </cfRule>
    <cfRule type="cellIs" dxfId="6929" priority="7463" stopIfTrue="1" operator="between">
      <formula>0</formula>
      <formula>0.5</formula>
    </cfRule>
  </conditionalFormatting>
  <conditionalFormatting sqref="AG172">
    <cfRule type="cellIs" dxfId="6928" priority="7454" operator="between">
      <formula>0.76</formula>
      <formula>0.95</formula>
    </cfRule>
    <cfRule type="cellIs" dxfId="6927" priority="7455" operator="between">
      <formula>0.51</formula>
      <formula>0.75</formula>
    </cfRule>
    <cfRule type="cellIs" dxfId="6926" priority="7456" operator="greaterThan">
      <formula>1</formula>
    </cfRule>
    <cfRule type="cellIs" dxfId="6925" priority="7457" operator="between">
      <formula>0.95</formula>
      <formula>1</formula>
    </cfRule>
    <cfRule type="cellIs" dxfId="6924" priority="7458" stopIfTrue="1" operator="between">
      <formula>0</formula>
      <formula>0.5</formula>
    </cfRule>
  </conditionalFormatting>
  <conditionalFormatting sqref="R173:R179 Y173:Y179 AF173:AF179 AH173:AI179">
    <cfRule type="cellIs" dxfId="6923" priority="7449" operator="between">
      <formula>0.76</formula>
      <formula>0.95</formula>
    </cfRule>
    <cfRule type="cellIs" dxfId="6922" priority="7450" operator="between">
      <formula>0.51</formula>
      <formula>0.75</formula>
    </cfRule>
    <cfRule type="cellIs" dxfId="6921" priority="7451" operator="greaterThan">
      <formula>1</formula>
    </cfRule>
    <cfRule type="cellIs" dxfId="6920" priority="7452" operator="between">
      <formula>0.95</formula>
      <formula>1</formula>
    </cfRule>
    <cfRule type="cellIs" dxfId="6919" priority="7453" stopIfTrue="1" operator="between">
      <formula>0</formula>
      <formula>0.5</formula>
    </cfRule>
  </conditionalFormatting>
  <conditionalFormatting sqref="T173:T179">
    <cfRule type="cellIs" dxfId="6918" priority="7444" operator="between">
      <formula>0.3751</formula>
      <formula>0.475</formula>
    </cfRule>
    <cfRule type="cellIs" dxfId="6917" priority="7445" operator="between">
      <formula>0.2551</formula>
      <formula>0.375</formula>
    </cfRule>
    <cfRule type="cellIs" dxfId="6916" priority="7446" operator="greaterThan">
      <formula>0.505</formula>
    </cfRule>
    <cfRule type="cellIs" dxfId="6915" priority="7447" operator="between">
      <formula>0.48</formula>
      <formula>0.5</formula>
    </cfRule>
    <cfRule type="cellIs" dxfId="6914" priority="7448" stopIfTrue="1" operator="between">
      <formula>0</formula>
      <formula>0.255</formula>
    </cfRule>
  </conditionalFormatting>
  <conditionalFormatting sqref="AA173:AB179">
    <cfRule type="cellIs" dxfId="6913" priority="7439" operator="between">
      <formula>0.56251</formula>
      <formula>0.7125</formula>
    </cfRule>
    <cfRule type="cellIs" dxfId="6912" priority="7440" operator="between">
      <formula>0.3751</formula>
      <formula>0.5625</formula>
    </cfRule>
    <cfRule type="cellIs" dxfId="6911" priority="7441" operator="greaterThan">
      <formula>0.751</formula>
    </cfRule>
    <cfRule type="cellIs" dxfId="6910" priority="7442" operator="between">
      <formula>0.71251</formula>
      <formula>0.75</formula>
    </cfRule>
    <cfRule type="cellIs" dxfId="6909" priority="7443" stopIfTrue="1" operator="between">
      <formula>0</formula>
      <formula>0.375</formula>
    </cfRule>
  </conditionalFormatting>
  <conditionalFormatting sqref="U173:U179">
    <cfRule type="cellIs" dxfId="6908" priority="7429" operator="between">
      <formula>0.376</formula>
      <formula>0.475</formula>
    </cfRule>
    <cfRule type="cellIs" dxfId="6907" priority="7430" operator="between">
      <formula>0.2551</formula>
      <formula>0.3751</formula>
    </cfRule>
    <cfRule type="cellIs" dxfId="6906" priority="7431" operator="greaterThan">
      <formula>0.505</formula>
    </cfRule>
    <cfRule type="cellIs" dxfId="6905" priority="7432" operator="between">
      <formula>0.48</formula>
      <formula>0.5</formula>
    </cfRule>
    <cfRule type="cellIs" dxfId="6904" priority="7433" stopIfTrue="1" operator="between">
      <formula>0</formula>
      <formula>0.255</formula>
    </cfRule>
  </conditionalFormatting>
  <conditionalFormatting sqref="V173:V179">
    <cfRule type="cellIs" dxfId="6903" priority="7421" operator="between">
      <formula>0.376</formula>
      <formula>0.475</formula>
    </cfRule>
    <cfRule type="cellIs" dxfId="6902" priority="7422" operator="between">
      <formula>0.2551</formula>
      <formula>0.3751</formula>
    </cfRule>
    <cfRule type="cellIs" dxfId="6901" priority="7423" operator="greaterThan">
      <formula>0.505</formula>
    </cfRule>
    <cfRule type="cellIs" dxfId="6900" priority="7424" operator="between">
      <formula>0.48</formula>
      <formula>0.5</formula>
    </cfRule>
    <cfRule type="cellIs" dxfId="6899" priority="7425" stopIfTrue="1" operator="between">
      <formula>0</formula>
      <formula>0.255</formula>
    </cfRule>
  </conditionalFormatting>
  <conditionalFormatting sqref="AC173:AC179">
    <cfRule type="cellIs" dxfId="6898" priority="7416" operator="between">
      <formula>0.56251</formula>
      <formula>0.7125</formula>
    </cfRule>
    <cfRule type="cellIs" dxfId="6897" priority="7417" operator="between">
      <formula>0.3751</formula>
      <formula>0.5625</formula>
    </cfRule>
    <cfRule type="cellIs" dxfId="6896" priority="7418" operator="greaterThan">
      <formula>0.751</formula>
    </cfRule>
    <cfRule type="cellIs" dxfId="6895" priority="7419" operator="between">
      <formula>0.71251</formula>
      <formula>0.75</formula>
    </cfRule>
    <cfRule type="cellIs" dxfId="6894" priority="7420" stopIfTrue="1" operator="between">
      <formula>0</formula>
      <formula>0.375</formula>
    </cfRule>
  </conditionalFormatting>
  <conditionalFormatting sqref="S173:S179">
    <cfRule type="cellIs" dxfId="6893" priority="7396" operator="between">
      <formula>0.76</formula>
      <formula>0.95</formula>
    </cfRule>
    <cfRule type="cellIs" dxfId="6892" priority="7397" operator="between">
      <formula>0.51</formula>
      <formula>0.75</formula>
    </cfRule>
    <cfRule type="cellIs" dxfId="6891" priority="7398" operator="greaterThan">
      <formula>1</formula>
    </cfRule>
    <cfRule type="cellIs" dxfId="6890" priority="7399" operator="between">
      <formula>0.95</formula>
      <formula>1</formula>
    </cfRule>
    <cfRule type="cellIs" dxfId="6889" priority="7400" stopIfTrue="1" operator="between">
      <formula>0</formula>
      <formula>0.5</formula>
    </cfRule>
  </conditionalFormatting>
  <conditionalFormatting sqref="Z173:Z179">
    <cfRule type="cellIs" dxfId="6888" priority="7391" operator="between">
      <formula>0.76</formula>
      <formula>0.95</formula>
    </cfRule>
    <cfRule type="cellIs" dxfId="6887" priority="7392" operator="between">
      <formula>0.51</formula>
      <formula>0.75</formula>
    </cfRule>
    <cfRule type="cellIs" dxfId="6886" priority="7393" operator="greaterThan">
      <formula>1</formula>
    </cfRule>
    <cfRule type="cellIs" dxfId="6885" priority="7394" operator="between">
      <formula>0.95</formula>
      <formula>1</formula>
    </cfRule>
    <cfRule type="cellIs" dxfId="6884" priority="7395" stopIfTrue="1" operator="between">
      <formula>0</formula>
      <formula>0.5</formula>
    </cfRule>
  </conditionalFormatting>
  <conditionalFormatting sqref="AG173:AG179">
    <cfRule type="cellIs" dxfId="6883" priority="7386" operator="between">
      <formula>0.76</formula>
      <formula>0.95</formula>
    </cfRule>
    <cfRule type="cellIs" dxfId="6882" priority="7387" operator="between">
      <formula>0.51</formula>
      <formula>0.75</formula>
    </cfRule>
    <cfRule type="cellIs" dxfId="6881" priority="7388" operator="greaterThan">
      <formula>1</formula>
    </cfRule>
    <cfRule type="cellIs" dxfId="6880" priority="7389" operator="between">
      <formula>0.95</formula>
      <formula>1</formula>
    </cfRule>
    <cfRule type="cellIs" dxfId="6879" priority="7390" stopIfTrue="1" operator="between">
      <formula>0</formula>
      <formula>0.5</formula>
    </cfRule>
  </conditionalFormatting>
  <conditionalFormatting sqref="Y262 AF262 R262 AH262:AI262">
    <cfRule type="cellIs" dxfId="6878" priority="7381" operator="between">
      <formula>0.76</formula>
      <formula>0.95</formula>
    </cfRule>
    <cfRule type="cellIs" dxfId="6877" priority="7382" operator="between">
      <formula>0.51</formula>
      <formula>0.75</formula>
    </cfRule>
    <cfRule type="cellIs" dxfId="6876" priority="7383" operator="greaterThan">
      <formula>1</formula>
    </cfRule>
    <cfRule type="cellIs" dxfId="6875" priority="7384" operator="between">
      <formula>0.95</formula>
      <formula>1</formula>
    </cfRule>
    <cfRule type="cellIs" dxfId="6874" priority="7385" stopIfTrue="1" operator="between">
      <formula>0</formula>
      <formula>0.5</formula>
    </cfRule>
  </conditionalFormatting>
  <conditionalFormatting sqref="T262">
    <cfRule type="cellIs" dxfId="6873" priority="7376" operator="between">
      <formula>0.3751</formula>
      <formula>0.475</formula>
    </cfRule>
    <cfRule type="cellIs" dxfId="6872" priority="7377" operator="between">
      <formula>0.2551</formula>
      <formula>0.375</formula>
    </cfRule>
    <cfRule type="cellIs" dxfId="6871" priority="7378" operator="greaterThan">
      <formula>0.505</formula>
    </cfRule>
    <cfRule type="cellIs" dxfId="6870" priority="7379" operator="between">
      <formula>0.48</formula>
      <formula>0.5</formula>
    </cfRule>
    <cfRule type="cellIs" dxfId="6869" priority="7380" stopIfTrue="1" operator="between">
      <formula>0</formula>
      <formula>0.255</formula>
    </cfRule>
  </conditionalFormatting>
  <conditionalFormatting sqref="AA262:AB262">
    <cfRule type="cellIs" dxfId="6868" priority="7371" operator="between">
      <formula>0.56251</formula>
      <formula>0.7125</formula>
    </cfRule>
    <cfRule type="cellIs" dxfId="6867" priority="7372" operator="between">
      <formula>0.3751</formula>
      <formula>0.5625</formula>
    </cfRule>
    <cfRule type="cellIs" dxfId="6866" priority="7373" operator="greaterThan">
      <formula>0.751</formula>
    </cfRule>
    <cfRule type="cellIs" dxfId="6865" priority="7374" operator="between">
      <formula>0.71251</formula>
      <formula>0.75</formula>
    </cfRule>
    <cfRule type="cellIs" dxfId="6864" priority="7375" stopIfTrue="1" operator="between">
      <formula>0</formula>
      <formula>0.375</formula>
    </cfRule>
  </conditionalFormatting>
  <conditionalFormatting sqref="U262">
    <cfRule type="cellIs" dxfId="6863" priority="7361" operator="between">
      <formula>0.376</formula>
      <formula>0.475</formula>
    </cfRule>
    <cfRule type="cellIs" dxfId="6862" priority="7362" operator="between">
      <formula>0.2551</formula>
      <formula>0.3751</formula>
    </cfRule>
    <cfRule type="cellIs" dxfId="6861" priority="7363" operator="greaterThan">
      <formula>0.505</formula>
    </cfRule>
    <cfRule type="cellIs" dxfId="6860" priority="7364" operator="between">
      <formula>0.48</formula>
      <formula>0.5</formula>
    </cfRule>
    <cfRule type="cellIs" dxfId="6859" priority="7365" stopIfTrue="1" operator="between">
      <formula>0</formula>
      <formula>0.255</formula>
    </cfRule>
  </conditionalFormatting>
  <conditionalFormatting sqref="S123">
    <cfRule type="cellIs" dxfId="6858" priority="6967" operator="between">
      <formula>0.76</formula>
      <formula>0.95</formula>
    </cfRule>
    <cfRule type="cellIs" dxfId="6857" priority="6968" operator="between">
      <formula>0.51</formula>
      <formula>0.75</formula>
    </cfRule>
    <cfRule type="cellIs" dxfId="6856" priority="6969" operator="greaterThan">
      <formula>1</formula>
    </cfRule>
    <cfRule type="cellIs" dxfId="6855" priority="6970" operator="between">
      <formula>0.95</formula>
      <formula>1</formula>
    </cfRule>
    <cfRule type="cellIs" dxfId="6854" priority="6971" stopIfTrue="1" operator="between">
      <formula>0</formula>
      <formula>0.5</formula>
    </cfRule>
  </conditionalFormatting>
  <conditionalFormatting sqref="AC262">
    <cfRule type="cellIs" dxfId="6853" priority="7343" operator="between">
      <formula>0.56251</formula>
      <formula>0.7125</formula>
    </cfRule>
    <cfRule type="cellIs" dxfId="6852" priority="7344" operator="between">
      <formula>0.3751</formula>
      <formula>0.5625</formula>
    </cfRule>
    <cfRule type="cellIs" dxfId="6851" priority="7345" operator="greaterThan">
      <formula>0.751</formula>
    </cfRule>
    <cfRule type="cellIs" dxfId="6850" priority="7346" operator="between">
      <formula>0.71251</formula>
      <formula>0.75</formula>
    </cfRule>
    <cfRule type="cellIs" dxfId="6849" priority="7347" stopIfTrue="1" operator="between">
      <formula>0</formula>
      <formula>0.375</formula>
    </cfRule>
  </conditionalFormatting>
  <conditionalFormatting sqref="V262">
    <cfRule type="cellIs" dxfId="6848" priority="7328" operator="between">
      <formula>0.376</formula>
      <formula>0.475</formula>
    </cfRule>
    <cfRule type="cellIs" dxfId="6847" priority="7329" operator="between">
      <formula>0.2551</formula>
      <formula>0.3751</formula>
    </cfRule>
    <cfRule type="cellIs" dxfId="6846" priority="7330" operator="greaterThan">
      <formula>0.505</formula>
    </cfRule>
    <cfRule type="cellIs" dxfId="6845" priority="7331" operator="between">
      <formula>0.48</formula>
      <formula>0.5</formula>
    </cfRule>
    <cfRule type="cellIs" dxfId="6844" priority="7332" stopIfTrue="1" operator="between">
      <formula>0</formula>
      <formula>0.255</formula>
    </cfRule>
  </conditionalFormatting>
  <conditionalFormatting sqref="S262">
    <cfRule type="cellIs" dxfId="6843" priority="7323" operator="between">
      <formula>0.76</formula>
      <formula>0.95</formula>
    </cfRule>
    <cfRule type="cellIs" dxfId="6842" priority="7324" operator="between">
      <formula>0.51</formula>
      <formula>0.75</formula>
    </cfRule>
    <cfRule type="cellIs" dxfId="6841" priority="7325" operator="greaterThan">
      <formula>1</formula>
    </cfRule>
    <cfRule type="cellIs" dxfId="6840" priority="7326" operator="between">
      <formula>0.95</formula>
      <formula>1</formula>
    </cfRule>
    <cfRule type="cellIs" dxfId="6839" priority="7327" stopIfTrue="1" operator="between">
      <formula>0</formula>
      <formula>0.5</formula>
    </cfRule>
  </conditionalFormatting>
  <conditionalFormatting sqref="Z262">
    <cfRule type="cellIs" dxfId="6838" priority="7318" operator="between">
      <formula>0.76</formula>
      <formula>0.95</formula>
    </cfRule>
    <cfRule type="cellIs" dxfId="6837" priority="7319" operator="between">
      <formula>0.51</formula>
      <formula>0.75</formula>
    </cfRule>
    <cfRule type="cellIs" dxfId="6836" priority="7320" operator="greaterThan">
      <formula>1</formula>
    </cfRule>
    <cfRule type="cellIs" dxfId="6835" priority="7321" operator="between">
      <formula>0.95</formula>
      <formula>1</formula>
    </cfRule>
    <cfRule type="cellIs" dxfId="6834" priority="7322" stopIfTrue="1" operator="between">
      <formula>0</formula>
      <formula>0.5</formula>
    </cfRule>
  </conditionalFormatting>
  <conditionalFormatting sqref="AG251:AG252">
    <cfRule type="cellIs" dxfId="6833" priority="7313" operator="between">
      <formula>0.76</formula>
      <formula>0.95</formula>
    </cfRule>
    <cfRule type="cellIs" dxfId="6832" priority="7314" operator="between">
      <formula>0.51</formula>
      <formula>0.75</formula>
    </cfRule>
    <cfRule type="cellIs" dxfId="6831" priority="7315" operator="greaterThan">
      <formula>1</formula>
    </cfRule>
    <cfRule type="cellIs" dxfId="6830" priority="7316" operator="between">
      <formula>0.95</formula>
      <formula>1</formula>
    </cfRule>
    <cfRule type="cellIs" dxfId="6829" priority="7317" stopIfTrue="1" operator="between">
      <formula>0</formula>
      <formula>0.5</formula>
    </cfRule>
  </conditionalFormatting>
  <conditionalFormatting sqref="AG254:AG256">
    <cfRule type="cellIs" dxfId="6828" priority="7308" operator="between">
      <formula>0.76</formula>
      <formula>0.95</formula>
    </cfRule>
    <cfRule type="cellIs" dxfId="6827" priority="7309" operator="between">
      <formula>0.51</formula>
      <formula>0.75</formula>
    </cfRule>
    <cfRule type="cellIs" dxfId="6826" priority="7310" operator="greaterThan">
      <formula>1</formula>
    </cfRule>
    <cfRule type="cellIs" dxfId="6825" priority="7311" operator="between">
      <formula>0.95</formula>
      <formula>1</formula>
    </cfRule>
    <cfRule type="cellIs" dxfId="6824" priority="7312" stopIfTrue="1" operator="between">
      <formula>0</formula>
      <formula>0.5</formula>
    </cfRule>
  </conditionalFormatting>
  <conditionalFormatting sqref="AG262">
    <cfRule type="cellIs" dxfId="6823" priority="7303" operator="between">
      <formula>0.76</formula>
      <formula>0.95</formula>
    </cfRule>
    <cfRule type="cellIs" dxfId="6822" priority="7304" operator="between">
      <formula>0.51</formula>
      <formula>0.75</formula>
    </cfRule>
    <cfRule type="cellIs" dxfId="6821" priority="7305" operator="greaterThan">
      <formula>1</formula>
    </cfRule>
    <cfRule type="cellIs" dxfId="6820" priority="7306" operator="between">
      <formula>0.95</formula>
      <formula>1</formula>
    </cfRule>
    <cfRule type="cellIs" dxfId="6819" priority="7307" stopIfTrue="1" operator="between">
      <formula>0</formula>
      <formula>0.5</formula>
    </cfRule>
  </conditionalFormatting>
  <conditionalFormatting sqref="Y263 AF263 R263 AH263:AI263">
    <cfRule type="cellIs" dxfId="6818" priority="7298" operator="between">
      <formula>0.76</formula>
      <formula>0.95</formula>
    </cfRule>
    <cfRule type="cellIs" dxfId="6817" priority="7299" operator="between">
      <formula>0.51</formula>
      <formula>0.75</formula>
    </cfRule>
    <cfRule type="cellIs" dxfId="6816" priority="7300" operator="greaterThan">
      <formula>1</formula>
    </cfRule>
    <cfRule type="cellIs" dxfId="6815" priority="7301" operator="between">
      <formula>0.95</formula>
      <formula>1</formula>
    </cfRule>
    <cfRule type="cellIs" dxfId="6814" priority="7302" stopIfTrue="1" operator="between">
      <formula>0</formula>
      <formula>0.5</formula>
    </cfRule>
  </conditionalFormatting>
  <conditionalFormatting sqref="T263">
    <cfRule type="cellIs" dxfId="6813" priority="7293" operator="between">
      <formula>0.3751</formula>
      <formula>0.475</formula>
    </cfRule>
    <cfRule type="cellIs" dxfId="6812" priority="7294" operator="between">
      <formula>0.2551</formula>
      <formula>0.375</formula>
    </cfRule>
    <cfRule type="cellIs" dxfId="6811" priority="7295" operator="greaterThan">
      <formula>0.505</formula>
    </cfRule>
    <cfRule type="cellIs" dxfId="6810" priority="7296" operator="between">
      <formula>0.48</formula>
      <formula>0.5</formula>
    </cfRule>
    <cfRule type="cellIs" dxfId="6809" priority="7297" stopIfTrue="1" operator="between">
      <formula>0</formula>
      <formula>0.255</formula>
    </cfRule>
  </conditionalFormatting>
  <conditionalFormatting sqref="AA263:AB263">
    <cfRule type="cellIs" dxfId="6808" priority="7288" operator="between">
      <formula>0.56251</formula>
      <formula>0.7125</formula>
    </cfRule>
    <cfRule type="cellIs" dxfId="6807" priority="7289" operator="between">
      <formula>0.3751</formula>
      <formula>0.5625</formula>
    </cfRule>
    <cfRule type="cellIs" dxfId="6806" priority="7290" operator="greaterThan">
      <formula>0.751</formula>
    </cfRule>
    <cfRule type="cellIs" dxfId="6805" priority="7291" operator="between">
      <formula>0.71251</formula>
      <formula>0.75</formula>
    </cfRule>
    <cfRule type="cellIs" dxfId="6804" priority="7292" stopIfTrue="1" operator="between">
      <formula>0</formula>
      <formula>0.375</formula>
    </cfRule>
  </conditionalFormatting>
  <conditionalFormatting sqref="U263">
    <cfRule type="cellIs" dxfId="6803" priority="7278" operator="between">
      <formula>0.376</formula>
      <formula>0.475</formula>
    </cfRule>
    <cfRule type="cellIs" dxfId="6802" priority="7279" operator="between">
      <formula>0.2551</formula>
      <formula>0.3751</formula>
    </cfRule>
    <cfRule type="cellIs" dxfId="6801" priority="7280" operator="greaterThan">
      <formula>0.505</formula>
    </cfRule>
    <cfRule type="cellIs" dxfId="6800" priority="7281" operator="between">
      <formula>0.48</formula>
      <formula>0.5</formula>
    </cfRule>
    <cfRule type="cellIs" dxfId="6799" priority="7282" stopIfTrue="1" operator="between">
      <formula>0</formula>
      <formula>0.255</formula>
    </cfRule>
  </conditionalFormatting>
  <conditionalFormatting sqref="AC263">
    <cfRule type="cellIs" dxfId="6798" priority="7270" operator="between">
      <formula>0.56251</formula>
      <formula>0.7125</formula>
    </cfRule>
    <cfRule type="cellIs" dxfId="6797" priority="7271" operator="between">
      <formula>0.3751</formula>
      <formula>0.5625</formula>
    </cfRule>
    <cfRule type="cellIs" dxfId="6796" priority="7272" operator="greaterThan">
      <formula>0.751</formula>
    </cfRule>
    <cfRule type="cellIs" dxfId="6795" priority="7273" operator="between">
      <formula>0.71251</formula>
      <formula>0.75</formula>
    </cfRule>
    <cfRule type="cellIs" dxfId="6794" priority="7274" stopIfTrue="1" operator="between">
      <formula>0</formula>
      <formula>0.375</formula>
    </cfRule>
  </conditionalFormatting>
  <conditionalFormatting sqref="V263">
    <cfRule type="cellIs" dxfId="6793" priority="7255" operator="between">
      <formula>0.376</formula>
      <formula>0.475</formula>
    </cfRule>
    <cfRule type="cellIs" dxfId="6792" priority="7256" operator="between">
      <formula>0.2551</formula>
      <formula>0.3751</formula>
    </cfRule>
    <cfRule type="cellIs" dxfId="6791" priority="7257" operator="greaterThan">
      <formula>0.505</formula>
    </cfRule>
    <cfRule type="cellIs" dxfId="6790" priority="7258" operator="between">
      <formula>0.48</formula>
      <formula>0.5</formula>
    </cfRule>
    <cfRule type="cellIs" dxfId="6789" priority="7259" stopIfTrue="1" operator="between">
      <formula>0</formula>
      <formula>0.255</formula>
    </cfRule>
  </conditionalFormatting>
  <conditionalFormatting sqref="S263">
    <cfRule type="cellIs" dxfId="6788" priority="7250" operator="between">
      <formula>0.76</formula>
      <formula>0.95</formula>
    </cfRule>
    <cfRule type="cellIs" dxfId="6787" priority="7251" operator="between">
      <formula>0.51</formula>
      <formula>0.75</formula>
    </cfRule>
    <cfRule type="cellIs" dxfId="6786" priority="7252" operator="greaterThan">
      <formula>1</formula>
    </cfRule>
    <cfRule type="cellIs" dxfId="6785" priority="7253" operator="between">
      <formula>0.95</formula>
      <formula>1</formula>
    </cfRule>
    <cfRule type="cellIs" dxfId="6784" priority="7254" stopIfTrue="1" operator="between">
      <formula>0</formula>
      <formula>0.5</formula>
    </cfRule>
  </conditionalFormatting>
  <conditionalFormatting sqref="Z263">
    <cfRule type="cellIs" dxfId="6783" priority="7245" operator="between">
      <formula>0.76</formula>
      <formula>0.95</formula>
    </cfRule>
    <cfRule type="cellIs" dxfId="6782" priority="7246" operator="between">
      <formula>0.51</formula>
      <formula>0.75</formula>
    </cfRule>
    <cfRule type="cellIs" dxfId="6781" priority="7247" operator="greaterThan">
      <formula>1</formula>
    </cfRule>
    <cfRule type="cellIs" dxfId="6780" priority="7248" operator="between">
      <formula>0.95</formula>
      <formula>1</formula>
    </cfRule>
    <cfRule type="cellIs" dxfId="6779" priority="7249" stopIfTrue="1" operator="between">
      <formula>0</formula>
      <formula>0.5</formula>
    </cfRule>
  </conditionalFormatting>
  <conditionalFormatting sqref="AG263">
    <cfRule type="cellIs" dxfId="6778" priority="7240" operator="between">
      <formula>0.76</formula>
      <formula>0.95</formula>
    </cfRule>
    <cfRule type="cellIs" dxfId="6777" priority="7241" operator="between">
      <formula>0.51</formula>
      <formula>0.75</formula>
    </cfRule>
    <cfRule type="cellIs" dxfId="6776" priority="7242" operator="greaterThan">
      <formula>1</formula>
    </cfRule>
    <cfRule type="cellIs" dxfId="6775" priority="7243" operator="between">
      <formula>0.95</formula>
      <formula>1</formula>
    </cfRule>
    <cfRule type="cellIs" dxfId="6774" priority="7244" stopIfTrue="1" operator="between">
      <formula>0</formula>
      <formula>0.5</formula>
    </cfRule>
  </conditionalFormatting>
  <conditionalFormatting sqref="Y264:Y265 AF264:AF265 R264:R265 AH264:AI265 AH267:AI267 R267 AF267 Y267">
    <cfRule type="cellIs" dxfId="6773" priority="7225" operator="between">
      <formula>0.76</formula>
      <formula>0.95</formula>
    </cfRule>
    <cfRule type="cellIs" dxfId="6772" priority="7226" operator="between">
      <formula>0.51</formula>
      <formula>0.75</formula>
    </cfRule>
    <cfRule type="cellIs" dxfId="6771" priority="7227" operator="greaterThan">
      <formula>1</formula>
    </cfRule>
    <cfRule type="cellIs" dxfId="6770" priority="7228" operator="between">
      <formula>0.95</formula>
      <formula>1</formula>
    </cfRule>
    <cfRule type="cellIs" dxfId="6769" priority="7229" stopIfTrue="1" operator="between">
      <formula>0</formula>
      <formula>0.5</formula>
    </cfRule>
  </conditionalFormatting>
  <conditionalFormatting sqref="T264:T265 T267">
    <cfRule type="cellIs" dxfId="6768" priority="7220" operator="between">
      <formula>0.3751</formula>
      <formula>0.475</formula>
    </cfRule>
    <cfRule type="cellIs" dxfId="6767" priority="7221" operator="between">
      <formula>0.2551</formula>
      <formula>0.375</formula>
    </cfRule>
    <cfRule type="cellIs" dxfId="6766" priority="7222" operator="greaterThan">
      <formula>0.505</formula>
    </cfRule>
    <cfRule type="cellIs" dxfId="6765" priority="7223" operator="between">
      <formula>0.48</formula>
      <formula>0.5</formula>
    </cfRule>
    <cfRule type="cellIs" dxfId="6764" priority="7224" stopIfTrue="1" operator="between">
      <formula>0</formula>
      <formula>0.255</formula>
    </cfRule>
  </conditionalFormatting>
  <conditionalFormatting sqref="AA264:AB265 AA267:AB267">
    <cfRule type="cellIs" dxfId="6763" priority="7215" operator="between">
      <formula>0.56251</formula>
      <formula>0.7125</formula>
    </cfRule>
    <cfRule type="cellIs" dxfId="6762" priority="7216" operator="between">
      <formula>0.3751</formula>
      <formula>0.5625</formula>
    </cfRule>
    <cfRule type="cellIs" dxfId="6761" priority="7217" operator="greaterThan">
      <formula>0.751</formula>
    </cfRule>
    <cfRule type="cellIs" dxfId="6760" priority="7218" operator="between">
      <formula>0.71251</formula>
      <formula>0.75</formula>
    </cfRule>
    <cfRule type="cellIs" dxfId="6759" priority="7219" stopIfTrue="1" operator="between">
      <formula>0</formula>
      <formula>0.375</formula>
    </cfRule>
  </conditionalFormatting>
  <conditionalFormatting sqref="U264:U265 U267">
    <cfRule type="cellIs" dxfId="6758" priority="7205" operator="between">
      <formula>0.376</formula>
      <formula>0.475</formula>
    </cfRule>
    <cfRule type="cellIs" dxfId="6757" priority="7206" operator="between">
      <formula>0.2551</formula>
      <formula>0.3751</formula>
    </cfRule>
    <cfRule type="cellIs" dxfId="6756" priority="7207" operator="greaterThan">
      <formula>0.505</formula>
    </cfRule>
    <cfRule type="cellIs" dxfId="6755" priority="7208" operator="between">
      <formula>0.48</formula>
      <formula>0.5</formula>
    </cfRule>
    <cfRule type="cellIs" dxfId="6754" priority="7209" stopIfTrue="1" operator="between">
      <formula>0</formula>
      <formula>0.255</formula>
    </cfRule>
  </conditionalFormatting>
  <conditionalFormatting sqref="AC264:AC265 AC267">
    <cfRule type="cellIs" dxfId="6753" priority="7197" operator="between">
      <formula>0.56251</formula>
      <formula>0.7125</formula>
    </cfRule>
    <cfRule type="cellIs" dxfId="6752" priority="7198" operator="between">
      <formula>0.3751</formula>
      <formula>0.5625</formula>
    </cfRule>
    <cfRule type="cellIs" dxfId="6751" priority="7199" operator="greaterThan">
      <formula>0.751</formula>
    </cfRule>
    <cfRule type="cellIs" dxfId="6750" priority="7200" operator="between">
      <formula>0.71251</formula>
      <formula>0.75</formula>
    </cfRule>
    <cfRule type="cellIs" dxfId="6749" priority="7201" stopIfTrue="1" operator="between">
      <formula>0</formula>
      <formula>0.375</formula>
    </cfRule>
  </conditionalFormatting>
  <conditionalFormatting sqref="V264:V265 V267">
    <cfRule type="cellIs" dxfId="6748" priority="7192" operator="between">
      <formula>0.376</formula>
      <formula>0.475</formula>
    </cfRule>
    <cfRule type="cellIs" dxfId="6747" priority="7193" operator="between">
      <formula>0.2551</formula>
      <formula>0.3751</formula>
    </cfRule>
    <cfRule type="cellIs" dxfId="6746" priority="7194" operator="greaterThan">
      <formula>0.505</formula>
    </cfRule>
    <cfRule type="cellIs" dxfId="6745" priority="7195" operator="between">
      <formula>0.48</formula>
      <formula>0.5</formula>
    </cfRule>
    <cfRule type="cellIs" dxfId="6744" priority="7196" stopIfTrue="1" operator="between">
      <formula>0</formula>
      <formula>0.255</formula>
    </cfRule>
  </conditionalFormatting>
  <conditionalFormatting sqref="S264:S265 S267">
    <cfRule type="cellIs" dxfId="6743" priority="7187" operator="between">
      <formula>0.76</formula>
      <formula>0.95</formula>
    </cfRule>
    <cfRule type="cellIs" dxfId="6742" priority="7188" operator="between">
      <formula>0.51</formula>
      <formula>0.75</formula>
    </cfRule>
    <cfRule type="cellIs" dxfId="6741" priority="7189" operator="greaterThan">
      <formula>1</formula>
    </cfRule>
    <cfRule type="cellIs" dxfId="6740" priority="7190" operator="between">
      <formula>0.95</formula>
      <formula>1</formula>
    </cfRule>
    <cfRule type="cellIs" dxfId="6739" priority="7191" stopIfTrue="1" operator="between">
      <formula>0</formula>
      <formula>0.5</formula>
    </cfRule>
  </conditionalFormatting>
  <conditionalFormatting sqref="Z264:Z265 Z267">
    <cfRule type="cellIs" dxfId="6738" priority="7182" operator="between">
      <formula>0.76</formula>
      <formula>0.95</formula>
    </cfRule>
    <cfRule type="cellIs" dxfId="6737" priority="7183" operator="between">
      <formula>0.51</formula>
      <formula>0.75</formula>
    </cfRule>
    <cfRule type="cellIs" dxfId="6736" priority="7184" operator="greaterThan">
      <formula>1</formula>
    </cfRule>
    <cfRule type="cellIs" dxfId="6735" priority="7185" operator="between">
      <formula>0.95</formula>
      <formula>1</formula>
    </cfRule>
    <cfRule type="cellIs" dxfId="6734" priority="7186" stopIfTrue="1" operator="between">
      <formula>0</formula>
      <formula>0.5</formula>
    </cfRule>
  </conditionalFormatting>
  <conditionalFormatting sqref="AG264:AG265 AG267">
    <cfRule type="cellIs" dxfId="6733" priority="7177" operator="between">
      <formula>0.76</formula>
      <formula>0.95</formula>
    </cfRule>
    <cfRule type="cellIs" dxfId="6732" priority="7178" operator="between">
      <formula>0.51</formula>
      <formula>0.75</formula>
    </cfRule>
    <cfRule type="cellIs" dxfId="6731" priority="7179" operator="greaterThan">
      <formula>1</formula>
    </cfRule>
    <cfRule type="cellIs" dxfId="6730" priority="7180" operator="between">
      <formula>0.95</formula>
      <formula>1</formula>
    </cfRule>
    <cfRule type="cellIs" dxfId="6729" priority="7181" stopIfTrue="1" operator="between">
      <formula>0</formula>
      <formula>0.5</formula>
    </cfRule>
  </conditionalFormatting>
  <conditionalFormatting sqref="Z121">
    <cfRule type="cellIs" dxfId="6728" priority="7097" operator="between">
      <formula>0.76</formula>
      <formula>0.95</formula>
    </cfRule>
    <cfRule type="cellIs" dxfId="6727" priority="7098" operator="between">
      <formula>0.51</formula>
      <formula>0.75</formula>
    </cfRule>
    <cfRule type="cellIs" dxfId="6726" priority="7099" operator="greaterThan">
      <formula>1</formula>
    </cfRule>
    <cfRule type="cellIs" dxfId="6725" priority="7100" operator="between">
      <formula>0.95</formula>
      <formula>1</formula>
    </cfRule>
    <cfRule type="cellIs" dxfId="6724" priority="7101" stopIfTrue="1" operator="between">
      <formula>0</formula>
      <formula>0.5</formula>
    </cfRule>
  </conditionalFormatting>
  <conditionalFormatting sqref="AF121 R121 Y121 AH121:AI121">
    <cfRule type="cellIs" dxfId="6723" priority="7162" operator="between">
      <formula>0.76</formula>
      <formula>0.95</formula>
    </cfRule>
    <cfRule type="cellIs" dxfId="6722" priority="7163" operator="between">
      <formula>0.51</formula>
      <formula>0.75</formula>
    </cfRule>
    <cfRule type="cellIs" dxfId="6721" priority="7164" operator="greaterThan">
      <formula>1</formula>
    </cfRule>
    <cfRule type="cellIs" dxfId="6720" priority="7165" operator="between">
      <formula>0.95</formula>
      <formula>1</formula>
    </cfRule>
    <cfRule type="cellIs" dxfId="6719" priority="7166" stopIfTrue="1" operator="between">
      <formula>0</formula>
      <formula>0.5</formula>
    </cfRule>
  </conditionalFormatting>
  <conditionalFormatting sqref="T121">
    <cfRule type="cellIs" dxfId="6718" priority="7157" operator="between">
      <formula>0.3751</formula>
      <formula>0.475</formula>
    </cfRule>
    <cfRule type="cellIs" dxfId="6717" priority="7158" operator="between">
      <formula>0.2551</formula>
      <formula>0.375</formula>
    </cfRule>
    <cfRule type="cellIs" dxfId="6716" priority="7159" operator="greaterThan">
      <formula>0.505</formula>
    </cfRule>
    <cfRule type="cellIs" dxfId="6715" priority="7160" operator="between">
      <formula>0.48</formula>
      <formula>0.5</formula>
    </cfRule>
    <cfRule type="cellIs" dxfId="6714" priority="7161" stopIfTrue="1" operator="between">
      <formula>0</formula>
      <formula>0.255</formula>
    </cfRule>
  </conditionalFormatting>
  <conditionalFormatting sqref="AA121:AB121">
    <cfRule type="cellIs" dxfId="6713" priority="7152" operator="between">
      <formula>0.56251</formula>
      <formula>0.7125</formula>
    </cfRule>
    <cfRule type="cellIs" dxfId="6712" priority="7153" operator="between">
      <formula>0.3751</formula>
      <formula>0.5625</formula>
    </cfRule>
    <cfRule type="cellIs" dxfId="6711" priority="7154" operator="greaterThan">
      <formula>0.751</formula>
    </cfRule>
    <cfRule type="cellIs" dxfId="6710" priority="7155" operator="between">
      <formula>0.71251</formula>
      <formula>0.75</formula>
    </cfRule>
    <cfRule type="cellIs" dxfId="6709" priority="7156" stopIfTrue="1" operator="between">
      <formula>0</formula>
      <formula>0.375</formula>
    </cfRule>
  </conditionalFormatting>
  <conditionalFormatting sqref="U121">
    <cfRule type="cellIs" dxfId="6708" priority="7142" operator="between">
      <formula>0.376</formula>
      <formula>0.475</formula>
    </cfRule>
    <cfRule type="cellIs" dxfId="6707" priority="7143" operator="between">
      <formula>0.2551</formula>
      <formula>0.3751</formula>
    </cfRule>
    <cfRule type="cellIs" dxfId="6706" priority="7144" operator="greaterThan">
      <formula>0.505</formula>
    </cfRule>
    <cfRule type="cellIs" dxfId="6705" priority="7145" operator="between">
      <formula>0.48</formula>
      <formula>0.5</formula>
    </cfRule>
    <cfRule type="cellIs" dxfId="6704" priority="7146" stopIfTrue="1" operator="between">
      <formula>0</formula>
      <formula>0.255</formula>
    </cfRule>
  </conditionalFormatting>
  <conditionalFormatting sqref="S121">
    <cfRule type="cellIs" dxfId="6703" priority="7117" operator="between">
      <formula>0.76</formula>
      <formula>0.95</formula>
    </cfRule>
    <cfRule type="cellIs" dxfId="6702" priority="7118" operator="between">
      <formula>0.51</formula>
      <formula>0.75</formula>
    </cfRule>
    <cfRule type="cellIs" dxfId="6701" priority="7119" operator="greaterThan">
      <formula>1</formula>
    </cfRule>
    <cfRule type="cellIs" dxfId="6700" priority="7120" operator="between">
      <formula>0.95</formula>
      <formula>1</formula>
    </cfRule>
    <cfRule type="cellIs" dxfId="6699" priority="7121" stopIfTrue="1" operator="between">
      <formula>0</formula>
      <formula>0.5</formula>
    </cfRule>
  </conditionalFormatting>
  <conditionalFormatting sqref="V121">
    <cfRule type="cellIs" dxfId="6698" priority="7122" operator="between">
      <formula>0.376</formula>
      <formula>0.475</formula>
    </cfRule>
    <cfRule type="cellIs" dxfId="6697" priority="7123" operator="between">
      <formula>0.2551</formula>
      <formula>0.3751</formula>
    </cfRule>
    <cfRule type="cellIs" dxfId="6696" priority="7124" operator="greaterThan">
      <formula>0.505</formula>
    </cfRule>
    <cfRule type="cellIs" dxfId="6695" priority="7125" operator="between">
      <formula>0.48</formula>
      <formula>0.5</formula>
    </cfRule>
    <cfRule type="cellIs" dxfId="6694" priority="7126" stopIfTrue="1" operator="between">
      <formula>0</formula>
      <formula>0.255</formula>
    </cfRule>
  </conditionalFormatting>
  <conditionalFormatting sqref="AC121">
    <cfRule type="cellIs" dxfId="6693" priority="7112" operator="between">
      <formula>0.56251</formula>
      <formula>0.7125</formula>
    </cfRule>
    <cfRule type="cellIs" dxfId="6692" priority="7113" operator="between">
      <formula>0.3751</formula>
      <formula>0.5625</formula>
    </cfRule>
    <cfRule type="cellIs" dxfId="6691" priority="7114" operator="greaterThan">
      <formula>0.751</formula>
    </cfRule>
    <cfRule type="cellIs" dxfId="6690" priority="7115" operator="between">
      <formula>0.71251</formula>
      <formula>0.75</formula>
    </cfRule>
    <cfRule type="cellIs" dxfId="6689" priority="7116" stopIfTrue="1" operator="between">
      <formula>0</formula>
      <formula>0.375</formula>
    </cfRule>
  </conditionalFormatting>
  <conditionalFormatting sqref="AG121">
    <cfRule type="cellIs" dxfId="6688" priority="7092" operator="between">
      <formula>0.76</formula>
      <formula>0.95</formula>
    </cfRule>
    <cfRule type="cellIs" dxfId="6687" priority="7093" operator="between">
      <formula>0.51</formula>
      <formula>0.75</formula>
    </cfRule>
    <cfRule type="cellIs" dxfId="6686" priority="7094" operator="greaterThan">
      <formula>1</formula>
    </cfRule>
    <cfRule type="cellIs" dxfId="6685" priority="7095" operator="between">
      <formula>0.95</formula>
      <formula>1</formula>
    </cfRule>
    <cfRule type="cellIs" dxfId="6684" priority="7096" stopIfTrue="1" operator="between">
      <formula>0</formula>
      <formula>0.5</formula>
    </cfRule>
  </conditionalFormatting>
  <conditionalFormatting sqref="Z122">
    <cfRule type="cellIs" dxfId="6683" priority="7022" operator="between">
      <formula>0.76</formula>
      <formula>0.95</formula>
    </cfRule>
    <cfRule type="cellIs" dxfId="6682" priority="7023" operator="between">
      <formula>0.51</formula>
      <formula>0.75</formula>
    </cfRule>
    <cfRule type="cellIs" dxfId="6681" priority="7024" operator="greaterThan">
      <formula>1</formula>
    </cfRule>
    <cfRule type="cellIs" dxfId="6680" priority="7025" operator="between">
      <formula>0.95</formula>
      <formula>1</formula>
    </cfRule>
    <cfRule type="cellIs" dxfId="6679" priority="7026" stopIfTrue="1" operator="between">
      <formula>0</formula>
      <formula>0.5</formula>
    </cfRule>
  </conditionalFormatting>
  <conditionalFormatting sqref="AF122 R122 Y122 AH122:AI122">
    <cfRule type="cellIs" dxfId="6678" priority="7087" operator="between">
      <formula>0.76</formula>
      <formula>0.95</formula>
    </cfRule>
    <cfRule type="cellIs" dxfId="6677" priority="7088" operator="between">
      <formula>0.51</formula>
      <formula>0.75</formula>
    </cfRule>
    <cfRule type="cellIs" dxfId="6676" priority="7089" operator="greaterThan">
      <formula>1</formula>
    </cfRule>
    <cfRule type="cellIs" dxfId="6675" priority="7090" operator="between">
      <formula>0.95</formula>
      <formula>1</formula>
    </cfRule>
    <cfRule type="cellIs" dxfId="6674" priority="7091" stopIfTrue="1" operator="between">
      <formula>0</formula>
      <formula>0.5</formula>
    </cfRule>
  </conditionalFormatting>
  <conditionalFormatting sqref="T122">
    <cfRule type="cellIs" dxfId="6673" priority="7082" operator="between">
      <formula>0.3751</formula>
      <formula>0.475</formula>
    </cfRule>
    <cfRule type="cellIs" dxfId="6672" priority="7083" operator="between">
      <formula>0.2551</formula>
      <formula>0.375</formula>
    </cfRule>
    <cfRule type="cellIs" dxfId="6671" priority="7084" operator="greaterThan">
      <formula>0.505</formula>
    </cfRule>
    <cfRule type="cellIs" dxfId="6670" priority="7085" operator="between">
      <formula>0.48</formula>
      <formula>0.5</formula>
    </cfRule>
    <cfRule type="cellIs" dxfId="6669" priority="7086" stopIfTrue="1" operator="between">
      <formula>0</formula>
      <formula>0.255</formula>
    </cfRule>
  </conditionalFormatting>
  <conditionalFormatting sqref="AA122:AB122">
    <cfRule type="cellIs" dxfId="6668" priority="7077" operator="between">
      <formula>0.56251</formula>
      <formula>0.7125</formula>
    </cfRule>
    <cfRule type="cellIs" dxfId="6667" priority="7078" operator="between">
      <formula>0.3751</formula>
      <formula>0.5625</formula>
    </cfRule>
    <cfRule type="cellIs" dxfId="6666" priority="7079" operator="greaterThan">
      <formula>0.751</formula>
    </cfRule>
    <cfRule type="cellIs" dxfId="6665" priority="7080" operator="between">
      <formula>0.71251</formula>
      <formula>0.75</formula>
    </cfRule>
    <cfRule type="cellIs" dxfId="6664" priority="7081" stopIfTrue="1" operator="between">
      <formula>0</formula>
      <formula>0.375</formula>
    </cfRule>
  </conditionalFormatting>
  <conditionalFormatting sqref="U122">
    <cfRule type="cellIs" dxfId="6663" priority="7067" operator="between">
      <formula>0.376</formula>
      <formula>0.475</formula>
    </cfRule>
    <cfRule type="cellIs" dxfId="6662" priority="7068" operator="between">
      <formula>0.2551</formula>
      <formula>0.3751</formula>
    </cfRule>
    <cfRule type="cellIs" dxfId="6661" priority="7069" operator="greaterThan">
      <formula>0.505</formula>
    </cfRule>
    <cfRule type="cellIs" dxfId="6660" priority="7070" operator="between">
      <formula>0.48</formula>
      <formula>0.5</formula>
    </cfRule>
    <cfRule type="cellIs" dxfId="6659" priority="7071" stopIfTrue="1" operator="between">
      <formula>0</formula>
      <formula>0.255</formula>
    </cfRule>
  </conditionalFormatting>
  <conditionalFormatting sqref="S122">
    <cfRule type="cellIs" dxfId="6658" priority="7042" operator="between">
      <formula>0.76</formula>
      <formula>0.95</formula>
    </cfRule>
    <cfRule type="cellIs" dxfId="6657" priority="7043" operator="between">
      <formula>0.51</formula>
      <formula>0.75</formula>
    </cfRule>
    <cfRule type="cellIs" dxfId="6656" priority="7044" operator="greaterThan">
      <formula>1</formula>
    </cfRule>
    <cfRule type="cellIs" dxfId="6655" priority="7045" operator="between">
      <formula>0.95</formula>
      <formula>1</formula>
    </cfRule>
    <cfRule type="cellIs" dxfId="6654" priority="7046" stopIfTrue="1" operator="between">
      <formula>0</formula>
      <formula>0.5</formula>
    </cfRule>
  </conditionalFormatting>
  <conditionalFormatting sqref="V122">
    <cfRule type="cellIs" dxfId="6653" priority="7047" operator="between">
      <formula>0.376</formula>
      <formula>0.475</formula>
    </cfRule>
    <cfRule type="cellIs" dxfId="6652" priority="7048" operator="between">
      <formula>0.2551</formula>
      <formula>0.3751</formula>
    </cfRule>
    <cfRule type="cellIs" dxfId="6651" priority="7049" operator="greaterThan">
      <formula>0.505</formula>
    </cfRule>
    <cfRule type="cellIs" dxfId="6650" priority="7050" operator="between">
      <formula>0.48</formula>
      <formula>0.5</formula>
    </cfRule>
    <cfRule type="cellIs" dxfId="6649" priority="7051" stopIfTrue="1" operator="between">
      <formula>0</formula>
      <formula>0.255</formula>
    </cfRule>
  </conditionalFormatting>
  <conditionalFormatting sqref="AC122">
    <cfRule type="cellIs" dxfId="6648" priority="7037" operator="between">
      <formula>0.56251</formula>
      <formula>0.7125</formula>
    </cfRule>
    <cfRule type="cellIs" dxfId="6647" priority="7038" operator="between">
      <formula>0.3751</formula>
      <formula>0.5625</formula>
    </cfRule>
    <cfRule type="cellIs" dxfId="6646" priority="7039" operator="greaterThan">
      <formula>0.751</formula>
    </cfRule>
    <cfRule type="cellIs" dxfId="6645" priority="7040" operator="between">
      <formula>0.71251</formula>
      <formula>0.75</formula>
    </cfRule>
    <cfRule type="cellIs" dxfId="6644" priority="7041" stopIfTrue="1" operator="between">
      <formula>0</formula>
      <formula>0.375</formula>
    </cfRule>
  </conditionalFormatting>
  <conditionalFormatting sqref="AG122">
    <cfRule type="cellIs" dxfId="6643" priority="7017" operator="between">
      <formula>0.76</formula>
      <formula>0.95</formula>
    </cfRule>
    <cfRule type="cellIs" dxfId="6642" priority="7018" operator="between">
      <formula>0.51</formula>
      <formula>0.75</formula>
    </cfRule>
    <cfRule type="cellIs" dxfId="6641" priority="7019" operator="greaterThan">
      <formula>1</formula>
    </cfRule>
    <cfRule type="cellIs" dxfId="6640" priority="7020" operator="between">
      <formula>0.95</formula>
      <formula>1</formula>
    </cfRule>
    <cfRule type="cellIs" dxfId="6639" priority="7021" stopIfTrue="1" operator="between">
      <formula>0</formula>
      <formula>0.5</formula>
    </cfRule>
  </conditionalFormatting>
  <conditionalFormatting sqref="Z123">
    <cfRule type="cellIs" dxfId="6638" priority="6947" operator="between">
      <formula>0.76</formula>
      <formula>0.95</formula>
    </cfRule>
    <cfRule type="cellIs" dxfId="6637" priority="6948" operator="between">
      <formula>0.51</formula>
      <formula>0.75</formula>
    </cfRule>
    <cfRule type="cellIs" dxfId="6636" priority="6949" operator="greaterThan">
      <formula>1</formula>
    </cfRule>
    <cfRule type="cellIs" dxfId="6635" priority="6950" operator="between">
      <formula>0.95</formula>
      <formula>1</formula>
    </cfRule>
    <cfRule type="cellIs" dxfId="6634" priority="6951" stopIfTrue="1" operator="between">
      <formula>0</formula>
      <formula>0.5</formula>
    </cfRule>
  </conditionalFormatting>
  <conditionalFormatting sqref="AF123 R123 Y123 AH123:AI123">
    <cfRule type="cellIs" dxfId="6633" priority="7012" operator="between">
      <formula>0.76</formula>
      <formula>0.95</formula>
    </cfRule>
    <cfRule type="cellIs" dxfId="6632" priority="7013" operator="between">
      <formula>0.51</formula>
      <formula>0.75</formula>
    </cfRule>
    <cfRule type="cellIs" dxfId="6631" priority="7014" operator="greaterThan">
      <formula>1</formula>
    </cfRule>
    <cfRule type="cellIs" dxfId="6630" priority="7015" operator="between">
      <formula>0.95</formula>
      <formula>1</formula>
    </cfRule>
    <cfRule type="cellIs" dxfId="6629" priority="7016" stopIfTrue="1" operator="between">
      <formula>0</formula>
      <formula>0.5</formula>
    </cfRule>
  </conditionalFormatting>
  <conditionalFormatting sqref="T123">
    <cfRule type="cellIs" dxfId="6628" priority="7007" operator="between">
      <formula>0.3751</formula>
      <formula>0.475</formula>
    </cfRule>
    <cfRule type="cellIs" dxfId="6627" priority="7008" operator="between">
      <formula>0.2551</formula>
      <formula>0.375</formula>
    </cfRule>
    <cfRule type="cellIs" dxfId="6626" priority="7009" operator="greaterThan">
      <formula>0.505</formula>
    </cfRule>
    <cfRule type="cellIs" dxfId="6625" priority="7010" operator="between">
      <formula>0.48</formula>
      <formula>0.5</formula>
    </cfRule>
    <cfRule type="cellIs" dxfId="6624" priority="7011" stopIfTrue="1" operator="between">
      <formula>0</formula>
      <formula>0.255</formula>
    </cfRule>
  </conditionalFormatting>
  <conditionalFormatting sqref="AA123:AB123">
    <cfRule type="cellIs" dxfId="6623" priority="7002" operator="between">
      <formula>0.56251</formula>
      <formula>0.7125</formula>
    </cfRule>
    <cfRule type="cellIs" dxfId="6622" priority="7003" operator="between">
      <formula>0.3751</formula>
      <formula>0.5625</formula>
    </cfRule>
    <cfRule type="cellIs" dxfId="6621" priority="7004" operator="greaterThan">
      <formula>0.751</formula>
    </cfRule>
    <cfRule type="cellIs" dxfId="6620" priority="7005" operator="between">
      <formula>0.71251</formula>
      <formula>0.75</formula>
    </cfRule>
    <cfRule type="cellIs" dxfId="6619" priority="7006" stopIfTrue="1" operator="between">
      <formula>0</formula>
      <formula>0.375</formula>
    </cfRule>
  </conditionalFormatting>
  <conditionalFormatting sqref="U123">
    <cfRule type="cellIs" dxfId="6618" priority="6992" operator="between">
      <formula>0.376</formula>
      <formula>0.475</formula>
    </cfRule>
    <cfRule type="cellIs" dxfId="6617" priority="6993" operator="between">
      <formula>0.2551</formula>
      <formula>0.3751</formula>
    </cfRule>
    <cfRule type="cellIs" dxfId="6616" priority="6994" operator="greaterThan">
      <formula>0.505</formula>
    </cfRule>
    <cfRule type="cellIs" dxfId="6615" priority="6995" operator="between">
      <formula>0.48</formula>
      <formula>0.5</formula>
    </cfRule>
    <cfRule type="cellIs" dxfId="6614" priority="6996" stopIfTrue="1" operator="between">
      <formula>0</formula>
      <formula>0.255</formula>
    </cfRule>
  </conditionalFormatting>
  <conditionalFormatting sqref="V123">
    <cfRule type="cellIs" dxfId="6613" priority="6972" operator="between">
      <formula>0.376</formula>
      <formula>0.475</formula>
    </cfRule>
    <cfRule type="cellIs" dxfId="6612" priority="6973" operator="between">
      <formula>0.2551</formula>
      <formula>0.3751</formula>
    </cfRule>
    <cfRule type="cellIs" dxfId="6611" priority="6974" operator="greaterThan">
      <formula>0.505</formula>
    </cfRule>
    <cfRule type="cellIs" dxfId="6610" priority="6975" operator="between">
      <formula>0.48</formula>
      <formula>0.5</formula>
    </cfRule>
    <cfRule type="cellIs" dxfId="6609" priority="6976" stopIfTrue="1" operator="between">
      <formula>0</formula>
      <formula>0.255</formula>
    </cfRule>
  </conditionalFormatting>
  <conditionalFormatting sqref="AC123">
    <cfRule type="cellIs" dxfId="6608" priority="6962" operator="between">
      <formula>0.56251</formula>
      <formula>0.7125</formula>
    </cfRule>
    <cfRule type="cellIs" dxfId="6607" priority="6963" operator="between">
      <formula>0.3751</formula>
      <formula>0.5625</formula>
    </cfRule>
    <cfRule type="cellIs" dxfId="6606" priority="6964" operator="greaterThan">
      <formula>0.751</formula>
    </cfRule>
    <cfRule type="cellIs" dxfId="6605" priority="6965" operator="between">
      <formula>0.71251</formula>
      <formula>0.75</formula>
    </cfRule>
    <cfRule type="cellIs" dxfId="6604" priority="6966" stopIfTrue="1" operator="between">
      <formula>0</formula>
      <formula>0.375</formula>
    </cfRule>
  </conditionalFormatting>
  <conditionalFormatting sqref="AG123">
    <cfRule type="cellIs" dxfId="6603" priority="6942" operator="between">
      <formula>0.76</formula>
      <formula>0.95</formula>
    </cfRule>
    <cfRule type="cellIs" dxfId="6602" priority="6943" operator="between">
      <formula>0.51</formula>
      <formula>0.75</formula>
    </cfRule>
    <cfRule type="cellIs" dxfId="6601" priority="6944" operator="greaterThan">
      <formula>1</formula>
    </cfRule>
    <cfRule type="cellIs" dxfId="6600" priority="6945" operator="between">
      <formula>0.95</formula>
      <formula>1</formula>
    </cfRule>
    <cfRule type="cellIs" dxfId="6599" priority="6946" stopIfTrue="1" operator="between">
      <formula>0</formula>
      <formula>0.5</formula>
    </cfRule>
  </conditionalFormatting>
  <conditionalFormatting sqref="Z124">
    <cfRule type="cellIs" dxfId="6598" priority="6872" operator="between">
      <formula>0.76</formula>
      <formula>0.95</formula>
    </cfRule>
    <cfRule type="cellIs" dxfId="6597" priority="6873" operator="between">
      <formula>0.51</formula>
      <formula>0.75</formula>
    </cfRule>
    <cfRule type="cellIs" dxfId="6596" priority="6874" operator="greaterThan">
      <formula>1</formula>
    </cfRule>
    <cfRule type="cellIs" dxfId="6595" priority="6875" operator="between">
      <formula>0.95</formula>
      <formula>1</formula>
    </cfRule>
    <cfRule type="cellIs" dxfId="6594" priority="6876" stopIfTrue="1" operator="between">
      <formula>0</formula>
      <formula>0.5</formula>
    </cfRule>
  </conditionalFormatting>
  <conditionalFormatting sqref="AF124 R124 Y124 AH124:AI124">
    <cfRule type="cellIs" dxfId="6593" priority="6937" operator="between">
      <formula>0.76</formula>
      <formula>0.95</formula>
    </cfRule>
    <cfRule type="cellIs" dxfId="6592" priority="6938" operator="between">
      <formula>0.51</formula>
      <formula>0.75</formula>
    </cfRule>
    <cfRule type="cellIs" dxfId="6591" priority="6939" operator="greaterThan">
      <formula>1</formula>
    </cfRule>
    <cfRule type="cellIs" dxfId="6590" priority="6940" operator="between">
      <formula>0.95</formula>
      <formula>1</formula>
    </cfRule>
    <cfRule type="cellIs" dxfId="6589" priority="6941" stopIfTrue="1" operator="between">
      <formula>0</formula>
      <formula>0.5</formula>
    </cfRule>
  </conditionalFormatting>
  <conditionalFormatting sqref="T124">
    <cfRule type="cellIs" dxfId="6588" priority="6932" operator="between">
      <formula>0.3751</formula>
      <formula>0.475</formula>
    </cfRule>
    <cfRule type="cellIs" dxfId="6587" priority="6933" operator="between">
      <formula>0.2551</formula>
      <formula>0.375</formula>
    </cfRule>
    <cfRule type="cellIs" dxfId="6586" priority="6934" operator="greaterThan">
      <formula>0.505</formula>
    </cfRule>
    <cfRule type="cellIs" dxfId="6585" priority="6935" operator="between">
      <formula>0.48</formula>
      <formula>0.5</formula>
    </cfRule>
    <cfRule type="cellIs" dxfId="6584" priority="6936" stopIfTrue="1" operator="between">
      <formula>0</formula>
      <formula>0.255</formula>
    </cfRule>
  </conditionalFormatting>
  <conditionalFormatting sqref="AA124:AB124">
    <cfRule type="cellIs" dxfId="6583" priority="6927" operator="between">
      <formula>0.56251</formula>
      <formula>0.7125</formula>
    </cfRule>
    <cfRule type="cellIs" dxfId="6582" priority="6928" operator="between">
      <formula>0.3751</formula>
      <formula>0.5625</formula>
    </cfRule>
    <cfRule type="cellIs" dxfId="6581" priority="6929" operator="greaterThan">
      <formula>0.751</formula>
    </cfRule>
    <cfRule type="cellIs" dxfId="6580" priority="6930" operator="between">
      <formula>0.71251</formula>
      <formula>0.75</formula>
    </cfRule>
    <cfRule type="cellIs" dxfId="6579" priority="6931" stopIfTrue="1" operator="between">
      <formula>0</formula>
      <formula>0.375</formula>
    </cfRule>
  </conditionalFormatting>
  <conditionalFormatting sqref="U124">
    <cfRule type="cellIs" dxfId="6578" priority="6917" operator="between">
      <formula>0.376</formula>
      <formula>0.475</formula>
    </cfRule>
    <cfRule type="cellIs" dxfId="6577" priority="6918" operator="between">
      <formula>0.2551</formula>
      <formula>0.3751</formula>
    </cfRule>
    <cfRule type="cellIs" dxfId="6576" priority="6919" operator="greaterThan">
      <formula>0.505</formula>
    </cfRule>
    <cfRule type="cellIs" dxfId="6575" priority="6920" operator="between">
      <formula>0.48</formula>
      <formula>0.5</formula>
    </cfRule>
    <cfRule type="cellIs" dxfId="6574" priority="6921" stopIfTrue="1" operator="between">
      <formula>0</formula>
      <formula>0.255</formula>
    </cfRule>
  </conditionalFormatting>
  <conditionalFormatting sqref="S124">
    <cfRule type="cellIs" dxfId="6573" priority="6892" operator="between">
      <formula>0.76</formula>
      <formula>0.95</formula>
    </cfRule>
    <cfRule type="cellIs" dxfId="6572" priority="6893" operator="between">
      <formula>0.51</formula>
      <formula>0.75</formula>
    </cfRule>
    <cfRule type="cellIs" dxfId="6571" priority="6894" operator="greaterThan">
      <formula>1</formula>
    </cfRule>
    <cfRule type="cellIs" dxfId="6570" priority="6895" operator="between">
      <formula>0.95</formula>
      <formula>1</formula>
    </cfRule>
    <cfRule type="cellIs" dxfId="6569" priority="6896" stopIfTrue="1" operator="between">
      <formula>0</formula>
      <formula>0.5</formula>
    </cfRule>
  </conditionalFormatting>
  <conditionalFormatting sqref="V124">
    <cfRule type="cellIs" dxfId="6568" priority="6897" operator="between">
      <formula>0.376</formula>
      <formula>0.475</formula>
    </cfRule>
    <cfRule type="cellIs" dxfId="6567" priority="6898" operator="between">
      <formula>0.2551</formula>
      <formula>0.3751</formula>
    </cfRule>
    <cfRule type="cellIs" dxfId="6566" priority="6899" operator="greaterThan">
      <formula>0.505</formula>
    </cfRule>
    <cfRule type="cellIs" dxfId="6565" priority="6900" operator="between">
      <formula>0.48</formula>
      <formula>0.5</formula>
    </cfRule>
    <cfRule type="cellIs" dxfId="6564" priority="6901" stopIfTrue="1" operator="between">
      <formula>0</formula>
      <formula>0.255</formula>
    </cfRule>
  </conditionalFormatting>
  <conditionalFormatting sqref="AC124">
    <cfRule type="cellIs" dxfId="6563" priority="6887" operator="between">
      <formula>0.56251</formula>
      <formula>0.7125</formula>
    </cfRule>
    <cfRule type="cellIs" dxfId="6562" priority="6888" operator="between">
      <formula>0.3751</formula>
      <formula>0.5625</formula>
    </cfRule>
    <cfRule type="cellIs" dxfId="6561" priority="6889" operator="greaterThan">
      <formula>0.751</formula>
    </cfRule>
    <cfRule type="cellIs" dxfId="6560" priority="6890" operator="between">
      <formula>0.71251</formula>
      <formula>0.75</formula>
    </cfRule>
    <cfRule type="cellIs" dxfId="6559" priority="6891" stopIfTrue="1" operator="between">
      <formula>0</formula>
      <formula>0.375</formula>
    </cfRule>
  </conditionalFormatting>
  <conditionalFormatting sqref="AG124">
    <cfRule type="cellIs" dxfId="6558" priority="6867" operator="between">
      <formula>0.76</formula>
      <formula>0.95</formula>
    </cfRule>
    <cfRule type="cellIs" dxfId="6557" priority="6868" operator="between">
      <formula>0.51</formula>
      <formula>0.75</formula>
    </cfRule>
    <cfRule type="cellIs" dxfId="6556" priority="6869" operator="greaterThan">
      <formula>1</formula>
    </cfRule>
    <cfRule type="cellIs" dxfId="6555" priority="6870" operator="between">
      <formula>0.95</formula>
      <formula>1</formula>
    </cfRule>
    <cfRule type="cellIs" dxfId="6554" priority="6871" stopIfTrue="1" operator="between">
      <formula>0</formula>
      <formula>0.5</formula>
    </cfRule>
  </conditionalFormatting>
  <conditionalFormatting sqref="Z125">
    <cfRule type="cellIs" dxfId="6553" priority="6797" operator="between">
      <formula>0.76</formula>
      <formula>0.95</formula>
    </cfRule>
    <cfRule type="cellIs" dxfId="6552" priority="6798" operator="between">
      <formula>0.51</formula>
      <formula>0.75</formula>
    </cfRule>
    <cfRule type="cellIs" dxfId="6551" priority="6799" operator="greaterThan">
      <formula>1</formula>
    </cfRule>
    <cfRule type="cellIs" dxfId="6550" priority="6800" operator="between">
      <formula>0.95</formula>
      <formula>1</formula>
    </cfRule>
    <cfRule type="cellIs" dxfId="6549" priority="6801" stopIfTrue="1" operator="between">
      <formula>0</formula>
      <formula>0.5</formula>
    </cfRule>
  </conditionalFormatting>
  <conditionalFormatting sqref="AF125 R125 Y125 AH125:AI125">
    <cfRule type="cellIs" dxfId="6548" priority="6862" operator="between">
      <formula>0.76</formula>
      <formula>0.95</formula>
    </cfRule>
    <cfRule type="cellIs" dxfId="6547" priority="6863" operator="between">
      <formula>0.51</formula>
      <formula>0.75</formula>
    </cfRule>
    <cfRule type="cellIs" dxfId="6546" priority="6864" operator="greaterThan">
      <formula>1</formula>
    </cfRule>
    <cfRule type="cellIs" dxfId="6545" priority="6865" operator="between">
      <formula>0.95</formula>
      <formula>1</formula>
    </cfRule>
    <cfRule type="cellIs" dxfId="6544" priority="6866" stopIfTrue="1" operator="between">
      <formula>0</formula>
      <formula>0.5</formula>
    </cfRule>
  </conditionalFormatting>
  <conditionalFormatting sqref="T125">
    <cfRule type="cellIs" dxfId="6543" priority="6857" operator="between">
      <formula>0.3751</formula>
      <formula>0.475</formula>
    </cfRule>
    <cfRule type="cellIs" dxfId="6542" priority="6858" operator="between">
      <formula>0.2551</formula>
      <formula>0.375</formula>
    </cfRule>
    <cfRule type="cellIs" dxfId="6541" priority="6859" operator="greaterThan">
      <formula>0.505</formula>
    </cfRule>
    <cfRule type="cellIs" dxfId="6540" priority="6860" operator="between">
      <formula>0.48</formula>
      <formula>0.5</formula>
    </cfRule>
    <cfRule type="cellIs" dxfId="6539" priority="6861" stopIfTrue="1" operator="between">
      <formula>0</formula>
      <formula>0.255</formula>
    </cfRule>
  </conditionalFormatting>
  <conditionalFormatting sqref="AA125:AB125">
    <cfRule type="cellIs" dxfId="6538" priority="6852" operator="between">
      <formula>0.56251</formula>
      <formula>0.7125</formula>
    </cfRule>
    <cfRule type="cellIs" dxfId="6537" priority="6853" operator="between">
      <formula>0.3751</formula>
      <formula>0.5625</formula>
    </cfRule>
    <cfRule type="cellIs" dxfId="6536" priority="6854" operator="greaterThan">
      <formula>0.751</formula>
    </cfRule>
    <cfRule type="cellIs" dxfId="6535" priority="6855" operator="between">
      <formula>0.71251</formula>
      <formula>0.75</formula>
    </cfRule>
    <cfRule type="cellIs" dxfId="6534" priority="6856" stopIfTrue="1" operator="between">
      <formula>0</formula>
      <formula>0.375</formula>
    </cfRule>
  </conditionalFormatting>
  <conditionalFormatting sqref="U125">
    <cfRule type="cellIs" dxfId="6533" priority="6842" operator="between">
      <formula>0.376</formula>
      <formula>0.475</formula>
    </cfRule>
    <cfRule type="cellIs" dxfId="6532" priority="6843" operator="between">
      <formula>0.2551</formula>
      <formula>0.3751</formula>
    </cfRule>
    <cfRule type="cellIs" dxfId="6531" priority="6844" operator="greaterThan">
      <formula>0.505</formula>
    </cfRule>
    <cfRule type="cellIs" dxfId="6530" priority="6845" operator="between">
      <formula>0.48</formula>
      <formula>0.5</formula>
    </cfRule>
    <cfRule type="cellIs" dxfId="6529" priority="6846" stopIfTrue="1" operator="between">
      <formula>0</formula>
      <formula>0.255</formula>
    </cfRule>
  </conditionalFormatting>
  <conditionalFormatting sqref="S125">
    <cfRule type="cellIs" dxfId="6528" priority="6817" operator="between">
      <formula>0.76</formula>
      <formula>0.95</formula>
    </cfRule>
    <cfRule type="cellIs" dxfId="6527" priority="6818" operator="between">
      <formula>0.51</formula>
      <formula>0.75</formula>
    </cfRule>
    <cfRule type="cellIs" dxfId="6526" priority="6819" operator="greaterThan">
      <formula>1</formula>
    </cfRule>
    <cfRule type="cellIs" dxfId="6525" priority="6820" operator="between">
      <formula>0.95</formula>
      <formula>1</formula>
    </cfRule>
    <cfRule type="cellIs" dxfId="6524" priority="6821" stopIfTrue="1" operator="between">
      <formula>0</formula>
      <formula>0.5</formula>
    </cfRule>
  </conditionalFormatting>
  <conditionalFormatting sqref="V125">
    <cfRule type="cellIs" dxfId="6523" priority="6822" operator="between">
      <formula>0.376</formula>
      <formula>0.475</formula>
    </cfRule>
    <cfRule type="cellIs" dxfId="6522" priority="6823" operator="between">
      <formula>0.2551</formula>
      <formula>0.3751</formula>
    </cfRule>
    <cfRule type="cellIs" dxfId="6521" priority="6824" operator="greaterThan">
      <formula>0.505</formula>
    </cfRule>
    <cfRule type="cellIs" dxfId="6520" priority="6825" operator="between">
      <formula>0.48</formula>
      <formula>0.5</formula>
    </cfRule>
    <cfRule type="cellIs" dxfId="6519" priority="6826" stopIfTrue="1" operator="between">
      <formula>0</formula>
      <formula>0.255</formula>
    </cfRule>
  </conditionalFormatting>
  <conditionalFormatting sqref="AC125">
    <cfRule type="cellIs" dxfId="6518" priority="6812" operator="between">
      <formula>0.56251</formula>
      <formula>0.7125</formula>
    </cfRule>
    <cfRule type="cellIs" dxfId="6517" priority="6813" operator="between">
      <formula>0.3751</formula>
      <formula>0.5625</formula>
    </cfRule>
    <cfRule type="cellIs" dxfId="6516" priority="6814" operator="greaterThan">
      <formula>0.751</formula>
    </cfRule>
    <cfRule type="cellIs" dxfId="6515" priority="6815" operator="between">
      <formula>0.71251</formula>
      <formula>0.75</formula>
    </cfRule>
    <cfRule type="cellIs" dxfId="6514" priority="6816" stopIfTrue="1" operator="between">
      <formula>0</formula>
      <formula>0.375</formula>
    </cfRule>
  </conditionalFormatting>
  <conditionalFormatting sqref="AG125">
    <cfRule type="cellIs" dxfId="6513" priority="6792" operator="between">
      <formula>0.76</formula>
      <formula>0.95</formula>
    </cfRule>
    <cfRule type="cellIs" dxfId="6512" priority="6793" operator="between">
      <formula>0.51</formula>
      <formula>0.75</formula>
    </cfRule>
    <cfRule type="cellIs" dxfId="6511" priority="6794" operator="greaterThan">
      <formula>1</formula>
    </cfRule>
    <cfRule type="cellIs" dxfId="6510" priority="6795" operator="between">
      <formula>0.95</formula>
      <formula>1</formula>
    </cfRule>
    <cfRule type="cellIs" dxfId="6509" priority="6796" stopIfTrue="1" operator="between">
      <formula>0</formula>
      <formula>0.5</formula>
    </cfRule>
  </conditionalFormatting>
  <conditionalFormatting sqref="Z126">
    <cfRule type="cellIs" dxfId="6508" priority="6722" operator="between">
      <formula>0.76</formula>
      <formula>0.95</formula>
    </cfRule>
    <cfRule type="cellIs" dxfId="6507" priority="6723" operator="between">
      <formula>0.51</formula>
      <formula>0.75</formula>
    </cfRule>
    <cfRule type="cellIs" dxfId="6506" priority="6724" operator="greaterThan">
      <formula>1</formula>
    </cfRule>
    <cfRule type="cellIs" dxfId="6505" priority="6725" operator="between">
      <formula>0.95</formula>
      <formula>1</formula>
    </cfRule>
    <cfRule type="cellIs" dxfId="6504" priority="6726" stopIfTrue="1" operator="between">
      <formula>0</formula>
      <formula>0.5</formula>
    </cfRule>
  </conditionalFormatting>
  <conditionalFormatting sqref="AF126 K126 R126 Y126 AH126:AI126">
    <cfRule type="cellIs" dxfId="6503" priority="6787" operator="between">
      <formula>0.76</formula>
      <formula>0.95</formula>
    </cfRule>
    <cfRule type="cellIs" dxfId="6502" priority="6788" operator="between">
      <formula>0.51</formula>
      <formula>0.75</formula>
    </cfRule>
    <cfRule type="cellIs" dxfId="6501" priority="6789" operator="greaterThan">
      <formula>1</formula>
    </cfRule>
    <cfRule type="cellIs" dxfId="6500" priority="6790" operator="between">
      <formula>0.95</formula>
      <formula>1</formula>
    </cfRule>
    <cfRule type="cellIs" dxfId="6499" priority="6791" stopIfTrue="1" operator="between">
      <formula>0</formula>
      <formula>0.5</formula>
    </cfRule>
  </conditionalFormatting>
  <conditionalFormatting sqref="T126">
    <cfRule type="cellIs" dxfId="6498" priority="6782" operator="between">
      <formula>0.3751</formula>
      <formula>0.475</formula>
    </cfRule>
    <cfRule type="cellIs" dxfId="6497" priority="6783" operator="between">
      <formula>0.2551</formula>
      <formula>0.375</formula>
    </cfRule>
    <cfRule type="cellIs" dxfId="6496" priority="6784" operator="greaterThan">
      <formula>0.505</formula>
    </cfRule>
    <cfRule type="cellIs" dxfId="6495" priority="6785" operator="between">
      <formula>0.48</formula>
      <formula>0.5</formula>
    </cfRule>
    <cfRule type="cellIs" dxfId="6494" priority="6786" stopIfTrue="1" operator="between">
      <formula>0</formula>
      <formula>0.255</formula>
    </cfRule>
  </conditionalFormatting>
  <conditionalFormatting sqref="AA126:AB126">
    <cfRule type="cellIs" dxfId="6493" priority="6777" operator="between">
      <formula>0.56251</formula>
      <formula>0.7125</formula>
    </cfRule>
    <cfRule type="cellIs" dxfId="6492" priority="6778" operator="between">
      <formula>0.3751</formula>
      <formula>0.5625</formula>
    </cfRule>
    <cfRule type="cellIs" dxfId="6491" priority="6779" operator="greaterThan">
      <formula>0.751</formula>
    </cfRule>
    <cfRule type="cellIs" dxfId="6490" priority="6780" operator="between">
      <formula>0.71251</formula>
      <formula>0.75</formula>
    </cfRule>
    <cfRule type="cellIs" dxfId="6489" priority="6781" stopIfTrue="1" operator="between">
      <formula>0</formula>
      <formula>0.375</formula>
    </cfRule>
  </conditionalFormatting>
  <conditionalFormatting sqref="U126">
    <cfRule type="cellIs" dxfId="6488" priority="6767" operator="between">
      <formula>0.376</formula>
      <formula>0.475</formula>
    </cfRule>
    <cfRule type="cellIs" dxfId="6487" priority="6768" operator="between">
      <formula>0.2551</formula>
      <formula>0.3751</formula>
    </cfRule>
    <cfRule type="cellIs" dxfId="6486" priority="6769" operator="greaterThan">
      <formula>0.505</formula>
    </cfRule>
    <cfRule type="cellIs" dxfId="6485" priority="6770" operator="between">
      <formula>0.48</formula>
      <formula>0.5</formula>
    </cfRule>
    <cfRule type="cellIs" dxfId="6484" priority="6771" stopIfTrue="1" operator="between">
      <formula>0</formula>
      <formula>0.255</formula>
    </cfRule>
  </conditionalFormatting>
  <conditionalFormatting sqref="S126">
    <cfRule type="cellIs" dxfId="6483" priority="6742" operator="between">
      <formula>0.76</formula>
      <formula>0.95</formula>
    </cfRule>
    <cfRule type="cellIs" dxfId="6482" priority="6743" operator="between">
      <formula>0.51</formula>
      <formula>0.75</formula>
    </cfRule>
    <cfRule type="cellIs" dxfId="6481" priority="6744" operator="greaterThan">
      <formula>1</formula>
    </cfRule>
    <cfRule type="cellIs" dxfId="6480" priority="6745" operator="between">
      <formula>0.95</formula>
      <formula>1</formula>
    </cfRule>
    <cfRule type="cellIs" dxfId="6479" priority="6746" stopIfTrue="1" operator="between">
      <formula>0</formula>
      <formula>0.5</formula>
    </cfRule>
  </conditionalFormatting>
  <conditionalFormatting sqref="V126">
    <cfRule type="cellIs" dxfId="6478" priority="6747" operator="between">
      <formula>0.376</formula>
      <formula>0.475</formula>
    </cfRule>
    <cfRule type="cellIs" dxfId="6477" priority="6748" operator="between">
      <formula>0.2551</formula>
      <formula>0.3751</formula>
    </cfRule>
    <cfRule type="cellIs" dxfId="6476" priority="6749" operator="greaterThan">
      <formula>0.505</formula>
    </cfRule>
    <cfRule type="cellIs" dxfId="6475" priority="6750" operator="between">
      <formula>0.48</formula>
      <formula>0.5</formula>
    </cfRule>
    <cfRule type="cellIs" dxfId="6474" priority="6751" stopIfTrue="1" operator="between">
      <formula>0</formula>
      <formula>0.255</formula>
    </cfRule>
  </conditionalFormatting>
  <conditionalFormatting sqref="AC126">
    <cfRule type="cellIs" dxfId="6473" priority="6737" operator="between">
      <formula>0.56251</formula>
      <formula>0.7125</formula>
    </cfRule>
    <cfRule type="cellIs" dxfId="6472" priority="6738" operator="between">
      <formula>0.3751</formula>
      <formula>0.5625</formula>
    </cfRule>
    <cfRule type="cellIs" dxfId="6471" priority="6739" operator="greaterThan">
      <formula>0.751</formula>
    </cfRule>
    <cfRule type="cellIs" dxfId="6470" priority="6740" operator="between">
      <formula>0.71251</formula>
      <formula>0.75</formula>
    </cfRule>
    <cfRule type="cellIs" dxfId="6469" priority="6741" stopIfTrue="1" operator="between">
      <formula>0</formula>
      <formula>0.375</formula>
    </cfRule>
  </conditionalFormatting>
  <conditionalFormatting sqref="L126">
    <cfRule type="cellIs" dxfId="6468" priority="6732" operator="between">
      <formula>0.76</formula>
      <formula>0.95</formula>
    </cfRule>
    <cfRule type="cellIs" dxfId="6467" priority="6733" operator="between">
      <formula>0.51</formula>
      <formula>0.75</formula>
    </cfRule>
    <cfRule type="cellIs" dxfId="6466" priority="6734" operator="greaterThan">
      <formula>1</formula>
    </cfRule>
    <cfRule type="cellIs" dxfId="6465" priority="6735" operator="between">
      <formula>0.95</formula>
      <formula>1</formula>
    </cfRule>
    <cfRule type="cellIs" dxfId="6464" priority="6736" stopIfTrue="1" operator="between">
      <formula>0</formula>
      <formula>0.5</formula>
    </cfRule>
  </conditionalFormatting>
  <conditionalFormatting sqref="AG126">
    <cfRule type="cellIs" dxfId="6463" priority="6717" operator="between">
      <formula>0.76</formula>
      <formula>0.95</formula>
    </cfRule>
    <cfRule type="cellIs" dxfId="6462" priority="6718" operator="between">
      <formula>0.51</formula>
      <formula>0.75</formula>
    </cfRule>
    <cfRule type="cellIs" dxfId="6461" priority="6719" operator="greaterThan">
      <formula>1</formula>
    </cfRule>
    <cfRule type="cellIs" dxfId="6460" priority="6720" operator="between">
      <formula>0.95</formula>
      <formula>1</formula>
    </cfRule>
    <cfRule type="cellIs" dxfId="6459" priority="6721" stopIfTrue="1" operator="between">
      <formula>0</formula>
      <formula>0.5</formula>
    </cfRule>
  </conditionalFormatting>
  <conditionalFormatting sqref="R180 Y180 AF180 AH180:AI180">
    <cfRule type="cellIs" dxfId="6458" priority="6712" operator="between">
      <formula>0.76</formula>
      <formula>0.95</formula>
    </cfRule>
    <cfRule type="cellIs" dxfId="6457" priority="6713" operator="between">
      <formula>0.51</formula>
      <formula>0.75</formula>
    </cfRule>
    <cfRule type="cellIs" dxfId="6456" priority="6714" operator="greaterThan">
      <formula>1</formula>
    </cfRule>
    <cfRule type="cellIs" dxfId="6455" priority="6715" operator="between">
      <formula>0.95</formula>
      <formula>1</formula>
    </cfRule>
    <cfRule type="cellIs" dxfId="6454" priority="6716" stopIfTrue="1" operator="between">
      <formula>0</formula>
      <formula>0.5</formula>
    </cfRule>
  </conditionalFormatting>
  <conditionalFormatting sqref="T180">
    <cfRule type="cellIs" dxfId="6453" priority="6707" operator="between">
      <formula>0.3751</formula>
      <formula>0.475</formula>
    </cfRule>
    <cfRule type="cellIs" dxfId="6452" priority="6708" operator="between">
      <formula>0.2551</formula>
      <formula>0.375</formula>
    </cfRule>
    <cfRule type="cellIs" dxfId="6451" priority="6709" operator="greaterThan">
      <formula>0.505</formula>
    </cfRule>
    <cfRule type="cellIs" dxfId="6450" priority="6710" operator="between">
      <formula>0.48</formula>
      <formula>0.5</formula>
    </cfRule>
    <cfRule type="cellIs" dxfId="6449" priority="6711" stopIfTrue="1" operator="between">
      <formula>0</formula>
      <formula>0.255</formula>
    </cfRule>
  </conditionalFormatting>
  <conditionalFormatting sqref="AA180:AB180">
    <cfRule type="cellIs" dxfId="6448" priority="6702" operator="between">
      <formula>0.56251</formula>
      <formula>0.7125</formula>
    </cfRule>
    <cfRule type="cellIs" dxfId="6447" priority="6703" operator="between">
      <formula>0.3751</formula>
      <formula>0.5625</formula>
    </cfRule>
    <cfRule type="cellIs" dxfId="6446" priority="6704" operator="greaterThan">
      <formula>0.751</formula>
    </cfRule>
    <cfRule type="cellIs" dxfId="6445" priority="6705" operator="between">
      <formula>0.71251</formula>
      <formula>0.75</formula>
    </cfRule>
    <cfRule type="cellIs" dxfId="6444" priority="6706" stopIfTrue="1" operator="between">
      <formula>0</formula>
      <formula>0.375</formula>
    </cfRule>
  </conditionalFormatting>
  <conditionalFormatting sqref="U180">
    <cfRule type="cellIs" dxfId="6443" priority="6692" operator="between">
      <formula>0.376</formula>
      <formula>0.475</formula>
    </cfRule>
    <cfRule type="cellIs" dxfId="6442" priority="6693" operator="between">
      <formula>0.2551</formula>
      <formula>0.3751</formula>
    </cfRule>
    <cfRule type="cellIs" dxfId="6441" priority="6694" operator="greaterThan">
      <formula>0.505</formula>
    </cfRule>
    <cfRule type="cellIs" dxfId="6440" priority="6695" operator="between">
      <formula>0.48</formula>
      <formula>0.5</formula>
    </cfRule>
    <cfRule type="cellIs" dxfId="6439" priority="6696" stopIfTrue="1" operator="between">
      <formula>0</formula>
      <formula>0.255</formula>
    </cfRule>
  </conditionalFormatting>
  <conditionalFormatting sqref="Z278">
    <cfRule type="cellIs" dxfId="6438" priority="6367" operator="between">
      <formula>0.76</formula>
      <formula>0.95</formula>
    </cfRule>
    <cfRule type="cellIs" dxfId="6437" priority="6368" operator="between">
      <formula>0.51</formula>
      <formula>0.75</formula>
    </cfRule>
    <cfRule type="cellIs" dxfId="6436" priority="6369" operator="greaterThan">
      <formula>1</formula>
    </cfRule>
    <cfRule type="cellIs" dxfId="6435" priority="6370" operator="between">
      <formula>0.95</formula>
      <formula>1</formula>
    </cfRule>
    <cfRule type="cellIs" dxfId="6434" priority="6371" stopIfTrue="1" operator="between">
      <formula>0</formula>
      <formula>0.5</formula>
    </cfRule>
  </conditionalFormatting>
  <conditionalFormatting sqref="AG180">
    <cfRule type="cellIs" dxfId="6433" priority="6649" operator="between">
      <formula>0.76</formula>
      <formula>0.95</formula>
    </cfRule>
    <cfRule type="cellIs" dxfId="6432" priority="6650" operator="between">
      <formula>0.51</formula>
      <formula>0.75</formula>
    </cfRule>
    <cfRule type="cellIs" dxfId="6431" priority="6651" operator="greaterThan">
      <formula>1</formula>
    </cfRule>
    <cfRule type="cellIs" dxfId="6430" priority="6652" operator="between">
      <formula>0.95</formula>
      <formula>1</formula>
    </cfRule>
    <cfRule type="cellIs" dxfId="6429" priority="6653" stopIfTrue="1" operator="between">
      <formula>0</formula>
      <formula>0.5</formula>
    </cfRule>
  </conditionalFormatting>
  <conditionalFormatting sqref="Z180">
    <cfRule type="cellIs" dxfId="6428" priority="6644" operator="between">
      <formula>0.76</formula>
      <formula>0.95</formula>
    </cfRule>
    <cfRule type="cellIs" dxfId="6427" priority="6645" operator="between">
      <formula>0.51</formula>
      <formula>0.75</formula>
    </cfRule>
    <cfRule type="cellIs" dxfId="6426" priority="6646" operator="greaterThan">
      <formula>1</formula>
    </cfRule>
    <cfRule type="cellIs" dxfId="6425" priority="6647" operator="between">
      <formula>0.95</formula>
      <formula>1</formula>
    </cfRule>
    <cfRule type="cellIs" dxfId="6424" priority="6648" stopIfTrue="1" operator="between">
      <formula>0</formula>
      <formula>0.5</formula>
    </cfRule>
  </conditionalFormatting>
  <conditionalFormatting sqref="AC180">
    <cfRule type="cellIs" dxfId="6423" priority="6639" operator="between">
      <formula>0.56251</formula>
      <formula>0.7125</formula>
    </cfRule>
    <cfRule type="cellIs" dxfId="6422" priority="6640" operator="between">
      <formula>0.3751</formula>
      <formula>0.5625</formula>
    </cfRule>
    <cfRule type="cellIs" dxfId="6421" priority="6641" operator="greaterThan">
      <formula>0.751</formula>
    </cfRule>
    <cfRule type="cellIs" dxfId="6420" priority="6642" operator="between">
      <formula>0.71251</formula>
      <formula>0.75</formula>
    </cfRule>
    <cfRule type="cellIs" dxfId="6419" priority="6643" stopIfTrue="1" operator="between">
      <formula>0</formula>
      <formula>0.375</formula>
    </cfRule>
  </conditionalFormatting>
  <conditionalFormatting sqref="S180">
    <cfRule type="cellIs" dxfId="6418" priority="6634" operator="between">
      <formula>0.76</formula>
      <formula>0.95</formula>
    </cfRule>
    <cfRule type="cellIs" dxfId="6417" priority="6635" operator="between">
      <formula>0.51</formula>
      <formula>0.75</formula>
    </cfRule>
    <cfRule type="cellIs" dxfId="6416" priority="6636" operator="greaterThan">
      <formula>1</formula>
    </cfRule>
    <cfRule type="cellIs" dxfId="6415" priority="6637" operator="between">
      <formula>0.95</formula>
      <formula>1</formula>
    </cfRule>
    <cfRule type="cellIs" dxfId="6414" priority="6638" stopIfTrue="1" operator="between">
      <formula>0</formula>
      <formula>0.5</formula>
    </cfRule>
  </conditionalFormatting>
  <conditionalFormatting sqref="V180">
    <cfRule type="cellIs" dxfId="6413" priority="6629" operator="between">
      <formula>0.376</formula>
      <formula>0.475</formula>
    </cfRule>
    <cfRule type="cellIs" dxfId="6412" priority="6630" operator="between">
      <formula>0.2551</formula>
      <formula>0.3751</formula>
    </cfRule>
    <cfRule type="cellIs" dxfId="6411" priority="6631" operator="greaterThan">
      <formula>0.505</formula>
    </cfRule>
    <cfRule type="cellIs" dxfId="6410" priority="6632" operator="between">
      <formula>0.48</formula>
      <formula>0.5</formula>
    </cfRule>
    <cfRule type="cellIs" dxfId="6409" priority="6633" stopIfTrue="1" operator="between">
      <formula>0</formula>
      <formula>0.255</formula>
    </cfRule>
  </conditionalFormatting>
  <conditionalFormatting sqref="Y268 AF268 R268 AH268:AI268">
    <cfRule type="cellIs" dxfId="6408" priority="6609" operator="between">
      <formula>0.76</formula>
      <formula>0.95</formula>
    </cfRule>
    <cfRule type="cellIs" dxfId="6407" priority="6610" operator="between">
      <formula>0.51</formula>
      <formula>0.75</formula>
    </cfRule>
    <cfRule type="cellIs" dxfId="6406" priority="6611" operator="greaterThan">
      <formula>1</formula>
    </cfRule>
    <cfRule type="cellIs" dxfId="6405" priority="6612" operator="between">
      <formula>0.95</formula>
      <formula>1</formula>
    </cfRule>
    <cfRule type="cellIs" dxfId="6404" priority="6613" stopIfTrue="1" operator="between">
      <formula>0</formula>
      <formula>0.5</formula>
    </cfRule>
  </conditionalFormatting>
  <conditionalFormatting sqref="T268">
    <cfRule type="cellIs" dxfId="6403" priority="6604" operator="between">
      <formula>0.3751</formula>
      <formula>0.475</formula>
    </cfRule>
    <cfRule type="cellIs" dxfId="6402" priority="6605" operator="between">
      <formula>0.2551</formula>
      <formula>0.375</formula>
    </cfRule>
    <cfRule type="cellIs" dxfId="6401" priority="6606" operator="greaterThan">
      <formula>0.505</formula>
    </cfRule>
    <cfRule type="cellIs" dxfId="6400" priority="6607" operator="between">
      <formula>0.48</formula>
      <formula>0.5</formula>
    </cfRule>
    <cfRule type="cellIs" dxfId="6399" priority="6608" stopIfTrue="1" operator="between">
      <formula>0</formula>
      <formula>0.255</formula>
    </cfRule>
  </conditionalFormatting>
  <conditionalFormatting sqref="AA268:AB268">
    <cfRule type="cellIs" dxfId="6398" priority="6599" operator="between">
      <formula>0.56251</formula>
      <formula>0.7125</formula>
    </cfRule>
    <cfRule type="cellIs" dxfId="6397" priority="6600" operator="between">
      <formula>0.3751</formula>
      <formula>0.5625</formula>
    </cfRule>
    <cfRule type="cellIs" dxfId="6396" priority="6601" operator="greaterThan">
      <formula>0.751</formula>
    </cfRule>
    <cfRule type="cellIs" dxfId="6395" priority="6602" operator="between">
      <formula>0.71251</formula>
      <formula>0.75</formula>
    </cfRule>
    <cfRule type="cellIs" dxfId="6394" priority="6603" stopIfTrue="1" operator="between">
      <formula>0</formula>
      <formula>0.375</formula>
    </cfRule>
  </conditionalFormatting>
  <conditionalFormatting sqref="U268">
    <cfRule type="cellIs" dxfId="6393" priority="6589" operator="between">
      <formula>0.376</formula>
      <formula>0.475</formula>
    </cfRule>
    <cfRule type="cellIs" dxfId="6392" priority="6590" operator="between">
      <formula>0.2551</formula>
      <formula>0.3751</formula>
    </cfRule>
    <cfRule type="cellIs" dxfId="6391" priority="6591" operator="greaterThan">
      <formula>0.505</formula>
    </cfRule>
    <cfRule type="cellIs" dxfId="6390" priority="6592" operator="between">
      <formula>0.48</formula>
      <formula>0.5</formula>
    </cfRule>
    <cfRule type="cellIs" dxfId="6389" priority="6593" stopIfTrue="1" operator="between">
      <formula>0</formula>
      <formula>0.255</formula>
    </cfRule>
  </conditionalFormatting>
  <conditionalFormatting sqref="AC268">
    <cfRule type="cellIs" dxfId="6388" priority="6581" operator="between">
      <formula>0.56251</formula>
      <formula>0.7125</formula>
    </cfRule>
    <cfRule type="cellIs" dxfId="6387" priority="6582" operator="between">
      <formula>0.3751</formula>
      <formula>0.5625</formula>
    </cfRule>
    <cfRule type="cellIs" dxfId="6386" priority="6583" operator="greaterThan">
      <formula>0.751</formula>
    </cfRule>
    <cfRule type="cellIs" dxfId="6385" priority="6584" operator="between">
      <formula>0.71251</formula>
      <formula>0.75</formula>
    </cfRule>
    <cfRule type="cellIs" dxfId="6384" priority="6585" stopIfTrue="1" operator="between">
      <formula>0</formula>
      <formula>0.375</formula>
    </cfRule>
  </conditionalFormatting>
  <conditionalFormatting sqref="V268">
    <cfRule type="cellIs" dxfId="6383" priority="6566" operator="between">
      <formula>0.376</formula>
      <formula>0.475</formula>
    </cfRule>
    <cfRule type="cellIs" dxfId="6382" priority="6567" operator="between">
      <formula>0.2551</formula>
      <formula>0.3751</formula>
    </cfRule>
    <cfRule type="cellIs" dxfId="6381" priority="6568" operator="greaterThan">
      <formula>0.505</formula>
    </cfRule>
    <cfRule type="cellIs" dxfId="6380" priority="6569" operator="between">
      <formula>0.48</formula>
      <formula>0.5</formula>
    </cfRule>
    <cfRule type="cellIs" dxfId="6379" priority="6570" stopIfTrue="1" operator="between">
      <formula>0</formula>
      <formula>0.255</formula>
    </cfRule>
  </conditionalFormatting>
  <conditionalFormatting sqref="S268">
    <cfRule type="cellIs" dxfId="6378" priority="6561" operator="between">
      <formula>0.76</formula>
      <formula>0.95</formula>
    </cfRule>
    <cfRule type="cellIs" dxfId="6377" priority="6562" operator="between">
      <formula>0.51</formula>
      <formula>0.75</formula>
    </cfRule>
    <cfRule type="cellIs" dxfId="6376" priority="6563" operator="greaterThan">
      <formula>1</formula>
    </cfRule>
    <cfRule type="cellIs" dxfId="6375" priority="6564" operator="between">
      <formula>0.95</formula>
      <formula>1</formula>
    </cfRule>
    <cfRule type="cellIs" dxfId="6374" priority="6565" stopIfTrue="1" operator="between">
      <formula>0</formula>
      <formula>0.5</formula>
    </cfRule>
  </conditionalFormatting>
  <conditionalFormatting sqref="Z268">
    <cfRule type="cellIs" dxfId="6373" priority="6556" operator="between">
      <formula>0.76</formula>
      <formula>0.95</formula>
    </cfRule>
    <cfRule type="cellIs" dxfId="6372" priority="6557" operator="between">
      <formula>0.51</formula>
      <formula>0.75</formula>
    </cfRule>
    <cfRule type="cellIs" dxfId="6371" priority="6558" operator="greaterThan">
      <formula>1</formula>
    </cfRule>
    <cfRule type="cellIs" dxfId="6370" priority="6559" operator="between">
      <formula>0.95</formula>
      <formula>1</formula>
    </cfRule>
    <cfRule type="cellIs" dxfId="6369" priority="6560" stopIfTrue="1" operator="between">
      <formula>0</formula>
      <formula>0.5</formula>
    </cfRule>
  </conditionalFormatting>
  <conditionalFormatting sqref="AG268">
    <cfRule type="cellIs" dxfId="6368" priority="6551" operator="between">
      <formula>0.76</formula>
      <formula>0.95</formula>
    </cfRule>
    <cfRule type="cellIs" dxfId="6367" priority="6552" operator="between">
      <formula>0.51</formula>
      <formula>0.75</formula>
    </cfRule>
    <cfRule type="cellIs" dxfId="6366" priority="6553" operator="greaterThan">
      <formula>1</formula>
    </cfRule>
    <cfRule type="cellIs" dxfId="6365" priority="6554" operator="between">
      <formula>0.95</formula>
      <formula>1</formula>
    </cfRule>
    <cfRule type="cellIs" dxfId="6364" priority="6555" stopIfTrue="1" operator="between">
      <formula>0</formula>
      <formula>0.5</formula>
    </cfRule>
  </conditionalFormatting>
  <conditionalFormatting sqref="Y269 AF269 R269 AH269:AI269 AH271:AI271 R271 AF271 Y271">
    <cfRule type="cellIs" dxfId="6363" priority="6546" operator="between">
      <formula>0.76</formula>
      <formula>0.95</formula>
    </cfRule>
    <cfRule type="cellIs" dxfId="6362" priority="6547" operator="between">
      <formula>0.51</formula>
      <formula>0.75</formula>
    </cfRule>
    <cfRule type="cellIs" dxfId="6361" priority="6548" operator="greaterThan">
      <formula>1</formula>
    </cfRule>
    <cfRule type="cellIs" dxfId="6360" priority="6549" operator="between">
      <formula>0.95</formula>
      <formula>1</formula>
    </cfRule>
    <cfRule type="cellIs" dxfId="6359" priority="6550" stopIfTrue="1" operator="between">
      <formula>0</formula>
      <formula>0.5</formula>
    </cfRule>
  </conditionalFormatting>
  <conditionalFormatting sqref="T269 T271">
    <cfRule type="cellIs" dxfId="6358" priority="6541" operator="between">
      <formula>0.3751</formula>
      <formula>0.475</formula>
    </cfRule>
    <cfRule type="cellIs" dxfId="6357" priority="6542" operator="between">
      <formula>0.2551</formula>
      <formula>0.375</formula>
    </cfRule>
    <cfRule type="cellIs" dxfId="6356" priority="6543" operator="greaterThan">
      <formula>0.505</formula>
    </cfRule>
    <cfRule type="cellIs" dxfId="6355" priority="6544" operator="between">
      <formula>0.48</formula>
      <formula>0.5</formula>
    </cfRule>
    <cfRule type="cellIs" dxfId="6354" priority="6545" stopIfTrue="1" operator="between">
      <formula>0</formula>
      <formula>0.255</formula>
    </cfRule>
  </conditionalFormatting>
  <conditionalFormatting sqref="AA269:AB269 AA271:AB271">
    <cfRule type="cellIs" dxfId="6353" priority="6536" operator="between">
      <formula>0.56251</formula>
      <formula>0.7125</formula>
    </cfRule>
    <cfRule type="cellIs" dxfId="6352" priority="6537" operator="between">
      <formula>0.3751</formula>
      <formula>0.5625</formula>
    </cfRule>
    <cfRule type="cellIs" dxfId="6351" priority="6538" operator="greaterThan">
      <formula>0.751</formula>
    </cfRule>
    <cfRule type="cellIs" dxfId="6350" priority="6539" operator="between">
      <formula>0.71251</formula>
      <formula>0.75</formula>
    </cfRule>
    <cfRule type="cellIs" dxfId="6349" priority="6540" stopIfTrue="1" operator="between">
      <formula>0</formula>
      <formula>0.375</formula>
    </cfRule>
  </conditionalFormatting>
  <conditionalFormatting sqref="U269 U271">
    <cfRule type="cellIs" dxfId="6348" priority="6526" operator="between">
      <formula>0.376</formula>
      <formula>0.475</formula>
    </cfRule>
    <cfRule type="cellIs" dxfId="6347" priority="6527" operator="between">
      <formula>0.2551</formula>
      <formula>0.3751</formula>
    </cfRule>
    <cfRule type="cellIs" dxfId="6346" priority="6528" operator="greaterThan">
      <formula>0.505</formula>
    </cfRule>
    <cfRule type="cellIs" dxfId="6345" priority="6529" operator="between">
      <formula>0.48</formula>
      <formula>0.5</formula>
    </cfRule>
    <cfRule type="cellIs" dxfId="6344" priority="6530" stopIfTrue="1" operator="between">
      <formula>0</formula>
      <formula>0.255</formula>
    </cfRule>
  </conditionalFormatting>
  <conditionalFormatting sqref="AC269">
    <cfRule type="cellIs" dxfId="6343" priority="6518" operator="between">
      <formula>0.56251</formula>
      <formula>0.7125</formula>
    </cfRule>
    <cfRule type="cellIs" dxfId="6342" priority="6519" operator="between">
      <formula>0.3751</formula>
      <formula>0.5625</formula>
    </cfRule>
    <cfRule type="cellIs" dxfId="6341" priority="6520" operator="greaterThan">
      <formula>0.751</formula>
    </cfRule>
    <cfRule type="cellIs" dxfId="6340" priority="6521" operator="between">
      <formula>0.71251</formula>
      <formula>0.75</formula>
    </cfRule>
    <cfRule type="cellIs" dxfId="6339" priority="6522" stopIfTrue="1" operator="between">
      <formula>0</formula>
      <formula>0.375</formula>
    </cfRule>
  </conditionalFormatting>
  <conditionalFormatting sqref="V269">
    <cfRule type="cellIs" dxfId="6338" priority="6503" operator="between">
      <formula>0.376</formula>
      <formula>0.475</formula>
    </cfRule>
    <cfRule type="cellIs" dxfId="6337" priority="6504" operator="between">
      <formula>0.2551</formula>
      <formula>0.3751</formula>
    </cfRule>
    <cfRule type="cellIs" dxfId="6336" priority="6505" operator="greaterThan">
      <formula>0.505</formula>
    </cfRule>
    <cfRule type="cellIs" dxfId="6335" priority="6506" operator="between">
      <formula>0.48</formula>
      <formula>0.5</formula>
    </cfRule>
    <cfRule type="cellIs" dxfId="6334" priority="6507" stopIfTrue="1" operator="between">
      <formula>0</formula>
      <formula>0.255</formula>
    </cfRule>
  </conditionalFormatting>
  <conditionalFormatting sqref="S269">
    <cfRule type="cellIs" dxfId="6333" priority="6498" operator="between">
      <formula>0.76</formula>
      <formula>0.95</formula>
    </cfRule>
    <cfRule type="cellIs" dxfId="6332" priority="6499" operator="between">
      <formula>0.51</formula>
      <formula>0.75</formula>
    </cfRule>
    <cfRule type="cellIs" dxfId="6331" priority="6500" operator="greaterThan">
      <formula>1</formula>
    </cfRule>
    <cfRule type="cellIs" dxfId="6330" priority="6501" operator="between">
      <formula>0.95</formula>
      <formula>1</formula>
    </cfRule>
    <cfRule type="cellIs" dxfId="6329" priority="6502" stopIfTrue="1" operator="between">
      <formula>0</formula>
      <formula>0.5</formula>
    </cfRule>
  </conditionalFormatting>
  <conditionalFormatting sqref="Z269">
    <cfRule type="cellIs" dxfId="6328" priority="6493" operator="between">
      <formula>0.76</formula>
      <formula>0.95</formula>
    </cfRule>
    <cfRule type="cellIs" dxfId="6327" priority="6494" operator="between">
      <formula>0.51</formula>
      <formula>0.75</formula>
    </cfRule>
    <cfRule type="cellIs" dxfId="6326" priority="6495" operator="greaterThan">
      <formula>1</formula>
    </cfRule>
    <cfRule type="cellIs" dxfId="6325" priority="6496" operator="between">
      <formula>0.95</formula>
      <formula>1</formula>
    </cfRule>
    <cfRule type="cellIs" dxfId="6324" priority="6497" stopIfTrue="1" operator="between">
      <formula>0</formula>
      <formula>0.5</formula>
    </cfRule>
  </conditionalFormatting>
  <conditionalFormatting sqref="AG269 AG271">
    <cfRule type="cellIs" dxfId="6323" priority="6488" operator="between">
      <formula>0.76</formula>
      <formula>0.95</formula>
    </cfRule>
    <cfRule type="cellIs" dxfId="6322" priority="6489" operator="between">
      <formula>0.51</formula>
      <formula>0.75</formula>
    </cfRule>
    <cfRule type="cellIs" dxfId="6321" priority="6490" operator="greaterThan">
      <formula>1</formula>
    </cfRule>
    <cfRule type="cellIs" dxfId="6320" priority="6491" operator="between">
      <formula>0.95</formula>
      <formula>1</formula>
    </cfRule>
    <cfRule type="cellIs" dxfId="6319" priority="6492" stopIfTrue="1" operator="between">
      <formula>0</formula>
      <formula>0.5</formula>
    </cfRule>
  </conditionalFormatting>
  <conditionalFormatting sqref="Y276 AF276 R276 AH276:AI276">
    <cfRule type="cellIs" dxfId="6318" priority="6483" operator="between">
      <formula>0.76</formula>
      <formula>0.95</formula>
    </cfRule>
    <cfRule type="cellIs" dxfId="6317" priority="6484" operator="between">
      <formula>0.51</formula>
      <formula>0.75</formula>
    </cfRule>
    <cfRule type="cellIs" dxfId="6316" priority="6485" operator="greaterThan">
      <formula>1</formula>
    </cfRule>
    <cfRule type="cellIs" dxfId="6315" priority="6486" operator="between">
      <formula>0.95</formula>
      <formula>1</formula>
    </cfRule>
    <cfRule type="cellIs" dxfId="6314" priority="6487" stopIfTrue="1" operator="between">
      <formula>0</formula>
      <formula>0.5</formula>
    </cfRule>
  </conditionalFormatting>
  <conditionalFormatting sqref="T276">
    <cfRule type="cellIs" dxfId="6313" priority="6478" operator="between">
      <formula>0.3751</formula>
      <formula>0.475</formula>
    </cfRule>
    <cfRule type="cellIs" dxfId="6312" priority="6479" operator="between">
      <formula>0.2551</formula>
      <formula>0.375</formula>
    </cfRule>
    <cfRule type="cellIs" dxfId="6311" priority="6480" operator="greaterThan">
      <formula>0.505</formula>
    </cfRule>
    <cfRule type="cellIs" dxfId="6310" priority="6481" operator="between">
      <formula>0.48</formula>
      <formula>0.5</formula>
    </cfRule>
    <cfRule type="cellIs" dxfId="6309" priority="6482" stopIfTrue="1" operator="between">
      <formula>0</formula>
      <formula>0.255</formula>
    </cfRule>
  </conditionalFormatting>
  <conditionalFormatting sqref="AA276:AB276">
    <cfRule type="cellIs" dxfId="6308" priority="6473" operator="between">
      <formula>0.56251</formula>
      <formula>0.7125</formula>
    </cfRule>
    <cfRule type="cellIs" dxfId="6307" priority="6474" operator="between">
      <formula>0.3751</formula>
      <formula>0.5625</formula>
    </cfRule>
    <cfRule type="cellIs" dxfId="6306" priority="6475" operator="greaterThan">
      <formula>0.751</formula>
    </cfRule>
    <cfRule type="cellIs" dxfId="6305" priority="6476" operator="between">
      <formula>0.71251</formula>
      <formula>0.75</formula>
    </cfRule>
    <cfRule type="cellIs" dxfId="6304" priority="6477" stopIfTrue="1" operator="between">
      <formula>0</formula>
      <formula>0.375</formula>
    </cfRule>
  </conditionalFormatting>
  <conditionalFormatting sqref="U276">
    <cfRule type="cellIs" dxfId="6303" priority="6463" operator="between">
      <formula>0.376</formula>
      <formula>0.475</formula>
    </cfRule>
    <cfRule type="cellIs" dxfId="6302" priority="6464" operator="between">
      <formula>0.2551</formula>
      <formula>0.3751</formula>
    </cfRule>
    <cfRule type="cellIs" dxfId="6301" priority="6465" operator="greaterThan">
      <formula>0.505</formula>
    </cfRule>
    <cfRule type="cellIs" dxfId="6300" priority="6466" operator="between">
      <formula>0.48</formula>
      <formula>0.5</formula>
    </cfRule>
    <cfRule type="cellIs" dxfId="6299" priority="6467" stopIfTrue="1" operator="between">
      <formula>0</formula>
      <formula>0.255</formula>
    </cfRule>
  </conditionalFormatting>
  <conditionalFormatting sqref="AC276">
    <cfRule type="cellIs" dxfId="6298" priority="6455" operator="between">
      <formula>0.56251</formula>
      <formula>0.7125</formula>
    </cfRule>
    <cfRule type="cellIs" dxfId="6297" priority="6456" operator="between">
      <formula>0.3751</formula>
      <formula>0.5625</formula>
    </cfRule>
    <cfRule type="cellIs" dxfId="6296" priority="6457" operator="greaterThan">
      <formula>0.751</formula>
    </cfRule>
    <cfRule type="cellIs" dxfId="6295" priority="6458" operator="between">
      <formula>0.71251</formula>
      <formula>0.75</formula>
    </cfRule>
    <cfRule type="cellIs" dxfId="6294" priority="6459" stopIfTrue="1" operator="between">
      <formula>0</formula>
      <formula>0.375</formula>
    </cfRule>
  </conditionalFormatting>
  <conditionalFormatting sqref="V276">
    <cfRule type="cellIs" dxfId="6293" priority="6440" operator="between">
      <formula>0.376</formula>
      <formula>0.475</formula>
    </cfRule>
    <cfRule type="cellIs" dxfId="6292" priority="6441" operator="between">
      <formula>0.2551</formula>
      <formula>0.3751</formula>
    </cfRule>
    <cfRule type="cellIs" dxfId="6291" priority="6442" operator="greaterThan">
      <formula>0.505</formula>
    </cfRule>
    <cfRule type="cellIs" dxfId="6290" priority="6443" operator="between">
      <formula>0.48</formula>
      <formula>0.5</formula>
    </cfRule>
    <cfRule type="cellIs" dxfId="6289" priority="6444" stopIfTrue="1" operator="between">
      <formula>0</formula>
      <formula>0.255</formula>
    </cfRule>
  </conditionalFormatting>
  <conditionalFormatting sqref="S276">
    <cfRule type="cellIs" dxfId="6288" priority="6435" operator="between">
      <formula>0.76</formula>
      <formula>0.95</formula>
    </cfRule>
    <cfRule type="cellIs" dxfId="6287" priority="6436" operator="between">
      <formula>0.51</formula>
      <formula>0.75</formula>
    </cfRule>
    <cfRule type="cellIs" dxfId="6286" priority="6437" operator="greaterThan">
      <formula>1</formula>
    </cfRule>
    <cfRule type="cellIs" dxfId="6285" priority="6438" operator="between">
      <formula>0.95</formula>
      <formula>1</formula>
    </cfRule>
    <cfRule type="cellIs" dxfId="6284" priority="6439" stopIfTrue="1" operator="between">
      <formula>0</formula>
      <formula>0.5</formula>
    </cfRule>
  </conditionalFormatting>
  <conditionalFormatting sqref="Z276">
    <cfRule type="cellIs" dxfId="6283" priority="6430" operator="between">
      <formula>0.76</formula>
      <formula>0.95</formula>
    </cfRule>
    <cfRule type="cellIs" dxfId="6282" priority="6431" operator="between">
      <formula>0.51</formula>
      <formula>0.75</formula>
    </cfRule>
    <cfRule type="cellIs" dxfId="6281" priority="6432" operator="greaterThan">
      <formula>1</formula>
    </cfRule>
    <cfRule type="cellIs" dxfId="6280" priority="6433" operator="between">
      <formula>0.95</formula>
      <formula>1</formula>
    </cfRule>
    <cfRule type="cellIs" dxfId="6279" priority="6434" stopIfTrue="1" operator="between">
      <formula>0</formula>
      <formula>0.5</formula>
    </cfRule>
  </conditionalFormatting>
  <conditionalFormatting sqref="AG276">
    <cfRule type="cellIs" dxfId="6278" priority="6425" operator="between">
      <formula>0.76</formula>
      <formula>0.95</formula>
    </cfRule>
    <cfRule type="cellIs" dxfId="6277" priority="6426" operator="between">
      <formula>0.51</formula>
      <formula>0.75</formula>
    </cfRule>
    <cfRule type="cellIs" dxfId="6276" priority="6427" operator="greaterThan">
      <formula>1</formula>
    </cfRule>
    <cfRule type="cellIs" dxfId="6275" priority="6428" operator="between">
      <formula>0.95</formula>
      <formula>1</formula>
    </cfRule>
    <cfRule type="cellIs" dxfId="6274" priority="6429" stopIfTrue="1" operator="between">
      <formula>0</formula>
      <formula>0.5</formula>
    </cfRule>
  </conditionalFormatting>
  <conditionalFormatting sqref="Y278 AF278 R278 AH278:AI278">
    <cfRule type="cellIs" dxfId="6273" priority="6420" operator="between">
      <formula>0.76</formula>
      <formula>0.95</formula>
    </cfRule>
    <cfRule type="cellIs" dxfId="6272" priority="6421" operator="between">
      <formula>0.51</formula>
      <formula>0.75</formula>
    </cfRule>
    <cfRule type="cellIs" dxfId="6271" priority="6422" operator="greaterThan">
      <formula>1</formula>
    </cfRule>
    <cfRule type="cellIs" dxfId="6270" priority="6423" operator="between">
      <formula>0.95</formula>
      <formula>1</formula>
    </cfRule>
    <cfRule type="cellIs" dxfId="6269" priority="6424" stopIfTrue="1" operator="between">
      <formula>0</formula>
      <formula>0.5</formula>
    </cfRule>
  </conditionalFormatting>
  <conditionalFormatting sqref="T278">
    <cfRule type="cellIs" dxfId="6268" priority="6415" operator="between">
      <formula>0.3751</formula>
      <formula>0.475</formula>
    </cfRule>
    <cfRule type="cellIs" dxfId="6267" priority="6416" operator="between">
      <formula>0.2551</formula>
      <formula>0.375</formula>
    </cfRule>
    <cfRule type="cellIs" dxfId="6266" priority="6417" operator="greaterThan">
      <formula>0.505</formula>
    </cfRule>
    <cfRule type="cellIs" dxfId="6265" priority="6418" operator="between">
      <formula>0.48</formula>
      <formula>0.5</formula>
    </cfRule>
    <cfRule type="cellIs" dxfId="6264" priority="6419" stopIfTrue="1" operator="between">
      <formula>0</formula>
      <formula>0.255</formula>
    </cfRule>
  </conditionalFormatting>
  <conditionalFormatting sqref="AA278:AB278">
    <cfRule type="cellIs" dxfId="6263" priority="6410" operator="between">
      <formula>0.56251</formula>
      <formula>0.7125</formula>
    </cfRule>
    <cfRule type="cellIs" dxfId="6262" priority="6411" operator="between">
      <formula>0.3751</formula>
      <formula>0.5625</formula>
    </cfRule>
    <cfRule type="cellIs" dxfId="6261" priority="6412" operator="greaterThan">
      <formula>0.751</formula>
    </cfRule>
    <cfRule type="cellIs" dxfId="6260" priority="6413" operator="between">
      <formula>0.71251</formula>
      <formula>0.75</formula>
    </cfRule>
    <cfRule type="cellIs" dxfId="6259" priority="6414" stopIfTrue="1" operator="between">
      <formula>0</formula>
      <formula>0.375</formula>
    </cfRule>
  </conditionalFormatting>
  <conditionalFormatting sqref="U278">
    <cfRule type="cellIs" dxfId="6258" priority="6400" operator="between">
      <formula>0.376</formula>
      <formula>0.475</formula>
    </cfRule>
    <cfRule type="cellIs" dxfId="6257" priority="6401" operator="between">
      <formula>0.2551</formula>
      <formula>0.3751</formula>
    </cfRule>
    <cfRule type="cellIs" dxfId="6256" priority="6402" operator="greaterThan">
      <formula>0.505</formula>
    </cfRule>
    <cfRule type="cellIs" dxfId="6255" priority="6403" operator="between">
      <formula>0.48</formula>
      <formula>0.5</formula>
    </cfRule>
    <cfRule type="cellIs" dxfId="6254" priority="6404" stopIfTrue="1" operator="between">
      <formula>0</formula>
      <formula>0.255</formula>
    </cfRule>
  </conditionalFormatting>
  <conditionalFormatting sqref="AC278">
    <cfRule type="cellIs" dxfId="6253" priority="6392" operator="between">
      <formula>0.56251</formula>
      <formula>0.7125</formula>
    </cfRule>
    <cfRule type="cellIs" dxfId="6252" priority="6393" operator="between">
      <formula>0.3751</formula>
      <formula>0.5625</formula>
    </cfRule>
    <cfRule type="cellIs" dxfId="6251" priority="6394" operator="greaterThan">
      <formula>0.751</formula>
    </cfRule>
    <cfRule type="cellIs" dxfId="6250" priority="6395" operator="between">
      <formula>0.71251</formula>
      <formula>0.75</formula>
    </cfRule>
    <cfRule type="cellIs" dxfId="6249" priority="6396" stopIfTrue="1" operator="between">
      <formula>0</formula>
      <formula>0.375</formula>
    </cfRule>
  </conditionalFormatting>
  <conditionalFormatting sqref="V278">
    <cfRule type="cellIs" dxfId="6248" priority="6377" operator="between">
      <formula>0.376</formula>
      <formula>0.475</formula>
    </cfRule>
    <cfRule type="cellIs" dxfId="6247" priority="6378" operator="between">
      <formula>0.2551</formula>
      <formula>0.3751</formula>
    </cfRule>
    <cfRule type="cellIs" dxfId="6246" priority="6379" operator="greaterThan">
      <formula>0.505</formula>
    </cfRule>
    <cfRule type="cellIs" dxfId="6245" priority="6380" operator="between">
      <formula>0.48</formula>
      <formula>0.5</formula>
    </cfRule>
    <cfRule type="cellIs" dxfId="6244" priority="6381" stopIfTrue="1" operator="between">
      <formula>0</formula>
      <formula>0.255</formula>
    </cfRule>
  </conditionalFormatting>
  <conditionalFormatting sqref="S278">
    <cfRule type="cellIs" dxfId="6243" priority="6372" operator="between">
      <formula>0.76</formula>
      <formula>0.95</formula>
    </cfRule>
    <cfRule type="cellIs" dxfId="6242" priority="6373" operator="between">
      <formula>0.51</formula>
      <formula>0.75</formula>
    </cfRule>
    <cfRule type="cellIs" dxfId="6241" priority="6374" operator="greaterThan">
      <formula>1</formula>
    </cfRule>
    <cfRule type="cellIs" dxfId="6240" priority="6375" operator="between">
      <formula>0.95</formula>
      <formula>1</formula>
    </cfRule>
    <cfRule type="cellIs" dxfId="6239" priority="6376" stopIfTrue="1" operator="between">
      <formula>0</formula>
      <formula>0.5</formula>
    </cfRule>
  </conditionalFormatting>
  <conditionalFormatting sqref="AG278">
    <cfRule type="cellIs" dxfId="6238" priority="6362" operator="between">
      <formula>0.76</formula>
      <formula>0.95</formula>
    </cfRule>
    <cfRule type="cellIs" dxfId="6237" priority="6363" operator="between">
      <formula>0.51</formula>
      <formula>0.75</formula>
    </cfRule>
    <cfRule type="cellIs" dxfId="6236" priority="6364" operator="greaterThan">
      <formula>1</formula>
    </cfRule>
    <cfRule type="cellIs" dxfId="6235" priority="6365" operator="between">
      <formula>0.95</formula>
      <formula>1</formula>
    </cfRule>
    <cfRule type="cellIs" dxfId="6234" priority="6366" stopIfTrue="1" operator="between">
      <formula>0</formula>
      <formula>0.5</formula>
    </cfRule>
  </conditionalFormatting>
  <conditionalFormatting sqref="Y277 AF277 R277 AH277:AI277">
    <cfRule type="cellIs" dxfId="6233" priority="6357" operator="between">
      <formula>0.76</formula>
      <formula>0.95</formula>
    </cfRule>
    <cfRule type="cellIs" dxfId="6232" priority="6358" operator="between">
      <formula>0.51</formula>
      <formula>0.75</formula>
    </cfRule>
    <cfRule type="cellIs" dxfId="6231" priority="6359" operator="greaterThan">
      <formula>1</formula>
    </cfRule>
    <cfRule type="cellIs" dxfId="6230" priority="6360" operator="between">
      <formula>0.95</formula>
      <formula>1</formula>
    </cfRule>
    <cfRule type="cellIs" dxfId="6229" priority="6361" stopIfTrue="1" operator="between">
      <formula>0</formula>
      <formula>0.5</formula>
    </cfRule>
  </conditionalFormatting>
  <conditionalFormatting sqref="T277">
    <cfRule type="cellIs" dxfId="6228" priority="6352" operator="between">
      <formula>0.3751</formula>
      <formula>0.475</formula>
    </cfRule>
    <cfRule type="cellIs" dxfId="6227" priority="6353" operator="between">
      <formula>0.2551</formula>
      <formula>0.375</formula>
    </cfRule>
    <cfRule type="cellIs" dxfId="6226" priority="6354" operator="greaterThan">
      <formula>0.505</formula>
    </cfRule>
    <cfRule type="cellIs" dxfId="6225" priority="6355" operator="between">
      <formula>0.48</formula>
      <formula>0.5</formula>
    </cfRule>
    <cfRule type="cellIs" dxfId="6224" priority="6356" stopIfTrue="1" operator="between">
      <formula>0</formula>
      <formula>0.255</formula>
    </cfRule>
  </conditionalFormatting>
  <conditionalFormatting sqref="AA277:AB277">
    <cfRule type="cellIs" dxfId="6223" priority="6347" operator="between">
      <formula>0.56251</formula>
      <formula>0.7125</formula>
    </cfRule>
    <cfRule type="cellIs" dxfId="6222" priority="6348" operator="between">
      <formula>0.3751</formula>
      <formula>0.5625</formula>
    </cfRule>
    <cfRule type="cellIs" dxfId="6221" priority="6349" operator="greaterThan">
      <formula>0.751</formula>
    </cfRule>
    <cfRule type="cellIs" dxfId="6220" priority="6350" operator="between">
      <formula>0.71251</formula>
      <formula>0.75</formula>
    </cfRule>
    <cfRule type="cellIs" dxfId="6219" priority="6351" stopIfTrue="1" operator="between">
      <formula>0</formula>
      <formula>0.375</formula>
    </cfRule>
  </conditionalFormatting>
  <conditionalFormatting sqref="U277">
    <cfRule type="cellIs" dxfId="6218" priority="6337" operator="between">
      <formula>0.376</formula>
      <formula>0.475</formula>
    </cfRule>
    <cfRule type="cellIs" dxfId="6217" priority="6338" operator="between">
      <formula>0.2551</formula>
      <formula>0.3751</formula>
    </cfRule>
    <cfRule type="cellIs" dxfId="6216" priority="6339" operator="greaterThan">
      <formula>0.505</formula>
    </cfRule>
    <cfRule type="cellIs" dxfId="6215" priority="6340" operator="between">
      <formula>0.48</formula>
      <formula>0.5</formula>
    </cfRule>
    <cfRule type="cellIs" dxfId="6214" priority="6341" stopIfTrue="1" operator="between">
      <formula>0</formula>
      <formula>0.255</formula>
    </cfRule>
  </conditionalFormatting>
  <conditionalFormatting sqref="V277">
    <cfRule type="cellIs" dxfId="6213" priority="6314" operator="between">
      <formula>0.376</formula>
      <formula>0.475</formula>
    </cfRule>
    <cfRule type="cellIs" dxfId="6212" priority="6315" operator="between">
      <formula>0.2551</formula>
      <formula>0.3751</formula>
    </cfRule>
    <cfRule type="cellIs" dxfId="6211" priority="6316" operator="greaterThan">
      <formula>0.505</formula>
    </cfRule>
    <cfRule type="cellIs" dxfId="6210" priority="6317" operator="between">
      <formula>0.48</formula>
      <formula>0.5</formula>
    </cfRule>
    <cfRule type="cellIs" dxfId="6209" priority="6318" stopIfTrue="1" operator="between">
      <formula>0</formula>
      <formula>0.255</formula>
    </cfRule>
  </conditionalFormatting>
  <conditionalFormatting sqref="S277">
    <cfRule type="cellIs" dxfId="6208" priority="6309" operator="between">
      <formula>0.76</formula>
      <formula>0.95</formula>
    </cfRule>
    <cfRule type="cellIs" dxfId="6207" priority="6310" operator="between">
      <formula>0.51</formula>
      <formula>0.75</formula>
    </cfRule>
    <cfRule type="cellIs" dxfId="6206" priority="6311" operator="greaterThan">
      <formula>1</formula>
    </cfRule>
    <cfRule type="cellIs" dxfId="6205" priority="6312" operator="between">
      <formula>0.95</formula>
      <formula>1</formula>
    </cfRule>
    <cfRule type="cellIs" dxfId="6204" priority="6313" stopIfTrue="1" operator="between">
      <formula>0</formula>
      <formula>0.5</formula>
    </cfRule>
  </conditionalFormatting>
  <conditionalFormatting sqref="AG277">
    <cfRule type="cellIs" dxfId="6203" priority="6299" operator="between">
      <formula>0.76</formula>
      <formula>0.95</formula>
    </cfRule>
    <cfRule type="cellIs" dxfId="6202" priority="6300" operator="between">
      <formula>0.51</formula>
      <formula>0.75</formula>
    </cfRule>
    <cfRule type="cellIs" dxfId="6201" priority="6301" operator="greaterThan">
      <formula>1</formula>
    </cfRule>
    <cfRule type="cellIs" dxfId="6200" priority="6302" operator="between">
      <formula>0.95</formula>
      <formula>1</formula>
    </cfRule>
    <cfRule type="cellIs" dxfId="6199" priority="6303" stopIfTrue="1" operator="between">
      <formula>0</formula>
      <formula>0.5</formula>
    </cfRule>
  </conditionalFormatting>
  <conditionalFormatting sqref="S271">
    <cfRule type="cellIs" dxfId="6198" priority="6284" operator="between">
      <formula>0.76</formula>
      <formula>0.95</formula>
    </cfRule>
    <cfRule type="cellIs" dxfId="6197" priority="6285" operator="between">
      <formula>0.51</formula>
      <formula>0.75</formula>
    </cfRule>
    <cfRule type="cellIs" dxfId="6196" priority="6286" operator="greaterThan">
      <formula>1</formula>
    </cfRule>
    <cfRule type="cellIs" dxfId="6195" priority="6287" operator="between">
      <formula>0.95</formula>
      <formula>1</formula>
    </cfRule>
    <cfRule type="cellIs" dxfId="6194" priority="6288" stopIfTrue="1" operator="between">
      <formula>0</formula>
      <formula>0.5</formula>
    </cfRule>
  </conditionalFormatting>
  <conditionalFormatting sqref="V271">
    <cfRule type="cellIs" dxfId="6193" priority="6279" operator="between">
      <formula>0.376</formula>
      <formula>0.475</formula>
    </cfRule>
    <cfRule type="cellIs" dxfId="6192" priority="6280" operator="between">
      <formula>0.2551</formula>
      <formula>0.3751</formula>
    </cfRule>
    <cfRule type="cellIs" dxfId="6191" priority="6281" operator="greaterThan">
      <formula>0.505</formula>
    </cfRule>
    <cfRule type="cellIs" dxfId="6190" priority="6282" operator="between">
      <formula>0.48</formula>
      <formula>0.5</formula>
    </cfRule>
    <cfRule type="cellIs" dxfId="6189" priority="6283" stopIfTrue="1" operator="between">
      <formula>0</formula>
      <formula>0.255</formula>
    </cfRule>
  </conditionalFormatting>
  <conditionalFormatting sqref="Z271">
    <cfRule type="cellIs" dxfId="6188" priority="6274" operator="between">
      <formula>0.76</formula>
      <formula>0.95</formula>
    </cfRule>
    <cfRule type="cellIs" dxfId="6187" priority="6275" operator="between">
      <formula>0.51</formula>
      <formula>0.75</formula>
    </cfRule>
    <cfRule type="cellIs" dxfId="6186" priority="6276" operator="greaterThan">
      <formula>1</formula>
    </cfRule>
    <cfRule type="cellIs" dxfId="6185" priority="6277" operator="between">
      <formula>0.95</formula>
      <formula>1</formula>
    </cfRule>
    <cfRule type="cellIs" dxfId="6184" priority="6278" stopIfTrue="1" operator="between">
      <formula>0</formula>
      <formula>0.5</formula>
    </cfRule>
  </conditionalFormatting>
  <conditionalFormatting sqref="AC271">
    <cfRule type="cellIs" dxfId="6183" priority="6269" operator="between">
      <formula>0.56251</formula>
      <formula>0.7125</formula>
    </cfRule>
    <cfRule type="cellIs" dxfId="6182" priority="6270" operator="between">
      <formula>0.3751</formula>
      <formula>0.5625</formula>
    </cfRule>
    <cfRule type="cellIs" dxfId="6181" priority="6271" operator="greaterThan">
      <formula>0.751</formula>
    </cfRule>
    <cfRule type="cellIs" dxfId="6180" priority="6272" operator="between">
      <formula>0.71251</formula>
      <formula>0.75</formula>
    </cfRule>
    <cfRule type="cellIs" dxfId="6179" priority="6273" stopIfTrue="1" operator="between">
      <formula>0</formula>
      <formula>0.375</formula>
    </cfRule>
  </conditionalFormatting>
  <conditionalFormatting sqref="Z277">
    <cfRule type="cellIs" dxfId="6178" priority="6264" operator="between">
      <formula>0.76</formula>
      <formula>0.95</formula>
    </cfRule>
    <cfRule type="cellIs" dxfId="6177" priority="6265" operator="between">
      <formula>0.51</formula>
      <formula>0.75</formula>
    </cfRule>
    <cfRule type="cellIs" dxfId="6176" priority="6266" operator="greaterThan">
      <formula>1</formula>
    </cfRule>
    <cfRule type="cellIs" dxfId="6175" priority="6267" operator="between">
      <formula>0.95</formula>
      <formula>1</formula>
    </cfRule>
    <cfRule type="cellIs" dxfId="6174" priority="6268" stopIfTrue="1" operator="between">
      <formula>0</formula>
      <formula>0.5</formula>
    </cfRule>
  </conditionalFormatting>
  <conditionalFormatting sqref="AC277">
    <cfRule type="cellIs" dxfId="6173" priority="6259" operator="between">
      <formula>0.56251</formula>
      <formula>0.7125</formula>
    </cfRule>
    <cfRule type="cellIs" dxfId="6172" priority="6260" operator="between">
      <formula>0.3751</formula>
      <formula>0.5625</formula>
    </cfRule>
    <cfRule type="cellIs" dxfId="6171" priority="6261" operator="greaterThan">
      <formula>0.751</formula>
    </cfRule>
    <cfRule type="cellIs" dxfId="6170" priority="6262" operator="between">
      <formula>0.71251</formula>
      <formula>0.75</formula>
    </cfRule>
    <cfRule type="cellIs" dxfId="6169" priority="6263" stopIfTrue="1" operator="between">
      <formula>0</formula>
      <formula>0.375</formula>
    </cfRule>
  </conditionalFormatting>
  <conditionalFormatting sqref="S272">
    <cfRule type="cellIs" dxfId="6168" priority="5934" operator="between">
      <formula>0.76</formula>
      <formula>0.95</formula>
    </cfRule>
    <cfRule type="cellIs" dxfId="6167" priority="5935" operator="between">
      <formula>0.51</formula>
      <formula>0.75</formula>
    </cfRule>
    <cfRule type="cellIs" dxfId="6166" priority="5936" operator="greaterThan">
      <formula>1</formula>
    </cfRule>
    <cfRule type="cellIs" dxfId="6165" priority="5937" operator="between">
      <formula>0.95</formula>
      <formula>1</formula>
    </cfRule>
    <cfRule type="cellIs" dxfId="6164" priority="5938" stopIfTrue="1" operator="between">
      <formula>0</formula>
      <formula>0.5</formula>
    </cfRule>
  </conditionalFormatting>
  <conditionalFormatting sqref="Y279 AF279 R279 AH279:AI279">
    <cfRule type="cellIs" dxfId="6163" priority="6254" operator="between">
      <formula>0.76</formula>
      <formula>0.95</formula>
    </cfRule>
    <cfRule type="cellIs" dxfId="6162" priority="6255" operator="between">
      <formula>0.51</formula>
      <formula>0.75</formula>
    </cfRule>
    <cfRule type="cellIs" dxfId="6161" priority="6256" operator="greaterThan">
      <formula>1</formula>
    </cfRule>
    <cfRule type="cellIs" dxfId="6160" priority="6257" operator="between">
      <formula>0.95</formula>
      <formula>1</formula>
    </cfRule>
    <cfRule type="cellIs" dxfId="6159" priority="6258" stopIfTrue="1" operator="between">
      <formula>0</formula>
      <formula>0.5</formula>
    </cfRule>
  </conditionalFormatting>
  <conditionalFormatting sqref="T279">
    <cfRule type="cellIs" dxfId="6158" priority="6249" operator="between">
      <formula>0.3751</formula>
      <formula>0.475</formula>
    </cfRule>
    <cfRule type="cellIs" dxfId="6157" priority="6250" operator="between">
      <formula>0.2551</formula>
      <formula>0.375</formula>
    </cfRule>
    <cfRule type="cellIs" dxfId="6156" priority="6251" operator="greaterThan">
      <formula>0.505</formula>
    </cfRule>
    <cfRule type="cellIs" dxfId="6155" priority="6252" operator="between">
      <formula>0.48</formula>
      <formula>0.5</formula>
    </cfRule>
    <cfRule type="cellIs" dxfId="6154" priority="6253" stopIfTrue="1" operator="between">
      <formula>0</formula>
      <formula>0.255</formula>
    </cfRule>
  </conditionalFormatting>
  <conditionalFormatting sqref="AA279:AB279">
    <cfRule type="cellIs" dxfId="6153" priority="6244" operator="between">
      <formula>0.56251</formula>
      <formula>0.7125</formula>
    </cfRule>
    <cfRule type="cellIs" dxfId="6152" priority="6245" operator="between">
      <formula>0.3751</formula>
      <formula>0.5625</formula>
    </cfRule>
    <cfRule type="cellIs" dxfId="6151" priority="6246" operator="greaterThan">
      <formula>0.751</formula>
    </cfRule>
    <cfRule type="cellIs" dxfId="6150" priority="6247" operator="between">
      <formula>0.71251</formula>
      <formula>0.75</formula>
    </cfRule>
    <cfRule type="cellIs" dxfId="6149" priority="6248" stopIfTrue="1" operator="between">
      <formula>0</formula>
      <formula>0.375</formula>
    </cfRule>
  </conditionalFormatting>
  <conditionalFormatting sqref="U279">
    <cfRule type="cellIs" dxfId="6148" priority="6234" operator="between">
      <formula>0.376</formula>
      <formula>0.475</formula>
    </cfRule>
    <cfRule type="cellIs" dxfId="6147" priority="6235" operator="between">
      <formula>0.2551</formula>
      <formula>0.3751</formula>
    </cfRule>
    <cfRule type="cellIs" dxfId="6146" priority="6236" operator="greaterThan">
      <formula>0.505</formula>
    </cfRule>
    <cfRule type="cellIs" dxfId="6145" priority="6237" operator="between">
      <formula>0.48</formula>
      <formula>0.5</formula>
    </cfRule>
    <cfRule type="cellIs" dxfId="6144" priority="6238" stopIfTrue="1" operator="between">
      <formula>0</formula>
      <formula>0.255</formula>
    </cfRule>
  </conditionalFormatting>
  <conditionalFormatting sqref="AG279">
    <cfRule type="cellIs" dxfId="6143" priority="6196" operator="between">
      <formula>0.76</formula>
      <formula>0.95</formula>
    </cfRule>
    <cfRule type="cellIs" dxfId="6142" priority="6197" operator="between">
      <formula>0.51</formula>
      <formula>0.75</formula>
    </cfRule>
    <cfRule type="cellIs" dxfId="6141" priority="6198" operator="greaterThan">
      <formula>1</formula>
    </cfRule>
    <cfRule type="cellIs" dxfId="6140" priority="6199" operator="between">
      <formula>0.95</formula>
      <formula>1</formula>
    </cfRule>
    <cfRule type="cellIs" dxfId="6139" priority="6200" stopIfTrue="1" operator="between">
      <formula>0</formula>
      <formula>0.5</formula>
    </cfRule>
  </conditionalFormatting>
  <conditionalFormatting sqref="S279">
    <cfRule type="cellIs" dxfId="6138" priority="6191" operator="between">
      <formula>0.76</formula>
      <formula>0.95</formula>
    </cfRule>
    <cfRule type="cellIs" dxfId="6137" priority="6192" operator="between">
      <formula>0.51</formula>
      <formula>0.75</formula>
    </cfRule>
    <cfRule type="cellIs" dxfId="6136" priority="6193" operator="greaterThan">
      <formula>1</formula>
    </cfRule>
    <cfRule type="cellIs" dxfId="6135" priority="6194" operator="between">
      <formula>0.95</formula>
      <formula>1</formula>
    </cfRule>
    <cfRule type="cellIs" dxfId="6134" priority="6195" stopIfTrue="1" operator="between">
      <formula>0</formula>
      <formula>0.5</formula>
    </cfRule>
  </conditionalFormatting>
  <conditionalFormatting sqref="V279">
    <cfRule type="cellIs" dxfId="6133" priority="6186" operator="between">
      <formula>0.376</formula>
      <formula>0.475</formula>
    </cfRule>
    <cfRule type="cellIs" dxfId="6132" priority="6187" operator="between">
      <formula>0.2551</formula>
      <formula>0.3751</formula>
    </cfRule>
    <cfRule type="cellIs" dxfId="6131" priority="6188" operator="greaterThan">
      <formula>0.505</formula>
    </cfRule>
    <cfRule type="cellIs" dxfId="6130" priority="6189" operator="between">
      <formula>0.48</formula>
      <formula>0.5</formula>
    </cfRule>
    <cfRule type="cellIs" dxfId="6129" priority="6190" stopIfTrue="1" operator="between">
      <formula>0</formula>
      <formula>0.255</formula>
    </cfRule>
  </conditionalFormatting>
  <conditionalFormatting sqref="Z279">
    <cfRule type="cellIs" dxfId="6128" priority="6181" operator="between">
      <formula>0.76</formula>
      <formula>0.95</formula>
    </cfRule>
    <cfRule type="cellIs" dxfId="6127" priority="6182" operator="between">
      <formula>0.51</formula>
      <formula>0.75</formula>
    </cfRule>
    <cfRule type="cellIs" dxfId="6126" priority="6183" operator="greaterThan">
      <formula>1</formula>
    </cfRule>
    <cfRule type="cellIs" dxfId="6125" priority="6184" operator="between">
      <formula>0.95</formula>
      <formula>1</formula>
    </cfRule>
    <cfRule type="cellIs" dxfId="6124" priority="6185" stopIfTrue="1" operator="between">
      <formula>0</formula>
      <formula>0.5</formula>
    </cfRule>
  </conditionalFormatting>
  <conditionalFormatting sqref="AC279">
    <cfRule type="cellIs" dxfId="6123" priority="6176" operator="between">
      <formula>0.56251</formula>
      <formula>0.7125</formula>
    </cfRule>
    <cfRule type="cellIs" dxfId="6122" priority="6177" operator="between">
      <formula>0.3751</formula>
      <formula>0.5625</formula>
    </cfRule>
    <cfRule type="cellIs" dxfId="6121" priority="6178" operator="greaterThan">
      <formula>0.751</formula>
    </cfRule>
    <cfRule type="cellIs" dxfId="6120" priority="6179" operator="between">
      <formula>0.71251</formula>
      <formula>0.75</formula>
    </cfRule>
    <cfRule type="cellIs" dxfId="6119" priority="6180" stopIfTrue="1" operator="between">
      <formula>0</formula>
      <formula>0.375</formula>
    </cfRule>
  </conditionalFormatting>
  <conditionalFormatting sqref="R183 Y183 AF183 AH183:AI183">
    <cfRule type="cellIs" dxfId="6118" priority="6171" operator="between">
      <formula>0.76</formula>
      <formula>0.95</formula>
    </cfRule>
    <cfRule type="cellIs" dxfId="6117" priority="6172" operator="between">
      <formula>0.51</formula>
      <formula>0.75</formula>
    </cfRule>
    <cfRule type="cellIs" dxfId="6116" priority="6173" operator="greaterThan">
      <formula>1</formula>
    </cfRule>
    <cfRule type="cellIs" dxfId="6115" priority="6174" operator="between">
      <formula>0.95</formula>
      <formula>1</formula>
    </cfRule>
    <cfRule type="cellIs" dxfId="6114" priority="6175" stopIfTrue="1" operator="between">
      <formula>0</formula>
      <formula>0.5</formula>
    </cfRule>
  </conditionalFormatting>
  <conditionalFormatting sqref="T183">
    <cfRule type="cellIs" dxfId="6113" priority="6166" operator="between">
      <formula>0.3751</formula>
      <formula>0.475</formula>
    </cfRule>
    <cfRule type="cellIs" dxfId="6112" priority="6167" operator="between">
      <formula>0.2551</formula>
      <formula>0.375</formula>
    </cfRule>
    <cfRule type="cellIs" dxfId="6111" priority="6168" operator="greaterThan">
      <formula>0.505</formula>
    </cfRule>
    <cfRule type="cellIs" dxfId="6110" priority="6169" operator="between">
      <formula>0.48</formula>
      <formula>0.5</formula>
    </cfRule>
    <cfRule type="cellIs" dxfId="6109" priority="6170" stopIfTrue="1" operator="between">
      <formula>0</formula>
      <formula>0.255</formula>
    </cfRule>
  </conditionalFormatting>
  <conditionalFormatting sqref="AA183:AB183">
    <cfRule type="cellIs" dxfId="6108" priority="6161" operator="between">
      <formula>0.56251</formula>
      <formula>0.7125</formula>
    </cfRule>
    <cfRule type="cellIs" dxfId="6107" priority="6162" operator="between">
      <formula>0.3751</formula>
      <formula>0.5625</formula>
    </cfRule>
    <cfRule type="cellIs" dxfId="6106" priority="6163" operator="greaterThan">
      <formula>0.751</formula>
    </cfRule>
    <cfRule type="cellIs" dxfId="6105" priority="6164" operator="between">
      <formula>0.71251</formula>
      <formula>0.75</formula>
    </cfRule>
    <cfRule type="cellIs" dxfId="6104" priority="6165" stopIfTrue="1" operator="between">
      <formula>0</formula>
      <formula>0.375</formula>
    </cfRule>
  </conditionalFormatting>
  <conditionalFormatting sqref="U183">
    <cfRule type="cellIs" dxfId="6103" priority="6151" operator="between">
      <formula>0.376</formula>
      <formula>0.475</formula>
    </cfRule>
    <cfRule type="cellIs" dxfId="6102" priority="6152" operator="between">
      <formula>0.2551</formula>
      <formula>0.3751</formula>
    </cfRule>
    <cfRule type="cellIs" dxfId="6101" priority="6153" operator="greaterThan">
      <formula>0.505</formula>
    </cfRule>
    <cfRule type="cellIs" dxfId="6100" priority="6154" operator="between">
      <formula>0.48</formula>
      <formula>0.5</formula>
    </cfRule>
    <cfRule type="cellIs" dxfId="6099" priority="6155" stopIfTrue="1" operator="between">
      <formula>0</formula>
      <formula>0.255</formula>
    </cfRule>
  </conditionalFormatting>
  <conditionalFormatting sqref="AG183">
    <cfRule type="cellIs" dxfId="6098" priority="6143" operator="between">
      <formula>0.76</formula>
      <formula>0.95</formula>
    </cfRule>
    <cfRule type="cellIs" dxfId="6097" priority="6144" operator="between">
      <formula>0.51</formula>
      <formula>0.75</formula>
    </cfRule>
    <cfRule type="cellIs" dxfId="6096" priority="6145" operator="greaterThan">
      <formula>1</formula>
    </cfRule>
    <cfRule type="cellIs" dxfId="6095" priority="6146" operator="between">
      <formula>0.95</formula>
      <formula>1</formula>
    </cfRule>
    <cfRule type="cellIs" dxfId="6094" priority="6147" stopIfTrue="1" operator="between">
      <formula>0</formula>
      <formula>0.5</formula>
    </cfRule>
  </conditionalFormatting>
  <conditionalFormatting sqref="Z183">
    <cfRule type="cellIs" dxfId="6093" priority="6138" operator="between">
      <formula>0.76</formula>
      <formula>0.95</formula>
    </cfRule>
    <cfRule type="cellIs" dxfId="6092" priority="6139" operator="between">
      <formula>0.51</formula>
      <formula>0.75</formula>
    </cfRule>
    <cfRule type="cellIs" dxfId="6091" priority="6140" operator="greaterThan">
      <formula>1</formula>
    </cfRule>
    <cfRule type="cellIs" dxfId="6090" priority="6141" operator="between">
      <formula>0.95</formula>
      <formula>1</formula>
    </cfRule>
    <cfRule type="cellIs" dxfId="6089" priority="6142" stopIfTrue="1" operator="between">
      <formula>0</formula>
      <formula>0.5</formula>
    </cfRule>
  </conditionalFormatting>
  <conditionalFormatting sqref="AC183">
    <cfRule type="cellIs" dxfId="6088" priority="6133" operator="between">
      <formula>0.56251</formula>
      <formula>0.7125</formula>
    </cfRule>
    <cfRule type="cellIs" dxfId="6087" priority="6134" operator="between">
      <formula>0.3751</formula>
      <formula>0.5625</formula>
    </cfRule>
    <cfRule type="cellIs" dxfId="6086" priority="6135" operator="greaterThan">
      <formula>0.751</formula>
    </cfRule>
    <cfRule type="cellIs" dxfId="6085" priority="6136" operator="between">
      <formula>0.71251</formula>
      <formula>0.75</formula>
    </cfRule>
    <cfRule type="cellIs" dxfId="6084" priority="6137" stopIfTrue="1" operator="between">
      <formula>0</formula>
      <formula>0.375</formula>
    </cfRule>
  </conditionalFormatting>
  <conditionalFormatting sqref="S183">
    <cfRule type="cellIs" dxfId="6083" priority="6128" operator="between">
      <formula>0.76</formula>
      <formula>0.95</formula>
    </cfRule>
    <cfRule type="cellIs" dxfId="6082" priority="6129" operator="between">
      <formula>0.51</formula>
      <formula>0.75</formula>
    </cfRule>
    <cfRule type="cellIs" dxfId="6081" priority="6130" operator="greaterThan">
      <formula>1</formula>
    </cfRule>
    <cfRule type="cellIs" dxfId="6080" priority="6131" operator="between">
      <formula>0.95</formula>
      <formula>1</formula>
    </cfRule>
    <cfRule type="cellIs" dxfId="6079" priority="6132" stopIfTrue="1" operator="between">
      <formula>0</formula>
      <formula>0.5</formula>
    </cfRule>
  </conditionalFormatting>
  <conditionalFormatting sqref="V183">
    <cfRule type="cellIs" dxfId="6078" priority="6123" operator="between">
      <formula>0.376</formula>
      <formula>0.475</formula>
    </cfRule>
    <cfRule type="cellIs" dxfId="6077" priority="6124" operator="between">
      <formula>0.2551</formula>
      <formula>0.3751</formula>
    </cfRule>
    <cfRule type="cellIs" dxfId="6076" priority="6125" operator="greaterThan">
      <formula>0.505</formula>
    </cfRule>
    <cfRule type="cellIs" dxfId="6075" priority="6126" operator="between">
      <formula>0.48</formula>
      <formula>0.5</formula>
    </cfRule>
    <cfRule type="cellIs" dxfId="6074" priority="6127" stopIfTrue="1" operator="between">
      <formula>0</formula>
      <formula>0.255</formula>
    </cfRule>
  </conditionalFormatting>
  <conditionalFormatting sqref="Y280 AF280 R280 AH280:AI280">
    <cfRule type="cellIs" dxfId="6073" priority="6103" operator="between">
      <formula>0.76</formula>
      <formula>0.95</formula>
    </cfRule>
    <cfRule type="cellIs" dxfId="6072" priority="6104" operator="between">
      <formula>0.51</formula>
      <formula>0.75</formula>
    </cfRule>
    <cfRule type="cellIs" dxfId="6071" priority="6105" operator="greaterThan">
      <formula>1</formula>
    </cfRule>
    <cfRule type="cellIs" dxfId="6070" priority="6106" operator="between">
      <formula>0.95</formula>
      <formula>1</formula>
    </cfRule>
    <cfRule type="cellIs" dxfId="6069" priority="6107" stopIfTrue="1" operator="between">
      <formula>0</formula>
      <formula>0.5</formula>
    </cfRule>
  </conditionalFormatting>
  <conditionalFormatting sqref="T280">
    <cfRule type="cellIs" dxfId="6068" priority="6098" operator="between">
      <formula>0.3751</formula>
      <formula>0.475</formula>
    </cfRule>
    <cfRule type="cellIs" dxfId="6067" priority="6099" operator="between">
      <formula>0.2551</formula>
      <formula>0.375</formula>
    </cfRule>
    <cfRule type="cellIs" dxfId="6066" priority="6100" operator="greaterThan">
      <formula>0.505</formula>
    </cfRule>
    <cfRule type="cellIs" dxfId="6065" priority="6101" operator="between">
      <formula>0.48</formula>
      <formula>0.5</formula>
    </cfRule>
    <cfRule type="cellIs" dxfId="6064" priority="6102" stopIfTrue="1" operator="between">
      <formula>0</formula>
      <formula>0.255</formula>
    </cfRule>
  </conditionalFormatting>
  <conditionalFormatting sqref="AA280:AB280">
    <cfRule type="cellIs" dxfId="6063" priority="6093" operator="between">
      <formula>0.56251</formula>
      <formula>0.7125</formula>
    </cfRule>
    <cfRule type="cellIs" dxfId="6062" priority="6094" operator="between">
      <formula>0.3751</formula>
      <formula>0.5625</formula>
    </cfRule>
    <cfRule type="cellIs" dxfId="6061" priority="6095" operator="greaterThan">
      <formula>0.751</formula>
    </cfRule>
    <cfRule type="cellIs" dxfId="6060" priority="6096" operator="between">
      <formula>0.71251</formula>
      <formula>0.75</formula>
    </cfRule>
    <cfRule type="cellIs" dxfId="6059" priority="6097" stopIfTrue="1" operator="between">
      <formula>0</formula>
      <formula>0.375</formula>
    </cfRule>
  </conditionalFormatting>
  <conditionalFormatting sqref="U280">
    <cfRule type="cellIs" dxfId="6058" priority="6083" operator="between">
      <formula>0.376</formula>
      <formula>0.475</formula>
    </cfRule>
    <cfRule type="cellIs" dxfId="6057" priority="6084" operator="between">
      <formula>0.2551</formula>
      <formula>0.3751</formula>
    </cfRule>
    <cfRule type="cellIs" dxfId="6056" priority="6085" operator="greaterThan">
      <formula>0.505</formula>
    </cfRule>
    <cfRule type="cellIs" dxfId="6055" priority="6086" operator="between">
      <formula>0.48</formula>
      <formula>0.5</formula>
    </cfRule>
    <cfRule type="cellIs" dxfId="6054" priority="6087" stopIfTrue="1" operator="between">
      <formula>0</formula>
      <formula>0.255</formula>
    </cfRule>
  </conditionalFormatting>
  <conditionalFormatting sqref="AG280">
    <cfRule type="cellIs" dxfId="6053" priority="6065" operator="between">
      <formula>0.76</formula>
      <formula>0.95</formula>
    </cfRule>
    <cfRule type="cellIs" dxfId="6052" priority="6066" operator="between">
      <formula>0.51</formula>
      <formula>0.75</formula>
    </cfRule>
    <cfRule type="cellIs" dxfId="6051" priority="6067" operator="greaterThan">
      <formula>1</formula>
    </cfRule>
    <cfRule type="cellIs" dxfId="6050" priority="6068" operator="between">
      <formula>0.95</formula>
      <formula>1</formula>
    </cfRule>
    <cfRule type="cellIs" dxfId="6049" priority="6069" stopIfTrue="1" operator="between">
      <formula>0</formula>
      <formula>0.5</formula>
    </cfRule>
  </conditionalFormatting>
  <conditionalFormatting sqref="S280">
    <cfRule type="cellIs" dxfId="6048" priority="6060" operator="between">
      <formula>0.76</formula>
      <formula>0.95</formula>
    </cfRule>
    <cfRule type="cellIs" dxfId="6047" priority="6061" operator="between">
      <formula>0.51</formula>
      <formula>0.75</formula>
    </cfRule>
    <cfRule type="cellIs" dxfId="6046" priority="6062" operator="greaterThan">
      <formula>1</formula>
    </cfRule>
    <cfRule type="cellIs" dxfId="6045" priority="6063" operator="between">
      <formula>0.95</formula>
      <formula>1</formula>
    </cfRule>
    <cfRule type="cellIs" dxfId="6044" priority="6064" stopIfTrue="1" operator="between">
      <formula>0</formula>
      <formula>0.5</formula>
    </cfRule>
  </conditionalFormatting>
  <conditionalFormatting sqref="V280">
    <cfRule type="cellIs" dxfId="6043" priority="6055" operator="between">
      <formula>0.376</formula>
      <formula>0.475</formula>
    </cfRule>
    <cfRule type="cellIs" dxfId="6042" priority="6056" operator="between">
      <formula>0.2551</formula>
      <formula>0.3751</formula>
    </cfRule>
    <cfRule type="cellIs" dxfId="6041" priority="6057" operator="greaterThan">
      <formula>0.505</formula>
    </cfRule>
    <cfRule type="cellIs" dxfId="6040" priority="6058" operator="between">
      <formula>0.48</formula>
      <formula>0.5</formula>
    </cfRule>
    <cfRule type="cellIs" dxfId="6039" priority="6059" stopIfTrue="1" operator="between">
      <formula>0</formula>
      <formula>0.255</formula>
    </cfRule>
  </conditionalFormatting>
  <conditionalFormatting sqref="Z280">
    <cfRule type="cellIs" dxfId="6038" priority="6050" operator="between">
      <formula>0.76</formula>
      <formula>0.95</formula>
    </cfRule>
    <cfRule type="cellIs" dxfId="6037" priority="6051" operator="between">
      <formula>0.51</formula>
      <formula>0.75</formula>
    </cfRule>
    <cfRule type="cellIs" dxfId="6036" priority="6052" operator="greaterThan">
      <formula>1</formula>
    </cfRule>
    <cfRule type="cellIs" dxfId="6035" priority="6053" operator="between">
      <formula>0.95</formula>
      <formula>1</formula>
    </cfRule>
    <cfRule type="cellIs" dxfId="6034" priority="6054" stopIfTrue="1" operator="between">
      <formula>0</formula>
      <formula>0.5</formula>
    </cfRule>
  </conditionalFormatting>
  <conditionalFormatting sqref="AC280">
    <cfRule type="cellIs" dxfId="6033" priority="6045" operator="between">
      <formula>0.56251</formula>
      <formula>0.7125</formula>
    </cfRule>
    <cfRule type="cellIs" dxfId="6032" priority="6046" operator="between">
      <formula>0.3751</formula>
      <formula>0.5625</formula>
    </cfRule>
    <cfRule type="cellIs" dxfId="6031" priority="6047" operator="greaterThan">
      <formula>0.751</formula>
    </cfRule>
    <cfRule type="cellIs" dxfId="6030" priority="6048" operator="between">
      <formula>0.71251</formula>
      <formula>0.75</formula>
    </cfRule>
    <cfRule type="cellIs" dxfId="6029" priority="6049" stopIfTrue="1" operator="between">
      <formula>0</formula>
      <formula>0.375</formula>
    </cfRule>
  </conditionalFormatting>
  <conditionalFormatting sqref="Y281 AF281 R281 AH281:AI281">
    <cfRule type="cellIs" dxfId="6028" priority="6040" operator="between">
      <formula>0.76</formula>
      <formula>0.95</formula>
    </cfRule>
    <cfRule type="cellIs" dxfId="6027" priority="6041" operator="between">
      <formula>0.51</formula>
      <formula>0.75</formula>
    </cfRule>
    <cfRule type="cellIs" dxfId="6026" priority="6042" operator="greaterThan">
      <formula>1</formula>
    </cfRule>
    <cfRule type="cellIs" dxfId="6025" priority="6043" operator="between">
      <formula>0.95</formula>
      <formula>1</formula>
    </cfRule>
    <cfRule type="cellIs" dxfId="6024" priority="6044" stopIfTrue="1" operator="between">
      <formula>0</formula>
      <formula>0.5</formula>
    </cfRule>
  </conditionalFormatting>
  <conditionalFormatting sqref="T281">
    <cfRule type="cellIs" dxfId="6023" priority="6035" operator="between">
      <formula>0.3751</formula>
      <formula>0.475</formula>
    </cfRule>
    <cfRule type="cellIs" dxfId="6022" priority="6036" operator="between">
      <formula>0.2551</formula>
      <formula>0.375</formula>
    </cfRule>
    <cfRule type="cellIs" dxfId="6021" priority="6037" operator="greaterThan">
      <formula>0.505</formula>
    </cfRule>
    <cfRule type="cellIs" dxfId="6020" priority="6038" operator="between">
      <formula>0.48</formula>
      <formula>0.5</formula>
    </cfRule>
    <cfRule type="cellIs" dxfId="6019" priority="6039" stopIfTrue="1" operator="between">
      <formula>0</formula>
      <formula>0.255</formula>
    </cfRule>
  </conditionalFormatting>
  <conditionalFormatting sqref="AA281:AB281">
    <cfRule type="cellIs" dxfId="6018" priority="6030" operator="between">
      <formula>0.56251</formula>
      <formula>0.7125</formula>
    </cfRule>
    <cfRule type="cellIs" dxfId="6017" priority="6031" operator="between">
      <formula>0.3751</formula>
      <formula>0.5625</formula>
    </cfRule>
    <cfRule type="cellIs" dxfId="6016" priority="6032" operator="greaterThan">
      <formula>0.751</formula>
    </cfRule>
    <cfRule type="cellIs" dxfId="6015" priority="6033" operator="between">
      <formula>0.71251</formula>
      <formula>0.75</formula>
    </cfRule>
    <cfRule type="cellIs" dxfId="6014" priority="6034" stopIfTrue="1" operator="between">
      <formula>0</formula>
      <formula>0.375</formula>
    </cfRule>
  </conditionalFormatting>
  <conditionalFormatting sqref="U281">
    <cfRule type="cellIs" dxfId="6013" priority="6020" operator="between">
      <formula>0.376</formula>
      <formula>0.475</formula>
    </cfRule>
    <cfRule type="cellIs" dxfId="6012" priority="6021" operator="between">
      <formula>0.2551</formula>
      <formula>0.3751</formula>
    </cfRule>
    <cfRule type="cellIs" dxfId="6011" priority="6022" operator="greaterThan">
      <formula>0.505</formula>
    </cfRule>
    <cfRule type="cellIs" dxfId="6010" priority="6023" operator="between">
      <formula>0.48</formula>
      <formula>0.5</formula>
    </cfRule>
    <cfRule type="cellIs" dxfId="6009" priority="6024" stopIfTrue="1" operator="between">
      <formula>0</formula>
      <formula>0.255</formula>
    </cfRule>
  </conditionalFormatting>
  <conditionalFormatting sqref="S281">
    <cfRule type="cellIs" dxfId="6008" priority="5997" operator="between">
      <formula>0.76</formula>
      <formula>0.95</formula>
    </cfRule>
    <cfRule type="cellIs" dxfId="6007" priority="5998" operator="between">
      <formula>0.51</formula>
      <formula>0.75</formula>
    </cfRule>
    <cfRule type="cellIs" dxfId="6006" priority="5999" operator="greaterThan">
      <formula>1</formula>
    </cfRule>
    <cfRule type="cellIs" dxfId="6005" priority="6000" operator="between">
      <formula>0.95</formula>
      <formula>1</formula>
    </cfRule>
    <cfRule type="cellIs" dxfId="6004" priority="6001" stopIfTrue="1" operator="between">
      <formula>0</formula>
      <formula>0.5</formula>
    </cfRule>
  </conditionalFormatting>
  <conditionalFormatting sqref="V281">
    <cfRule type="cellIs" dxfId="6003" priority="5992" operator="between">
      <formula>0.376</formula>
      <formula>0.475</formula>
    </cfRule>
    <cfRule type="cellIs" dxfId="6002" priority="5993" operator="between">
      <formula>0.2551</formula>
      <formula>0.3751</formula>
    </cfRule>
    <cfRule type="cellIs" dxfId="6001" priority="5994" operator="greaterThan">
      <formula>0.505</formula>
    </cfRule>
    <cfRule type="cellIs" dxfId="6000" priority="5995" operator="between">
      <formula>0.48</formula>
      <formula>0.5</formula>
    </cfRule>
    <cfRule type="cellIs" dxfId="5999" priority="5996" stopIfTrue="1" operator="between">
      <formula>0</formula>
      <formula>0.255</formula>
    </cfRule>
  </conditionalFormatting>
  <conditionalFormatting sqref="Z281">
    <cfRule type="cellIs" dxfId="5998" priority="5987" operator="between">
      <formula>0.76</formula>
      <formula>0.95</formula>
    </cfRule>
    <cfRule type="cellIs" dxfId="5997" priority="5988" operator="between">
      <formula>0.51</formula>
      <formula>0.75</formula>
    </cfRule>
    <cfRule type="cellIs" dxfId="5996" priority="5989" operator="greaterThan">
      <formula>1</formula>
    </cfRule>
    <cfRule type="cellIs" dxfId="5995" priority="5990" operator="between">
      <formula>0.95</formula>
      <formula>1</formula>
    </cfRule>
    <cfRule type="cellIs" dxfId="5994" priority="5991" stopIfTrue="1" operator="between">
      <formula>0</formula>
      <formula>0.5</formula>
    </cfRule>
  </conditionalFormatting>
  <conditionalFormatting sqref="AC281">
    <cfRule type="cellIs" dxfId="5993" priority="5982" operator="between">
      <formula>0.56251</formula>
      <formula>0.7125</formula>
    </cfRule>
    <cfRule type="cellIs" dxfId="5992" priority="5983" operator="between">
      <formula>0.3751</formula>
      <formula>0.5625</formula>
    </cfRule>
    <cfRule type="cellIs" dxfId="5991" priority="5984" operator="greaterThan">
      <formula>0.751</formula>
    </cfRule>
    <cfRule type="cellIs" dxfId="5990" priority="5985" operator="between">
      <formula>0.71251</formula>
      <formula>0.75</formula>
    </cfRule>
    <cfRule type="cellIs" dxfId="5989" priority="5986" stopIfTrue="1" operator="between">
      <formula>0</formula>
      <formula>0.375</formula>
    </cfRule>
  </conditionalFormatting>
  <conditionalFormatting sqref="Y272 AF272 R272 AH272:AI272">
    <cfRule type="cellIs" dxfId="5988" priority="5977" operator="between">
      <formula>0.76</formula>
      <formula>0.95</formula>
    </cfRule>
    <cfRule type="cellIs" dxfId="5987" priority="5978" operator="between">
      <formula>0.51</formula>
      <formula>0.75</formula>
    </cfRule>
    <cfRule type="cellIs" dxfId="5986" priority="5979" operator="greaterThan">
      <formula>1</formula>
    </cfRule>
    <cfRule type="cellIs" dxfId="5985" priority="5980" operator="between">
      <formula>0.95</formula>
      <formula>1</formula>
    </cfRule>
    <cfRule type="cellIs" dxfId="5984" priority="5981" stopIfTrue="1" operator="between">
      <formula>0</formula>
      <formula>0.5</formula>
    </cfRule>
  </conditionalFormatting>
  <conditionalFormatting sqref="T272">
    <cfRule type="cellIs" dxfId="5983" priority="5972" operator="between">
      <formula>0.3751</formula>
      <formula>0.475</formula>
    </cfRule>
    <cfRule type="cellIs" dxfId="5982" priority="5973" operator="between">
      <formula>0.2551</formula>
      <formula>0.375</formula>
    </cfRule>
    <cfRule type="cellIs" dxfId="5981" priority="5974" operator="greaterThan">
      <formula>0.505</formula>
    </cfRule>
    <cfRule type="cellIs" dxfId="5980" priority="5975" operator="between">
      <formula>0.48</formula>
      <formula>0.5</formula>
    </cfRule>
    <cfRule type="cellIs" dxfId="5979" priority="5976" stopIfTrue="1" operator="between">
      <formula>0</formula>
      <formula>0.255</formula>
    </cfRule>
  </conditionalFormatting>
  <conditionalFormatting sqref="AA272:AB272">
    <cfRule type="cellIs" dxfId="5978" priority="5967" operator="between">
      <formula>0.56251</formula>
      <formula>0.7125</formula>
    </cfRule>
    <cfRule type="cellIs" dxfId="5977" priority="5968" operator="between">
      <formula>0.3751</formula>
      <formula>0.5625</formula>
    </cfRule>
    <cfRule type="cellIs" dxfId="5976" priority="5969" operator="greaterThan">
      <formula>0.751</formula>
    </cfRule>
    <cfRule type="cellIs" dxfId="5975" priority="5970" operator="between">
      <formula>0.71251</formula>
      <formula>0.75</formula>
    </cfRule>
    <cfRule type="cellIs" dxfId="5974" priority="5971" stopIfTrue="1" operator="between">
      <formula>0</formula>
      <formula>0.375</formula>
    </cfRule>
  </conditionalFormatting>
  <conditionalFormatting sqref="U272">
    <cfRule type="cellIs" dxfId="5973" priority="5957" operator="between">
      <formula>0.376</formula>
      <formula>0.475</formula>
    </cfRule>
    <cfRule type="cellIs" dxfId="5972" priority="5958" operator="between">
      <formula>0.2551</formula>
      <formula>0.3751</formula>
    </cfRule>
    <cfRule type="cellIs" dxfId="5971" priority="5959" operator="greaterThan">
      <formula>0.505</formula>
    </cfRule>
    <cfRule type="cellIs" dxfId="5970" priority="5960" operator="between">
      <formula>0.48</formula>
      <formula>0.5</formula>
    </cfRule>
    <cfRule type="cellIs" dxfId="5969" priority="5961" stopIfTrue="1" operator="between">
      <formula>0</formula>
      <formula>0.255</formula>
    </cfRule>
  </conditionalFormatting>
  <conditionalFormatting sqref="AG272">
    <cfRule type="cellIs" dxfId="5968" priority="5949" operator="between">
      <formula>0.76</formula>
      <formula>0.95</formula>
    </cfRule>
    <cfRule type="cellIs" dxfId="5967" priority="5950" operator="between">
      <formula>0.51</formula>
      <formula>0.75</formula>
    </cfRule>
    <cfRule type="cellIs" dxfId="5966" priority="5951" operator="greaterThan">
      <formula>1</formula>
    </cfRule>
    <cfRule type="cellIs" dxfId="5965" priority="5952" operator="between">
      <formula>0.95</formula>
      <formula>1</formula>
    </cfRule>
    <cfRule type="cellIs" dxfId="5964" priority="5953" stopIfTrue="1" operator="between">
      <formula>0</formula>
      <formula>0.5</formula>
    </cfRule>
  </conditionalFormatting>
  <conditionalFormatting sqref="V272">
    <cfRule type="cellIs" dxfId="5963" priority="5929" operator="between">
      <formula>0.376</formula>
      <formula>0.475</formula>
    </cfRule>
    <cfRule type="cellIs" dxfId="5962" priority="5930" operator="between">
      <formula>0.2551</formula>
      <formula>0.3751</formula>
    </cfRule>
    <cfRule type="cellIs" dxfId="5961" priority="5931" operator="greaterThan">
      <formula>0.505</formula>
    </cfRule>
    <cfRule type="cellIs" dxfId="5960" priority="5932" operator="between">
      <formula>0.48</formula>
      <formula>0.5</formula>
    </cfRule>
    <cfRule type="cellIs" dxfId="5959" priority="5933" stopIfTrue="1" operator="between">
      <formula>0</formula>
      <formula>0.255</formula>
    </cfRule>
  </conditionalFormatting>
  <conditionalFormatting sqref="Z272">
    <cfRule type="cellIs" dxfId="5958" priority="5924" operator="between">
      <formula>0.76</formula>
      <formula>0.95</formula>
    </cfRule>
    <cfRule type="cellIs" dxfId="5957" priority="5925" operator="between">
      <formula>0.51</formula>
      <formula>0.75</formula>
    </cfRule>
    <cfRule type="cellIs" dxfId="5956" priority="5926" operator="greaterThan">
      <formula>1</formula>
    </cfRule>
    <cfRule type="cellIs" dxfId="5955" priority="5927" operator="between">
      <formula>0.95</formula>
      <formula>1</formula>
    </cfRule>
    <cfRule type="cellIs" dxfId="5954" priority="5928" stopIfTrue="1" operator="between">
      <formula>0</formula>
      <formula>0.5</formula>
    </cfRule>
  </conditionalFormatting>
  <conditionalFormatting sqref="AC272">
    <cfRule type="cellIs" dxfId="5953" priority="5919" operator="between">
      <formula>0.56251</formula>
      <formula>0.7125</formula>
    </cfRule>
    <cfRule type="cellIs" dxfId="5952" priority="5920" operator="between">
      <formula>0.3751</formula>
      <formula>0.5625</formula>
    </cfRule>
    <cfRule type="cellIs" dxfId="5951" priority="5921" operator="greaterThan">
      <formula>0.751</formula>
    </cfRule>
    <cfRule type="cellIs" dxfId="5950" priority="5922" operator="between">
      <formula>0.71251</formula>
      <formula>0.75</formula>
    </cfRule>
    <cfRule type="cellIs" dxfId="5949" priority="5923" stopIfTrue="1" operator="between">
      <formula>0</formula>
      <formula>0.375</formula>
    </cfRule>
  </conditionalFormatting>
  <conditionalFormatting sqref="S273:S275">
    <cfRule type="cellIs" dxfId="5948" priority="5871" operator="between">
      <formula>0.76</formula>
      <formula>0.95</formula>
    </cfRule>
    <cfRule type="cellIs" dxfId="5947" priority="5872" operator="between">
      <formula>0.51</formula>
      <formula>0.75</formula>
    </cfRule>
    <cfRule type="cellIs" dxfId="5946" priority="5873" operator="greaterThan">
      <formula>1</formula>
    </cfRule>
    <cfRule type="cellIs" dxfId="5945" priority="5874" operator="between">
      <formula>0.95</formula>
      <formula>1</formula>
    </cfRule>
    <cfRule type="cellIs" dxfId="5944" priority="5875" stopIfTrue="1" operator="between">
      <formula>0</formula>
      <formula>0.5</formula>
    </cfRule>
  </conditionalFormatting>
  <conditionalFormatting sqref="Y273:Y275 AF273:AF275 R273:R275 AH273:AI275">
    <cfRule type="cellIs" dxfId="5943" priority="5914" operator="between">
      <formula>0.76</formula>
      <formula>0.95</formula>
    </cfRule>
    <cfRule type="cellIs" dxfId="5942" priority="5915" operator="between">
      <formula>0.51</formula>
      <formula>0.75</formula>
    </cfRule>
    <cfRule type="cellIs" dxfId="5941" priority="5916" operator="greaterThan">
      <formula>1</formula>
    </cfRule>
    <cfRule type="cellIs" dxfId="5940" priority="5917" operator="between">
      <formula>0.95</formula>
      <formula>1</formula>
    </cfRule>
    <cfRule type="cellIs" dxfId="5939" priority="5918" stopIfTrue="1" operator="between">
      <formula>0</formula>
      <formula>0.5</formula>
    </cfRule>
  </conditionalFormatting>
  <conditionalFormatting sqref="T273:T275">
    <cfRule type="cellIs" dxfId="5938" priority="5909" operator="between">
      <formula>0.3751</formula>
      <formula>0.475</formula>
    </cfRule>
    <cfRule type="cellIs" dxfId="5937" priority="5910" operator="between">
      <formula>0.2551</formula>
      <formula>0.375</formula>
    </cfRule>
    <cfRule type="cellIs" dxfId="5936" priority="5911" operator="greaterThan">
      <formula>0.505</formula>
    </cfRule>
    <cfRule type="cellIs" dxfId="5935" priority="5912" operator="between">
      <formula>0.48</formula>
      <formula>0.5</formula>
    </cfRule>
    <cfRule type="cellIs" dxfId="5934" priority="5913" stopIfTrue="1" operator="between">
      <formula>0</formula>
      <formula>0.255</formula>
    </cfRule>
  </conditionalFormatting>
  <conditionalFormatting sqref="AA273:AB275">
    <cfRule type="cellIs" dxfId="5933" priority="5904" operator="between">
      <formula>0.56251</formula>
      <formula>0.7125</formula>
    </cfRule>
    <cfRule type="cellIs" dxfId="5932" priority="5905" operator="between">
      <formula>0.3751</formula>
      <formula>0.5625</formula>
    </cfRule>
    <cfRule type="cellIs" dxfId="5931" priority="5906" operator="greaterThan">
      <formula>0.751</formula>
    </cfRule>
    <cfRule type="cellIs" dxfId="5930" priority="5907" operator="between">
      <formula>0.71251</formula>
      <formula>0.75</formula>
    </cfRule>
    <cfRule type="cellIs" dxfId="5929" priority="5908" stopIfTrue="1" operator="between">
      <formula>0</formula>
      <formula>0.375</formula>
    </cfRule>
  </conditionalFormatting>
  <conditionalFormatting sqref="U273:U275">
    <cfRule type="cellIs" dxfId="5928" priority="5894" operator="between">
      <formula>0.376</formula>
      <formula>0.475</formula>
    </cfRule>
    <cfRule type="cellIs" dxfId="5927" priority="5895" operator="between">
      <formula>0.2551</formula>
      <formula>0.3751</formula>
    </cfRule>
    <cfRule type="cellIs" dxfId="5926" priority="5896" operator="greaterThan">
      <formula>0.505</formula>
    </cfRule>
    <cfRule type="cellIs" dxfId="5925" priority="5897" operator="between">
      <formula>0.48</formula>
      <formula>0.5</formula>
    </cfRule>
    <cfRule type="cellIs" dxfId="5924" priority="5898" stopIfTrue="1" operator="between">
      <formula>0</formula>
      <formula>0.255</formula>
    </cfRule>
  </conditionalFormatting>
  <conditionalFormatting sqref="AG273:AG275">
    <cfRule type="cellIs" dxfId="5923" priority="5886" operator="between">
      <formula>0.76</formula>
      <formula>0.95</formula>
    </cfRule>
    <cfRule type="cellIs" dxfId="5922" priority="5887" operator="between">
      <formula>0.51</formula>
      <formula>0.75</formula>
    </cfRule>
    <cfRule type="cellIs" dxfId="5921" priority="5888" operator="greaterThan">
      <formula>1</formula>
    </cfRule>
    <cfRule type="cellIs" dxfId="5920" priority="5889" operator="between">
      <formula>0.95</formula>
      <formula>1</formula>
    </cfRule>
    <cfRule type="cellIs" dxfId="5919" priority="5890" stopIfTrue="1" operator="between">
      <formula>0</formula>
      <formula>0.5</formula>
    </cfRule>
  </conditionalFormatting>
  <conditionalFormatting sqref="V273:V275">
    <cfRule type="cellIs" dxfId="5918" priority="5866" operator="between">
      <formula>0.376</formula>
      <formula>0.475</formula>
    </cfRule>
    <cfRule type="cellIs" dxfId="5917" priority="5867" operator="between">
      <formula>0.2551</formula>
      <formula>0.3751</formula>
    </cfRule>
    <cfRule type="cellIs" dxfId="5916" priority="5868" operator="greaterThan">
      <formula>0.505</formula>
    </cfRule>
    <cfRule type="cellIs" dxfId="5915" priority="5869" operator="between">
      <formula>0.48</formula>
      <formula>0.5</formula>
    </cfRule>
    <cfRule type="cellIs" dxfId="5914" priority="5870" stopIfTrue="1" operator="between">
      <formula>0</formula>
      <formula>0.255</formula>
    </cfRule>
  </conditionalFormatting>
  <conditionalFormatting sqref="Z273:Z275">
    <cfRule type="cellIs" dxfId="5913" priority="5861" operator="between">
      <formula>0.76</formula>
      <formula>0.95</formula>
    </cfRule>
    <cfRule type="cellIs" dxfId="5912" priority="5862" operator="between">
      <formula>0.51</formula>
      <formula>0.75</formula>
    </cfRule>
    <cfRule type="cellIs" dxfId="5911" priority="5863" operator="greaterThan">
      <formula>1</formula>
    </cfRule>
    <cfRule type="cellIs" dxfId="5910" priority="5864" operator="between">
      <formula>0.95</formula>
      <formula>1</formula>
    </cfRule>
    <cfRule type="cellIs" dxfId="5909" priority="5865" stopIfTrue="1" operator="between">
      <formula>0</formula>
      <formula>0.5</formula>
    </cfRule>
  </conditionalFormatting>
  <conditionalFormatting sqref="AC273:AC275">
    <cfRule type="cellIs" dxfId="5908" priority="5856" operator="between">
      <formula>0.56251</formula>
      <formula>0.7125</formula>
    </cfRule>
    <cfRule type="cellIs" dxfId="5907" priority="5857" operator="between">
      <formula>0.3751</formula>
      <formula>0.5625</formula>
    </cfRule>
    <cfRule type="cellIs" dxfId="5906" priority="5858" operator="greaterThan">
      <formula>0.751</formula>
    </cfRule>
    <cfRule type="cellIs" dxfId="5905" priority="5859" operator="between">
      <formula>0.71251</formula>
      <formula>0.75</formula>
    </cfRule>
    <cfRule type="cellIs" dxfId="5904" priority="5860" stopIfTrue="1" operator="between">
      <formula>0</formula>
      <formula>0.375</formula>
    </cfRule>
  </conditionalFormatting>
  <conditionalFormatting sqref="AI335">
    <cfRule type="cellIs" dxfId="5903" priority="5851" operator="between">
      <formula>0.76</formula>
      <formula>0.95</formula>
    </cfRule>
    <cfRule type="cellIs" dxfId="5902" priority="5852" operator="between">
      <formula>0.51</formula>
      <formula>0.75</formula>
    </cfRule>
    <cfRule type="cellIs" dxfId="5901" priority="5853" operator="greaterThan">
      <formula>1</formula>
    </cfRule>
    <cfRule type="cellIs" dxfId="5900" priority="5854" operator="between">
      <formula>0.95</formula>
      <formula>1</formula>
    </cfRule>
    <cfRule type="cellIs" dxfId="5899" priority="5855" stopIfTrue="1" operator="between">
      <formula>0</formula>
      <formula>0.5</formula>
    </cfRule>
  </conditionalFormatting>
  <conditionalFormatting sqref="R335">
    <cfRule type="cellIs" dxfId="5898" priority="5841" operator="between">
      <formula>0.76</formula>
      <formula>0.95</formula>
    </cfRule>
    <cfRule type="cellIs" dxfId="5897" priority="5842" operator="between">
      <formula>0.51</formula>
      <formula>0.75</formula>
    </cfRule>
    <cfRule type="cellIs" dxfId="5896" priority="5843" operator="greaterThan">
      <formula>1</formula>
    </cfRule>
    <cfRule type="cellIs" dxfId="5895" priority="5844" operator="between">
      <formula>0.95</formula>
      <formula>1</formula>
    </cfRule>
    <cfRule type="cellIs" dxfId="5894" priority="5845" stopIfTrue="1" operator="between">
      <formula>0</formula>
      <formula>0.5</formula>
    </cfRule>
  </conditionalFormatting>
  <conditionalFormatting sqref="Y335">
    <cfRule type="cellIs" dxfId="5893" priority="5836" operator="between">
      <formula>0.76</formula>
      <formula>0.95</formula>
    </cfRule>
    <cfRule type="cellIs" dxfId="5892" priority="5837" operator="between">
      <formula>0.51</formula>
      <formula>0.75</formula>
    </cfRule>
    <cfRule type="cellIs" dxfId="5891" priority="5838" operator="greaterThan">
      <formula>1</formula>
    </cfRule>
    <cfRule type="cellIs" dxfId="5890" priority="5839" operator="between">
      <formula>0.95</formula>
      <formula>1</formula>
    </cfRule>
    <cfRule type="cellIs" dxfId="5889" priority="5840" stopIfTrue="1" operator="between">
      <formula>0</formula>
      <formula>0.5</formula>
    </cfRule>
  </conditionalFormatting>
  <conditionalFormatting sqref="AF335">
    <cfRule type="cellIs" dxfId="5888" priority="5831" operator="between">
      <formula>0.76</formula>
      <formula>0.95</formula>
    </cfRule>
    <cfRule type="cellIs" dxfId="5887" priority="5832" operator="between">
      <formula>0.51</formula>
      <formula>0.75</formula>
    </cfRule>
    <cfRule type="cellIs" dxfId="5886" priority="5833" operator="greaterThan">
      <formula>1</formula>
    </cfRule>
    <cfRule type="cellIs" dxfId="5885" priority="5834" operator="between">
      <formula>0.95</formula>
      <formula>1</formula>
    </cfRule>
    <cfRule type="cellIs" dxfId="5884" priority="5835" stopIfTrue="1" operator="between">
      <formula>0</formula>
      <formula>0.5</formula>
    </cfRule>
  </conditionalFormatting>
  <conditionalFormatting sqref="AH335">
    <cfRule type="cellIs" dxfId="5883" priority="5826" operator="between">
      <formula>0.76</formula>
      <formula>0.95</formula>
    </cfRule>
    <cfRule type="cellIs" dxfId="5882" priority="5827" operator="between">
      <formula>0.51</formula>
      <formula>0.75</formula>
    </cfRule>
    <cfRule type="cellIs" dxfId="5881" priority="5828" operator="greaterThan">
      <formula>1</formula>
    </cfRule>
    <cfRule type="cellIs" dxfId="5880" priority="5829" operator="between">
      <formula>0.95</formula>
      <formula>1</formula>
    </cfRule>
    <cfRule type="cellIs" dxfId="5879" priority="5830" stopIfTrue="1" operator="between">
      <formula>0</formula>
      <formula>0.5</formula>
    </cfRule>
  </conditionalFormatting>
  <conditionalFormatting sqref="T335">
    <cfRule type="cellIs" dxfId="5878" priority="5811" operator="between">
      <formula>0.3751</formula>
      <formula>0.475</formula>
    </cfRule>
    <cfRule type="cellIs" dxfId="5877" priority="5812" operator="between">
      <formula>0.2551</formula>
      <formula>0.375</formula>
    </cfRule>
    <cfRule type="cellIs" dxfId="5876" priority="5813" operator="greaterThan">
      <formula>0.505</formula>
    </cfRule>
    <cfRule type="cellIs" dxfId="5875" priority="5814" operator="between">
      <formula>0.48</formula>
      <formula>0.5</formula>
    </cfRule>
    <cfRule type="cellIs" dxfId="5874" priority="5815" stopIfTrue="1" operator="between">
      <formula>0</formula>
      <formula>0.255</formula>
    </cfRule>
  </conditionalFormatting>
  <conditionalFormatting sqref="U335">
    <cfRule type="cellIs" dxfId="5873" priority="5806" operator="between">
      <formula>0.376</formula>
      <formula>0.475</formula>
    </cfRule>
    <cfRule type="cellIs" dxfId="5872" priority="5807" operator="between">
      <formula>0.2551</formula>
      <formula>0.3751</formula>
    </cfRule>
    <cfRule type="cellIs" dxfId="5871" priority="5808" operator="greaterThan">
      <formula>0.505</formula>
    </cfRule>
    <cfRule type="cellIs" dxfId="5870" priority="5809" operator="between">
      <formula>0.48</formula>
      <formula>0.5</formula>
    </cfRule>
    <cfRule type="cellIs" dxfId="5869" priority="5810" stopIfTrue="1" operator="between">
      <formula>0</formula>
      <formula>0.255</formula>
    </cfRule>
  </conditionalFormatting>
  <conditionalFormatting sqref="AA335">
    <cfRule type="cellIs" dxfId="5868" priority="5801" operator="between">
      <formula>0.56251</formula>
      <formula>0.7125</formula>
    </cfRule>
    <cfRule type="cellIs" dxfId="5867" priority="5802" operator="between">
      <formula>0.3751</formula>
      <formula>0.5625</formula>
    </cfRule>
    <cfRule type="cellIs" dxfId="5866" priority="5803" operator="greaterThan">
      <formula>0.751</formula>
    </cfRule>
    <cfRule type="cellIs" dxfId="5865" priority="5804" operator="between">
      <formula>0.71251</formula>
      <formula>0.75</formula>
    </cfRule>
    <cfRule type="cellIs" dxfId="5864" priority="5805" stopIfTrue="1" operator="between">
      <formula>0</formula>
      <formula>0.375</formula>
    </cfRule>
  </conditionalFormatting>
  <conditionalFormatting sqref="AB335">
    <cfRule type="cellIs" dxfId="5863" priority="5796" operator="between">
      <formula>0.56251</formula>
      <formula>0.7125</formula>
    </cfRule>
    <cfRule type="cellIs" dxfId="5862" priority="5797" operator="between">
      <formula>0.3751</formula>
      <formula>0.5625</formula>
    </cfRule>
    <cfRule type="cellIs" dxfId="5861" priority="5798" operator="greaterThan">
      <formula>0.751</formula>
    </cfRule>
    <cfRule type="cellIs" dxfId="5860" priority="5799" operator="between">
      <formula>0.71251</formula>
      <formula>0.75</formula>
    </cfRule>
    <cfRule type="cellIs" dxfId="5859" priority="5800" stopIfTrue="1" operator="between">
      <formula>0</formula>
      <formula>0.375</formula>
    </cfRule>
  </conditionalFormatting>
  <conditionalFormatting sqref="S335">
    <cfRule type="cellIs" dxfId="5858" priority="5764" operator="between">
      <formula>0.76</formula>
      <formula>0.95</formula>
    </cfRule>
    <cfRule type="cellIs" dxfId="5857" priority="5765" operator="between">
      <formula>0.51</formula>
      <formula>0.75</formula>
    </cfRule>
    <cfRule type="cellIs" dxfId="5856" priority="5766" operator="greaterThan">
      <formula>1</formula>
    </cfRule>
    <cfRule type="cellIs" dxfId="5855" priority="5767" operator="between">
      <formula>0.95</formula>
      <formula>1</formula>
    </cfRule>
    <cfRule type="cellIs" dxfId="5854" priority="5768" stopIfTrue="1" operator="between">
      <formula>0</formula>
      <formula>0.5</formula>
    </cfRule>
  </conditionalFormatting>
  <conditionalFormatting sqref="AG335">
    <cfRule type="cellIs" dxfId="5853" priority="5779" operator="between">
      <formula>0.76</formula>
      <formula>0.95</formula>
    </cfRule>
    <cfRule type="cellIs" dxfId="5852" priority="5780" operator="between">
      <formula>0.51</formula>
      <formula>0.75</formula>
    </cfRule>
    <cfRule type="cellIs" dxfId="5851" priority="5781" operator="greaterThan">
      <formula>1</formula>
    </cfRule>
    <cfRule type="cellIs" dxfId="5850" priority="5782" operator="between">
      <formula>0.95</formula>
      <formula>1</formula>
    </cfRule>
    <cfRule type="cellIs" dxfId="5849" priority="5783" stopIfTrue="1" operator="between">
      <formula>0</formula>
      <formula>0.5</formula>
    </cfRule>
  </conditionalFormatting>
  <conditionalFormatting sqref="V335">
    <cfRule type="cellIs" dxfId="5848" priority="5759" operator="between">
      <formula>0.376</formula>
      <formula>0.475</formula>
    </cfRule>
    <cfRule type="cellIs" dxfId="5847" priority="5760" operator="between">
      <formula>0.2551</formula>
      <formula>0.3751</formula>
    </cfRule>
    <cfRule type="cellIs" dxfId="5846" priority="5761" operator="greaterThan">
      <formula>0.505</formula>
    </cfRule>
    <cfRule type="cellIs" dxfId="5845" priority="5762" operator="between">
      <formula>0.48</formula>
      <formula>0.5</formula>
    </cfRule>
    <cfRule type="cellIs" dxfId="5844" priority="5763" stopIfTrue="1" operator="between">
      <formula>0</formula>
      <formula>0.255</formula>
    </cfRule>
  </conditionalFormatting>
  <conditionalFormatting sqref="Z335">
    <cfRule type="cellIs" dxfId="5843" priority="5754" operator="between">
      <formula>0.76</formula>
      <formula>0.95</formula>
    </cfRule>
    <cfRule type="cellIs" dxfId="5842" priority="5755" operator="between">
      <formula>0.51</formula>
      <formula>0.75</formula>
    </cfRule>
    <cfRule type="cellIs" dxfId="5841" priority="5756" operator="greaterThan">
      <formula>1</formula>
    </cfRule>
    <cfRule type="cellIs" dxfId="5840" priority="5757" operator="between">
      <formula>0.95</formula>
      <formula>1</formula>
    </cfRule>
    <cfRule type="cellIs" dxfId="5839" priority="5758" stopIfTrue="1" operator="between">
      <formula>0</formula>
      <formula>0.5</formula>
    </cfRule>
  </conditionalFormatting>
  <conditionalFormatting sqref="AC335">
    <cfRule type="cellIs" dxfId="5838" priority="5749" operator="between">
      <formula>0.56251</formula>
      <formula>0.7125</formula>
    </cfRule>
    <cfRule type="cellIs" dxfId="5837" priority="5750" operator="between">
      <formula>0.3751</formula>
      <formula>0.5625</formula>
    </cfRule>
    <cfRule type="cellIs" dxfId="5836" priority="5751" operator="greaterThan">
      <formula>0.751</formula>
    </cfRule>
    <cfRule type="cellIs" dxfId="5835" priority="5752" operator="between">
      <formula>0.71251</formula>
      <formula>0.75</formula>
    </cfRule>
    <cfRule type="cellIs" dxfId="5834" priority="5753" stopIfTrue="1" operator="between">
      <formula>0</formula>
      <formula>0.375</formula>
    </cfRule>
  </conditionalFormatting>
  <conditionalFormatting sqref="AI336">
    <cfRule type="cellIs" dxfId="5833" priority="5744" operator="between">
      <formula>0.76</formula>
      <formula>0.95</formula>
    </cfRule>
    <cfRule type="cellIs" dxfId="5832" priority="5745" operator="between">
      <formula>0.51</formula>
      <formula>0.75</formula>
    </cfRule>
    <cfRule type="cellIs" dxfId="5831" priority="5746" operator="greaterThan">
      <formula>1</formula>
    </cfRule>
    <cfRule type="cellIs" dxfId="5830" priority="5747" operator="between">
      <formula>0.95</formula>
      <formula>1</formula>
    </cfRule>
    <cfRule type="cellIs" dxfId="5829" priority="5748" stopIfTrue="1" operator="between">
      <formula>0</formula>
      <formula>0.5</formula>
    </cfRule>
  </conditionalFormatting>
  <conditionalFormatting sqref="R336">
    <cfRule type="cellIs" dxfId="5828" priority="5734" operator="between">
      <formula>0.76</formula>
      <formula>0.95</formula>
    </cfRule>
    <cfRule type="cellIs" dxfId="5827" priority="5735" operator="between">
      <formula>0.51</formula>
      <formula>0.75</formula>
    </cfRule>
    <cfRule type="cellIs" dxfId="5826" priority="5736" operator="greaterThan">
      <formula>1</formula>
    </cfRule>
    <cfRule type="cellIs" dxfId="5825" priority="5737" operator="between">
      <formula>0.95</formula>
      <formula>1</formula>
    </cfRule>
    <cfRule type="cellIs" dxfId="5824" priority="5738" stopIfTrue="1" operator="between">
      <formula>0</formula>
      <formula>0.5</formula>
    </cfRule>
  </conditionalFormatting>
  <conditionalFormatting sqref="Y336">
    <cfRule type="cellIs" dxfId="5823" priority="5729" operator="between">
      <formula>0.76</formula>
      <formula>0.95</formula>
    </cfRule>
    <cfRule type="cellIs" dxfId="5822" priority="5730" operator="between">
      <formula>0.51</formula>
      <formula>0.75</formula>
    </cfRule>
    <cfRule type="cellIs" dxfId="5821" priority="5731" operator="greaterThan">
      <formula>1</formula>
    </cfRule>
    <cfRule type="cellIs" dxfId="5820" priority="5732" operator="between">
      <formula>0.95</formula>
      <formula>1</formula>
    </cfRule>
    <cfRule type="cellIs" dxfId="5819" priority="5733" stopIfTrue="1" operator="between">
      <formula>0</formula>
      <formula>0.5</formula>
    </cfRule>
  </conditionalFormatting>
  <conditionalFormatting sqref="AF336">
    <cfRule type="cellIs" dxfId="5818" priority="5724" operator="between">
      <formula>0.76</formula>
      <formula>0.95</formula>
    </cfRule>
    <cfRule type="cellIs" dxfId="5817" priority="5725" operator="between">
      <formula>0.51</formula>
      <formula>0.75</formula>
    </cfRule>
    <cfRule type="cellIs" dxfId="5816" priority="5726" operator="greaterThan">
      <formula>1</formula>
    </cfRule>
    <cfRule type="cellIs" dxfId="5815" priority="5727" operator="between">
      <formula>0.95</formula>
      <formula>1</formula>
    </cfRule>
    <cfRule type="cellIs" dxfId="5814" priority="5728" stopIfTrue="1" operator="between">
      <formula>0</formula>
      <formula>0.5</formula>
    </cfRule>
  </conditionalFormatting>
  <conditionalFormatting sqref="AH336">
    <cfRule type="cellIs" dxfId="5813" priority="5719" operator="between">
      <formula>0.76</formula>
      <formula>0.95</formula>
    </cfRule>
    <cfRule type="cellIs" dxfId="5812" priority="5720" operator="between">
      <formula>0.51</formula>
      <formula>0.75</formula>
    </cfRule>
    <cfRule type="cellIs" dxfId="5811" priority="5721" operator="greaterThan">
      <formula>1</formula>
    </cfRule>
    <cfRule type="cellIs" dxfId="5810" priority="5722" operator="between">
      <formula>0.95</formula>
      <formula>1</formula>
    </cfRule>
    <cfRule type="cellIs" dxfId="5809" priority="5723" stopIfTrue="1" operator="between">
      <formula>0</formula>
      <formula>0.5</formula>
    </cfRule>
  </conditionalFormatting>
  <conditionalFormatting sqref="T336">
    <cfRule type="cellIs" dxfId="5808" priority="5704" operator="between">
      <formula>0.3751</formula>
      <formula>0.475</formula>
    </cfRule>
    <cfRule type="cellIs" dxfId="5807" priority="5705" operator="between">
      <formula>0.2551</formula>
      <formula>0.375</formula>
    </cfRule>
    <cfRule type="cellIs" dxfId="5806" priority="5706" operator="greaterThan">
      <formula>0.505</formula>
    </cfRule>
    <cfRule type="cellIs" dxfId="5805" priority="5707" operator="between">
      <formula>0.48</formula>
      <formula>0.5</formula>
    </cfRule>
    <cfRule type="cellIs" dxfId="5804" priority="5708" stopIfTrue="1" operator="between">
      <formula>0</formula>
      <formula>0.255</formula>
    </cfRule>
  </conditionalFormatting>
  <conditionalFormatting sqref="U336">
    <cfRule type="cellIs" dxfId="5803" priority="5699" operator="between">
      <formula>0.376</formula>
      <formula>0.475</formula>
    </cfRule>
    <cfRule type="cellIs" dxfId="5802" priority="5700" operator="between">
      <formula>0.2551</formula>
      <formula>0.3751</formula>
    </cfRule>
    <cfRule type="cellIs" dxfId="5801" priority="5701" operator="greaterThan">
      <formula>0.505</formula>
    </cfRule>
    <cfRule type="cellIs" dxfId="5800" priority="5702" operator="between">
      <formula>0.48</formula>
      <formula>0.5</formula>
    </cfRule>
    <cfRule type="cellIs" dxfId="5799" priority="5703" stopIfTrue="1" operator="between">
      <formula>0</formula>
      <formula>0.255</formula>
    </cfRule>
  </conditionalFormatting>
  <conditionalFormatting sqref="AA336">
    <cfRule type="cellIs" dxfId="5798" priority="5694" operator="between">
      <formula>0.56251</formula>
      <formula>0.7125</formula>
    </cfRule>
    <cfRule type="cellIs" dxfId="5797" priority="5695" operator="between">
      <formula>0.3751</formula>
      <formula>0.5625</formula>
    </cfRule>
    <cfRule type="cellIs" dxfId="5796" priority="5696" operator="greaterThan">
      <formula>0.751</formula>
    </cfRule>
    <cfRule type="cellIs" dxfId="5795" priority="5697" operator="between">
      <formula>0.71251</formula>
      <formula>0.75</formula>
    </cfRule>
    <cfRule type="cellIs" dxfId="5794" priority="5698" stopIfTrue="1" operator="between">
      <formula>0</formula>
      <formula>0.375</formula>
    </cfRule>
  </conditionalFormatting>
  <conditionalFormatting sqref="AB336">
    <cfRule type="cellIs" dxfId="5793" priority="5689" operator="between">
      <formula>0.56251</formula>
      <formula>0.7125</formula>
    </cfRule>
    <cfRule type="cellIs" dxfId="5792" priority="5690" operator="between">
      <formula>0.3751</formula>
      <formula>0.5625</formula>
    </cfRule>
    <cfRule type="cellIs" dxfId="5791" priority="5691" operator="greaterThan">
      <formula>0.751</formula>
    </cfRule>
    <cfRule type="cellIs" dxfId="5790" priority="5692" operator="between">
      <formula>0.71251</formula>
      <formula>0.75</formula>
    </cfRule>
    <cfRule type="cellIs" dxfId="5789" priority="5693" stopIfTrue="1" operator="between">
      <formula>0</formula>
      <formula>0.375</formula>
    </cfRule>
  </conditionalFormatting>
  <conditionalFormatting sqref="S336">
    <cfRule type="cellIs" dxfId="5788" priority="5657" operator="between">
      <formula>0.76</formula>
      <formula>0.95</formula>
    </cfRule>
    <cfRule type="cellIs" dxfId="5787" priority="5658" operator="between">
      <formula>0.51</formula>
      <formula>0.75</formula>
    </cfRule>
    <cfRule type="cellIs" dxfId="5786" priority="5659" operator="greaterThan">
      <formula>1</formula>
    </cfRule>
    <cfRule type="cellIs" dxfId="5785" priority="5660" operator="between">
      <formula>0.95</formula>
      <formula>1</formula>
    </cfRule>
    <cfRule type="cellIs" dxfId="5784" priority="5661" stopIfTrue="1" operator="between">
      <formula>0</formula>
      <formula>0.5</formula>
    </cfRule>
  </conditionalFormatting>
  <conditionalFormatting sqref="V336">
    <cfRule type="cellIs" dxfId="5783" priority="5652" operator="between">
      <formula>0.376</formula>
      <formula>0.475</formula>
    </cfRule>
    <cfRule type="cellIs" dxfId="5782" priority="5653" operator="between">
      <formula>0.2551</formula>
      <formula>0.3751</formula>
    </cfRule>
    <cfRule type="cellIs" dxfId="5781" priority="5654" operator="greaterThan">
      <formula>0.505</formula>
    </cfRule>
    <cfRule type="cellIs" dxfId="5780" priority="5655" operator="between">
      <formula>0.48</formula>
      <formula>0.5</formula>
    </cfRule>
    <cfRule type="cellIs" dxfId="5779" priority="5656" stopIfTrue="1" operator="between">
      <formula>0</formula>
      <formula>0.255</formula>
    </cfRule>
  </conditionalFormatting>
  <conditionalFormatting sqref="S187:S188">
    <cfRule type="cellIs" dxfId="5778" priority="4868" operator="between">
      <formula>0.76</formula>
      <formula>0.95</formula>
    </cfRule>
    <cfRule type="cellIs" dxfId="5777" priority="4869" operator="between">
      <formula>0.51</formula>
      <formula>0.75</formula>
    </cfRule>
    <cfRule type="cellIs" dxfId="5776" priority="4870" operator="greaterThan">
      <formula>1</formula>
    </cfRule>
    <cfRule type="cellIs" dxfId="5775" priority="4871" operator="between">
      <formula>0.95</formula>
      <formula>1</formula>
    </cfRule>
    <cfRule type="cellIs" dxfId="5774" priority="4872" stopIfTrue="1" operator="between">
      <formula>0</formula>
      <formula>0.5</formula>
    </cfRule>
  </conditionalFormatting>
  <conditionalFormatting sqref="AC336">
    <cfRule type="cellIs" dxfId="5773" priority="5642" operator="between">
      <formula>0.56251</formula>
      <formula>0.7125</formula>
    </cfRule>
    <cfRule type="cellIs" dxfId="5772" priority="5643" operator="between">
      <formula>0.3751</formula>
      <formula>0.5625</formula>
    </cfRule>
    <cfRule type="cellIs" dxfId="5771" priority="5644" operator="greaterThan">
      <formula>0.751</formula>
    </cfRule>
    <cfRule type="cellIs" dxfId="5770" priority="5645" operator="between">
      <formula>0.71251</formula>
      <formula>0.75</formula>
    </cfRule>
    <cfRule type="cellIs" dxfId="5769" priority="5646" stopIfTrue="1" operator="between">
      <formula>0</formula>
      <formula>0.375</formula>
    </cfRule>
  </conditionalFormatting>
  <conditionalFormatting sqref="Z336">
    <cfRule type="cellIs" dxfId="5768" priority="5627" operator="between">
      <formula>0.76</formula>
      <formula>0.95</formula>
    </cfRule>
    <cfRule type="cellIs" dxfId="5767" priority="5628" operator="between">
      <formula>0.51</formula>
      <formula>0.75</formula>
    </cfRule>
    <cfRule type="cellIs" dxfId="5766" priority="5629" operator="greaterThan">
      <formula>1</formula>
    </cfRule>
    <cfRule type="cellIs" dxfId="5765" priority="5630" operator="between">
      <formula>0.95</formula>
      <formula>1</formula>
    </cfRule>
    <cfRule type="cellIs" dxfId="5764" priority="5631" stopIfTrue="1" operator="between">
      <formula>0</formula>
      <formula>0.5</formula>
    </cfRule>
  </conditionalFormatting>
  <conditionalFormatting sqref="AG336">
    <cfRule type="cellIs" dxfId="5763" priority="5622" operator="between">
      <formula>0.76</formula>
      <formula>0.95</formula>
    </cfRule>
    <cfRule type="cellIs" dxfId="5762" priority="5623" operator="between">
      <formula>0.51</formula>
      <formula>0.75</formula>
    </cfRule>
    <cfRule type="cellIs" dxfId="5761" priority="5624" operator="greaterThan">
      <formula>1</formula>
    </cfRule>
    <cfRule type="cellIs" dxfId="5760" priority="5625" operator="between">
      <formula>0.95</formula>
      <formula>1</formula>
    </cfRule>
    <cfRule type="cellIs" dxfId="5759" priority="5626" stopIfTrue="1" operator="between">
      <formula>0</formula>
      <formula>0.5</formula>
    </cfRule>
  </conditionalFormatting>
  <conditionalFormatting sqref="AI337 AI339">
    <cfRule type="cellIs" dxfId="5758" priority="5617" operator="between">
      <formula>0.76</formula>
      <formula>0.95</formula>
    </cfRule>
    <cfRule type="cellIs" dxfId="5757" priority="5618" operator="between">
      <formula>0.51</formula>
      <formula>0.75</formula>
    </cfRule>
    <cfRule type="cellIs" dxfId="5756" priority="5619" operator="greaterThan">
      <formula>1</formula>
    </cfRule>
    <cfRule type="cellIs" dxfId="5755" priority="5620" operator="between">
      <formula>0.95</formula>
      <formula>1</formula>
    </cfRule>
    <cfRule type="cellIs" dxfId="5754" priority="5621" stopIfTrue="1" operator="between">
      <formula>0</formula>
      <formula>0.5</formula>
    </cfRule>
  </conditionalFormatting>
  <conditionalFormatting sqref="R337 R339">
    <cfRule type="cellIs" dxfId="5753" priority="5607" operator="between">
      <formula>0.76</formula>
      <formula>0.95</formula>
    </cfRule>
    <cfRule type="cellIs" dxfId="5752" priority="5608" operator="between">
      <formula>0.51</formula>
      <formula>0.75</formula>
    </cfRule>
    <cfRule type="cellIs" dxfId="5751" priority="5609" operator="greaterThan">
      <formula>1</formula>
    </cfRule>
    <cfRule type="cellIs" dxfId="5750" priority="5610" operator="between">
      <formula>0.95</formula>
      <formula>1</formula>
    </cfRule>
    <cfRule type="cellIs" dxfId="5749" priority="5611" stopIfTrue="1" operator="between">
      <formula>0</formula>
      <formula>0.5</formula>
    </cfRule>
  </conditionalFormatting>
  <conditionalFormatting sqref="Y337 Y339">
    <cfRule type="cellIs" dxfId="5748" priority="5602" operator="between">
      <formula>0.76</formula>
      <formula>0.95</formula>
    </cfRule>
    <cfRule type="cellIs" dxfId="5747" priority="5603" operator="between">
      <formula>0.51</formula>
      <formula>0.75</formula>
    </cfRule>
    <cfRule type="cellIs" dxfId="5746" priority="5604" operator="greaterThan">
      <formula>1</formula>
    </cfRule>
    <cfRule type="cellIs" dxfId="5745" priority="5605" operator="between">
      <formula>0.95</formula>
      <formula>1</formula>
    </cfRule>
    <cfRule type="cellIs" dxfId="5744" priority="5606" stopIfTrue="1" operator="between">
      <formula>0</formula>
      <formula>0.5</formula>
    </cfRule>
  </conditionalFormatting>
  <conditionalFormatting sqref="AF337 AF339">
    <cfRule type="cellIs" dxfId="5743" priority="5597" operator="between">
      <formula>0.76</formula>
      <formula>0.95</formula>
    </cfRule>
    <cfRule type="cellIs" dxfId="5742" priority="5598" operator="between">
      <formula>0.51</formula>
      <formula>0.75</formula>
    </cfRule>
    <cfRule type="cellIs" dxfId="5741" priority="5599" operator="greaterThan">
      <formula>1</formula>
    </cfRule>
    <cfRule type="cellIs" dxfId="5740" priority="5600" operator="between">
      <formula>0.95</formula>
      <formula>1</formula>
    </cfRule>
    <cfRule type="cellIs" dxfId="5739" priority="5601" stopIfTrue="1" operator="between">
      <formula>0</formula>
      <formula>0.5</formula>
    </cfRule>
  </conditionalFormatting>
  <conditionalFormatting sqref="AH337 AH339">
    <cfRule type="cellIs" dxfId="5738" priority="5592" operator="between">
      <formula>0.76</formula>
      <formula>0.95</formula>
    </cfRule>
    <cfRule type="cellIs" dxfId="5737" priority="5593" operator="between">
      <formula>0.51</formula>
      <formula>0.75</formula>
    </cfRule>
    <cfRule type="cellIs" dxfId="5736" priority="5594" operator="greaterThan">
      <formula>1</formula>
    </cfRule>
    <cfRule type="cellIs" dxfId="5735" priority="5595" operator="between">
      <formula>0.95</formula>
      <formula>1</formula>
    </cfRule>
    <cfRule type="cellIs" dxfId="5734" priority="5596" stopIfTrue="1" operator="between">
      <formula>0</formula>
      <formula>0.5</formula>
    </cfRule>
  </conditionalFormatting>
  <conditionalFormatting sqref="T337 T339">
    <cfRule type="cellIs" dxfId="5733" priority="5577" operator="between">
      <formula>0.3751</formula>
      <formula>0.475</formula>
    </cfRule>
    <cfRule type="cellIs" dxfId="5732" priority="5578" operator="between">
      <formula>0.2551</formula>
      <formula>0.375</formula>
    </cfRule>
    <cfRule type="cellIs" dxfId="5731" priority="5579" operator="greaterThan">
      <formula>0.505</formula>
    </cfRule>
    <cfRule type="cellIs" dxfId="5730" priority="5580" operator="between">
      <formula>0.48</formula>
      <formula>0.5</formula>
    </cfRule>
    <cfRule type="cellIs" dxfId="5729" priority="5581" stopIfTrue="1" operator="between">
      <formula>0</formula>
      <formula>0.255</formula>
    </cfRule>
  </conditionalFormatting>
  <conditionalFormatting sqref="U337 U339">
    <cfRule type="cellIs" dxfId="5728" priority="5572" operator="between">
      <formula>0.376</formula>
      <formula>0.475</formula>
    </cfRule>
    <cfRule type="cellIs" dxfId="5727" priority="5573" operator="between">
      <formula>0.2551</formula>
      <formula>0.3751</formula>
    </cfRule>
    <cfRule type="cellIs" dxfId="5726" priority="5574" operator="greaterThan">
      <formula>0.505</formula>
    </cfRule>
    <cfRule type="cellIs" dxfId="5725" priority="5575" operator="between">
      <formula>0.48</formula>
      <formula>0.5</formula>
    </cfRule>
    <cfRule type="cellIs" dxfId="5724" priority="5576" stopIfTrue="1" operator="between">
      <formula>0</formula>
      <formula>0.255</formula>
    </cfRule>
  </conditionalFormatting>
  <conditionalFormatting sqref="AA337 AA339">
    <cfRule type="cellIs" dxfId="5723" priority="5567" operator="between">
      <formula>0.56251</formula>
      <formula>0.7125</formula>
    </cfRule>
    <cfRule type="cellIs" dxfId="5722" priority="5568" operator="between">
      <formula>0.3751</formula>
      <formula>0.5625</formula>
    </cfRule>
    <cfRule type="cellIs" dxfId="5721" priority="5569" operator="greaterThan">
      <formula>0.751</formula>
    </cfRule>
    <cfRule type="cellIs" dxfId="5720" priority="5570" operator="between">
      <formula>0.71251</formula>
      <formula>0.75</formula>
    </cfRule>
    <cfRule type="cellIs" dxfId="5719" priority="5571" stopIfTrue="1" operator="between">
      <formula>0</formula>
      <formula>0.375</formula>
    </cfRule>
  </conditionalFormatting>
  <conditionalFormatting sqref="AB337 AB339">
    <cfRule type="cellIs" dxfId="5718" priority="5562" operator="between">
      <formula>0.56251</formula>
      <formula>0.7125</formula>
    </cfRule>
    <cfRule type="cellIs" dxfId="5717" priority="5563" operator="between">
      <formula>0.3751</formula>
      <formula>0.5625</formula>
    </cfRule>
    <cfRule type="cellIs" dxfId="5716" priority="5564" operator="greaterThan">
      <formula>0.751</formula>
    </cfRule>
    <cfRule type="cellIs" dxfId="5715" priority="5565" operator="between">
      <formula>0.71251</formula>
      <formula>0.75</formula>
    </cfRule>
    <cfRule type="cellIs" dxfId="5714" priority="5566" stopIfTrue="1" operator="between">
      <formula>0</formula>
      <formula>0.375</formula>
    </cfRule>
  </conditionalFormatting>
  <conditionalFormatting sqref="S337 S339">
    <cfRule type="cellIs" dxfId="5713" priority="5545" operator="between">
      <formula>0.76</formula>
      <formula>0.95</formula>
    </cfRule>
    <cfRule type="cellIs" dxfId="5712" priority="5546" operator="between">
      <formula>0.51</formula>
      <formula>0.75</formula>
    </cfRule>
    <cfRule type="cellIs" dxfId="5711" priority="5547" operator="greaterThan">
      <formula>1</formula>
    </cfRule>
    <cfRule type="cellIs" dxfId="5710" priority="5548" operator="between">
      <formula>0.95</formula>
      <formula>1</formula>
    </cfRule>
    <cfRule type="cellIs" dxfId="5709" priority="5549" stopIfTrue="1" operator="between">
      <formula>0</formula>
      <formula>0.5</formula>
    </cfRule>
  </conditionalFormatting>
  <conditionalFormatting sqref="V337 V339">
    <cfRule type="cellIs" dxfId="5708" priority="5540" operator="between">
      <formula>0.376</formula>
      <formula>0.475</formula>
    </cfRule>
    <cfRule type="cellIs" dxfId="5707" priority="5541" operator="between">
      <formula>0.2551</formula>
      <formula>0.3751</formula>
    </cfRule>
    <cfRule type="cellIs" dxfId="5706" priority="5542" operator="greaterThan">
      <formula>0.505</formula>
    </cfRule>
    <cfRule type="cellIs" dxfId="5705" priority="5543" operator="between">
      <formula>0.48</formula>
      <formula>0.5</formula>
    </cfRule>
    <cfRule type="cellIs" dxfId="5704" priority="5544" stopIfTrue="1" operator="between">
      <formula>0</formula>
      <formula>0.255</formula>
    </cfRule>
  </conditionalFormatting>
  <conditionalFormatting sqref="AC337 AC339">
    <cfRule type="cellIs" dxfId="5703" priority="5535" operator="between">
      <formula>0.56251</formula>
      <formula>0.7125</formula>
    </cfRule>
    <cfRule type="cellIs" dxfId="5702" priority="5536" operator="between">
      <formula>0.3751</formula>
      <formula>0.5625</formula>
    </cfRule>
    <cfRule type="cellIs" dxfId="5701" priority="5537" operator="greaterThan">
      <formula>0.751</formula>
    </cfRule>
    <cfRule type="cellIs" dxfId="5700" priority="5538" operator="between">
      <formula>0.71251</formula>
      <formula>0.75</formula>
    </cfRule>
    <cfRule type="cellIs" dxfId="5699" priority="5539" stopIfTrue="1" operator="between">
      <formula>0</formula>
      <formula>0.375</formula>
    </cfRule>
  </conditionalFormatting>
  <conditionalFormatting sqref="Z337 Z339">
    <cfRule type="cellIs" dxfId="5698" priority="5520" operator="between">
      <formula>0.76</formula>
      <formula>0.95</formula>
    </cfRule>
    <cfRule type="cellIs" dxfId="5697" priority="5521" operator="between">
      <formula>0.51</formula>
      <formula>0.75</formula>
    </cfRule>
    <cfRule type="cellIs" dxfId="5696" priority="5522" operator="greaterThan">
      <formula>1</formula>
    </cfRule>
    <cfRule type="cellIs" dxfId="5695" priority="5523" operator="between">
      <formula>0.95</formula>
      <formula>1</formula>
    </cfRule>
    <cfRule type="cellIs" dxfId="5694" priority="5524" stopIfTrue="1" operator="between">
      <formula>0</formula>
      <formula>0.5</formula>
    </cfRule>
  </conditionalFormatting>
  <conditionalFormatting sqref="AG337 AG339">
    <cfRule type="cellIs" dxfId="5693" priority="5515" operator="between">
      <formula>0.76</formula>
      <formula>0.95</formula>
    </cfRule>
    <cfRule type="cellIs" dxfId="5692" priority="5516" operator="between">
      <formula>0.51</formula>
      <formula>0.75</formula>
    </cfRule>
    <cfRule type="cellIs" dxfId="5691" priority="5517" operator="greaterThan">
      <formula>1</formula>
    </cfRule>
    <cfRule type="cellIs" dxfId="5690" priority="5518" operator="between">
      <formula>0.95</formula>
      <formula>1</formula>
    </cfRule>
    <cfRule type="cellIs" dxfId="5689" priority="5519" stopIfTrue="1" operator="between">
      <formula>0</formula>
      <formula>0.5</formula>
    </cfRule>
  </conditionalFormatting>
  <conditionalFormatting sqref="Y282 AF282 R282 AH282:AI282">
    <cfRule type="cellIs" dxfId="5688" priority="5510" operator="between">
      <formula>0.76</formula>
      <formula>0.95</formula>
    </cfRule>
    <cfRule type="cellIs" dxfId="5687" priority="5511" operator="between">
      <formula>0.51</formula>
      <formula>0.75</formula>
    </cfRule>
    <cfRule type="cellIs" dxfId="5686" priority="5512" operator="greaterThan">
      <formula>1</formula>
    </cfRule>
    <cfRule type="cellIs" dxfId="5685" priority="5513" operator="between">
      <formula>0.95</formula>
      <formula>1</formula>
    </cfRule>
    <cfRule type="cellIs" dxfId="5684" priority="5514" stopIfTrue="1" operator="between">
      <formula>0</formula>
      <formula>0.5</formula>
    </cfRule>
  </conditionalFormatting>
  <conditionalFormatting sqref="T282">
    <cfRule type="cellIs" dxfId="5683" priority="5505" operator="between">
      <formula>0.3751</formula>
      <formula>0.475</formula>
    </cfRule>
    <cfRule type="cellIs" dxfId="5682" priority="5506" operator="between">
      <formula>0.2551</formula>
      <formula>0.375</formula>
    </cfRule>
    <cfRule type="cellIs" dxfId="5681" priority="5507" operator="greaterThan">
      <formula>0.505</formula>
    </cfRule>
    <cfRule type="cellIs" dxfId="5680" priority="5508" operator="between">
      <formula>0.48</formula>
      <formula>0.5</formula>
    </cfRule>
    <cfRule type="cellIs" dxfId="5679" priority="5509" stopIfTrue="1" operator="between">
      <formula>0</formula>
      <formula>0.255</formula>
    </cfRule>
  </conditionalFormatting>
  <conditionalFormatting sqref="AA282:AB282">
    <cfRule type="cellIs" dxfId="5678" priority="5500" operator="between">
      <formula>0.56251</formula>
      <formula>0.7125</formula>
    </cfRule>
    <cfRule type="cellIs" dxfId="5677" priority="5501" operator="between">
      <formula>0.3751</formula>
      <formula>0.5625</formula>
    </cfRule>
    <cfRule type="cellIs" dxfId="5676" priority="5502" operator="greaterThan">
      <formula>0.751</formula>
    </cfRule>
    <cfRule type="cellIs" dxfId="5675" priority="5503" operator="between">
      <formula>0.71251</formula>
      <formula>0.75</formula>
    </cfRule>
    <cfRule type="cellIs" dxfId="5674" priority="5504" stopIfTrue="1" operator="between">
      <formula>0</formula>
      <formula>0.375</formula>
    </cfRule>
  </conditionalFormatting>
  <conditionalFormatting sqref="U282">
    <cfRule type="cellIs" dxfId="5673" priority="5490" operator="between">
      <formula>0.376</formula>
      <formula>0.475</formula>
    </cfRule>
    <cfRule type="cellIs" dxfId="5672" priority="5491" operator="between">
      <formula>0.2551</formula>
      <formula>0.3751</formula>
    </cfRule>
    <cfRule type="cellIs" dxfId="5671" priority="5492" operator="greaterThan">
      <formula>0.505</formula>
    </cfRule>
    <cfRule type="cellIs" dxfId="5670" priority="5493" operator="between">
      <formula>0.48</formula>
      <formula>0.5</formula>
    </cfRule>
    <cfRule type="cellIs" dxfId="5669" priority="5494" stopIfTrue="1" operator="between">
      <formula>0</formula>
      <formula>0.255</formula>
    </cfRule>
  </conditionalFormatting>
  <conditionalFormatting sqref="AG282">
    <cfRule type="cellIs" dxfId="5668" priority="5472" operator="between">
      <formula>0.76</formula>
      <formula>0.95</formula>
    </cfRule>
    <cfRule type="cellIs" dxfId="5667" priority="5473" operator="between">
      <formula>0.51</formula>
      <formula>0.75</formula>
    </cfRule>
    <cfRule type="cellIs" dxfId="5666" priority="5474" operator="greaterThan">
      <formula>1</formula>
    </cfRule>
    <cfRule type="cellIs" dxfId="5665" priority="5475" operator="between">
      <formula>0.95</formula>
      <formula>1</formula>
    </cfRule>
    <cfRule type="cellIs" dxfId="5664" priority="5476" stopIfTrue="1" operator="between">
      <formula>0</formula>
      <formula>0.5</formula>
    </cfRule>
  </conditionalFormatting>
  <conditionalFormatting sqref="S282">
    <cfRule type="cellIs" dxfId="5663" priority="5467" operator="between">
      <formula>0.76</formula>
      <formula>0.95</formula>
    </cfRule>
    <cfRule type="cellIs" dxfId="5662" priority="5468" operator="between">
      <formula>0.51</formula>
      <formula>0.75</formula>
    </cfRule>
    <cfRule type="cellIs" dxfId="5661" priority="5469" operator="greaterThan">
      <formula>1</formula>
    </cfRule>
    <cfRule type="cellIs" dxfId="5660" priority="5470" operator="between">
      <formula>0.95</formula>
      <formula>1</formula>
    </cfRule>
    <cfRule type="cellIs" dxfId="5659" priority="5471" stopIfTrue="1" operator="between">
      <formula>0</formula>
      <formula>0.5</formula>
    </cfRule>
  </conditionalFormatting>
  <conditionalFormatting sqref="V282">
    <cfRule type="cellIs" dxfId="5658" priority="5462" operator="between">
      <formula>0.376</formula>
      <formula>0.475</formula>
    </cfRule>
    <cfRule type="cellIs" dxfId="5657" priority="5463" operator="between">
      <formula>0.2551</formula>
      <formula>0.3751</formula>
    </cfRule>
    <cfRule type="cellIs" dxfId="5656" priority="5464" operator="greaterThan">
      <formula>0.505</formula>
    </cfRule>
    <cfRule type="cellIs" dxfId="5655" priority="5465" operator="between">
      <formula>0.48</formula>
      <formula>0.5</formula>
    </cfRule>
    <cfRule type="cellIs" dxfId="5654" priority="5466" stopIfTrue="1" operator="between">
      <formula>0</formula>
      <formula>0.255</formula>
    </cfRule>
  </conditionalFormatting>
  <conditionalFormatting sqref="Z282">
    <cfRule type="cellIs" dxfId="5653" priority="5457" operator="between">
      <formula>0.76</formula>
      <formula>0.95</formula>
    </cfRule>
    <cfRule type="cellIs" dxfId="5652" priority="5458" operator="between">
      <formula>0.51</formula>
      <formula>0.75</formula>
    </cfRule>
    <cfRule type="cellIs" dxfId="5651" priority="5459" operator="greaterThan">
      <formula>1</formula>
    </cfRule>
    <cfRule type="cellIs" dxfId="5650" priority="5460" operator="between">
      <formula>0.95</formula>
      <formula>1</formula>
    </cfRule>
    <cfRule type="cellIs" dxfId="5649" priority="5461" stopIfTrue="1" operator="between">
      <formula>0</formula>
      <formula>0.5</formula>
    </cfRule>
  </conditionalFormatting>
  <conditionalFormatting sqref="AC282">
    <cfRule type="cellIs" dxfId="5648" priority="5452" operator="between">
      <formula>0.56251</formula>
      <formula>0.7125</formula>
    </cfRule>
    <cfRule type="cellIs" dxfId="5647" priority="5453" operator="between">
      <formula>0.3751</formula>
      <formula>0.5625</formula>
    </cfRule>
    <cfRule type="cellIs" dxfId="5646" priority="5454" operator="greaterThan">
      <formula>0.751</formula>
    </cfRule>
    <cfRule type="cellIs" dxfId="5645" priority="5455" operator="between">
      <formula>0.71251</formula>
      <formula>0.75</formula>
    </cfRule>
    <cfRule type="cellIs" dxfId="5644" priority="5456" stopIfTrue="1" operator="between">
      <formula>0</formula>
      <formula>0.375</formula>
    </cfRule>
  </conditionalFormatting>
  <conditionalFormatting sqref="AG281">
    <cfRule type="cellIs" dxfId="5643" priority="5447" operator="between">
      <formula>0.76</formula>
      <formula>0.95</formula>
    </cfRule>
    <cfRule type="cellIs" dxfId="5642" priority="5448" operator="between">
      <formula>0.51</formula>
      <formula>0.75</formula>
    </cfRule>
    <cfRule type="cellIs" dxfId="5641" priority="5449" operator="greaterThan">
      <formula>1</formula>
    </cfRule>
    <cfRule type="cellIs" dxfId="5640" priority="5450" operator="between">
      <formula>0.95</formula>
      <formula>1</formula>
    </cfRule>
    <cfRule type="cellIs" dxfId="5639" priority="5451" stopIfTrue="1" operator="between">
      <formula>0</formula>
      <formula>0.5</formula>
    </cfRule>
  </conditionalFormatting>
  <conditionalFormatting sqref="R184 Y184 AF184 AH184:AI184">
    <cfRule type="cellIs" dxfId="5638" priority="5442" operator="between">
      <formula>0.76</formula>
      <formula>0.95</formula>
    </cfRule>
    <cfRule type="cellIs" dxfId="5637" priority="5443" operator="between">
      <formula>0.51</formula>
      <formula>0.75</formula>
    </cfRule>
    <cfRule type="cellIs" dxfId="5636" priority="5444" operator="greaterThan">
      <formula>1</formula>
    </cfRule>
    <cfRule type="cellIs" dxfId="5635" priority="5445" operator="between">
      <formula>0.95</formula>
      <formula>1</formula>
    </cfRule>
    <cfRule type="cellIs" dxfId="5634" priority="5446" stopIfTrue="1" operator="between">
      <formula>0</formula>
      <formula>0.5</formula>
    </cfRule>
  </conditionalFormatting>
  <conditionalFormatting sqref="T184">
    <cfRule type="cellIs" dxfId="5633" priority="5437" operator="between">
      <formula>0.3751</formula>
      <formula>0.475</formula>
    </cfRule>
    <cfRule type="cellIs" dxfId="5632" priority="5438" operator="between">
      <formula>0.2551</formula>
      <formula>0.375</formula>
    </cfRule>
    <cfRule type="cellIs" dxfId="5631" priority="5439" operator="greaterThan">
      <formula>0.505</formula>
    </cfRule>
    <cfRule type="cellIs" dxfId="5630" priority="5440" operator="between">
      <formula>0.48</formula>
      <formula>0.5</formula>
    </cfRule>
    <cfRule type="cellIs" dxfId="5629" priority="5441" stopIfTrue="1" operator="between">
      <formula>0</formula>
      <formula>0.255</formula>
    </cfRule>
  </conditionalFormatting>
  <conditionalFormatting sqref="AA184:AB184">
    <cfRule type="cellIs" dxfId="5628" priority="5432" operator="between">
      <formula>0.56251</formula>
      <formula>0.7125</formula>
    </cfRule>
    <cfRule type="cellIs" dxfId="5627" priority="5433" operator="between">
      <formula>0.3751</formula>
      <formula>0.5625</formula>
    </cfRule>
    <cfRule type="cellIs" dxfId="5626" priority="5434" operator="greaterThan">
      <formula>0.751</formula>
    </cfRule>
    <cfRule type="cellIs" dxfId="5625" priority="5435" operator="between">
      <formula>0.71251</formula>
      <formula>0.75</formula>
    </cfRule>
    <cfRule type="cellIs" dxfId="5624" priority="5436" stopIfTrue="1" operator="between">
      <formula>0</formula>
      <formula>0.375</formula>
    </cfRule>
  </conditionalFormatting>
  <conditionalFormatting sqref="U184">
    <cfRule type="cellIs" dxfId="5623" priority="5422" operator="between">
      <formula>0.376</formula>
      <formula>0.475</formula>
    </cfRule>
    <cfRule type="cellIs" dxfId="5622" priority="5423" operator="between">
      <formula>0.2551</formula>
      <formula>0.3751</formula>
    </cfRule>
    <cfRule type="cellIs" dxfId="5621" priority="5424" operator="greaterThan">
      <formula>0.505</formula>
    </cfRule>
    <cfRule type="cellIs" dxfId="5620" priority="5425" operator="between">
      <formula>0.48</formula>
      <formula>0.5</formula>
    </cfRule>
    <cfRule type="cellIs" dxfId="5619" priority="5426" stopIfTrue="1" operator="between">
      <formula>0</formula>
      <formula>0.255</formula>
    </cfRule>
  </conditionalFormatting>
  <conditionalFormatting sqref="AG184">
    <cfRule type="cellIs" dxfId="5618" priority="5414" operator="between">
      <formula>0.76</formula>
      <formula>0.95</formula>
    </cfRule>
    <cfRule type="cellIs" dxfId="5617" priority="5415" operator="between">
      <formula>0.51</formula>
      <formula>0.75</formula>
    </cfRule>
    <cfRule type="cellIs" dxfId="5616" priority="5416" operator="greaterThan">
      <formula>1</formula>
    </cfRule>
    <cfRule type="cellIs" dxfId="5615" priority="5417" operator="between">
      <formula>0.95</formula>
      <formula>1</formula>
    </cfRule>
    <cfRule type="cellIs" dxfId="5614" priority="5418" stopIfTrue="1" operator="between">
      <formula>0</formula>
      <formula>0.5</formula>
    </cfRule>
  </conditionalFormatting>
  <conditionalFormatting sqref="Z184">
    <cfRule type="cellIs" dxfId="5613" priority="5409" operator="between">
      <formula>0.76</formula>
      <formula>0.95</formula>
    </cfRule>
    <cfRule type="cellIs" dxfId="5612" priority="5410" operator="between">
      <formula>0.51</formula>
      <formula>0.75</formula>
    </cfRule>
    <cfRule type="cellIs" dxfId="5611" priority="5411" operator="greaterThan">
      <formula>1</formula>
    </cfRule>
    <cfRule type="cellIs" dxfId="5610" priority="5412" operator="between">
      <formula>0.95</formula>
      <formula>1</formula>
    </cfRule>
    <cfRule type="cellIs" dxfId="5609" priority="5413" stopIfTrue="1" operator="between">
      <formula>0</formula>
      <formula>0.5</formula>
    </cfRule>
  </conditionalFormatting>
  <conditionalFormatting sqref="AC184">
    <cfRule type="cellIs" dxfId="5608" priority="5404" operator="between">
      <formula>0.56251</formula>
      <formula>0.7125</formula>
    </cfRule>
    <cfRule type="cellIs" dxfId="5607" priority="5405" operator="between">
      <formula>0.3751</formula>
      <formula>0.5625</formula>
    </cfRule>
    <cfRule type="cellIs" dxfId="5606" priority="5406" operator="greaterThan">
      <formula>0.751</formula>
    </cfRule>
    <cfRule type="cellIs" dxfId="5605" priority="5407" operator="between">
      <formula>0.71251</formula>
      <formula>0.75</formula>
    </cfRule>
    <cfRule type="cellIs" dxfId="5604" priority="5408" stopIfTrue="1" operator="between">
      <formula>0</formula>
      <formula>0.375</formula>
    </cfRule>
  </conditionalFormatting>
  <conditionalFormatting sqref="V184">
    <cfRule type="cellIs" dxfId="5603" priority="5394" operator="between">
      <formula>0.376</formula>
      <formula>0.475</formula>
    </cfRule>
    <cfRule type="cellIs" dxfId="5602" priority="5395" operator="between">
      <formula>0.2551</formula>
      <formula>0.3751</formula>
    </cfRule>
    <cfRule type="cellIs" dxfId="5601" priority="5396" operator="greaterThan">
      <formula>0.505</formula>
    </cfRule>
    <cfRule type="cellIs" dxfId="5600" priority="5397" operator="between">
      <formula>0.48</formula>
      <formula>0.5</formula>
    </cfRule>
    <cfRule type="cellIs" dxfId="5599" priority="5398" stopIfTrue="1" operator="between">
      <formula>0</formula>
      <formula>0.255</formula>
    </cfRule>
  </conditionalFormatting>
  <conditionalFormatting sqref="S184">
    <cfRule type="cellIs" dxfId="5598" priority="5374" operator="between">
      <formula>0.76</formula>
      <formula>0.95</formula>
    </cfRule>
    <cfRule type="cellIs" dxfId="5597" priority="5375" operator="between">
      <formula>0.51</formula>
      <formula>0.75</formula>
    </cfRule>
    <cfRule type="cellIs" dxfId="5596" priority="5376" operator="greaterThan">
      <formula>1</formula>
    </cfRule>
    <cfRule type="cellIs" dxfId="5595" priority="5377" operator="between">
      <formula>0.95</formula>
      <formula>1</formula>
    </cfRule>
    <cfRule type="cellIs" dxfId="5594" priority="5378" stopIfTrue="1" operator="between">
      <formula>0</formula>
      <formula>0.5</formula>
    </cfRule>
  </conditionalFormatting>
  <conditionalFormatting sqref="AI340">
    <cfRule type="cellIs" dxfId="5593" priority="5369" operator="between">
      <formula>0.76</formula>
      <formula>0.95</formula>
    </cfRule>
    <cfRule type="cellIs" dxfId="5592" priority="5370" operator="between">
      <formula>0.51</formula>
      <formula>0.75</formula>
    </cfRule>
    <cfRule type="cellIs" dxfId="5591" priority="5371" operator="greaterThan">
      <formula>1</formula>
    </cfRule>
    <cfRule type="cellIs" dxfId="5590" priority="5372" operator="between">
      <formula>0.95</formula>
      <formula>1</formula>
    </cfRule>
    <cfRule type="cellIs" dxfId="5589" priority="5373" stopIfTrue="1" operator="between">
      <formula>0</formula>
      <formula>0.5</formula>
    </cfRule>
  </conditionalFormatting>
  <conditionalFormatting sqref="R340">
    <cfRule type="cellIs" dxfId="5588" priority="5359" operator="between">
      <formula>0.76</formula>
      <formula>0.95</formula>
    </cfRule>
    <cfRule type="cellIs" dxfId="5587" priority="5360" operator="between">
      <formula>0.51</formula>
      <formula>0.75</formula>
    </cfRule>
    <cfRule type="cellIs" dxfId="5586" priority="5361" operator="greaterThan">
      <formula>1</formula>
    </cfRule>
    <cfRule type="cellIs" dxfId="5585" priority="5362" operator="between">
      <formula>0.95</formula>
      <formula>1</formula>
    </cfRule>
    <cfRule type="cellIs" dxfId="5584" priority="5363" stopIfTrue="1" operator="between">
      <formula>0</formula>
      <formula>0.5</formula>
    </cfRule>
  </conditionalFormatting>
  <conditionalFormatting sqref="Y340">
    <cfRule type="cellIs" dxfId="5583" priority="5354" operator="between">
      <formula>0.76</formula>
      <formula>0.95</formula>
    </cfRule>
    <cfRule type="cellIs" dxfId="5582" priority="5355" operator="between">
      <formula>0.51</formula>
      <formula>0.75</formula>
    </cfRule>
    <cfRule type="cellIs" dxfId="5581" priority="5356" operator="greaterThan">
      <formula>1</formula>
    </cfRule>
    <cfRule type="cellIs" dxfId="5580" priority="5357" operator="between">
      <formula>0.95</formula>
      <formula>1</formula>
    </cfRule>
    <cfRule type="cellIs" dxfId="5579" priority="5358" stopIfTrue="1" operator="between">
      <formula>0</formula>
      <formula>0.5</formula>
    </cfRule>
  </conditionalFormatting>
  <conditionalFormatting sqref="AF340">
    <cfRule type="cellIs" dxfId="5578" priority="5349" operator="between">
      <formula>0.76</formula>
      <formula>0.95</formula>
    </cfRule>
    <cfRule type="cellIs" dxfId="5577" priority="5350" operator="between">
      <formula>0.51</formula>
      <formula>0.75</formula>
    </cfRule>
    <cfRule type="cellIs" dxfId="5576" priority="5351" operator="greaterThan">
      <formula>1</formula>
    </cfRule>
    <cfRule type="cellIs" dxfId="5575" priority="5352" operator="between">
      <formula>0.95</formula>
      <formula>1</formula>
    </cfRule>
    <cfRule type="cellIs" dxfId="5574" priority="5353" stopIfTrue="1" operator="between">
      <formula>0</formula>
      <formula>0.5</formula>
    </cfRule>
  </conditionalFormatting>
  <conditionalFormatting sqref="AH340">
    <cfRule type="cellIs" dxfId="5573" priority="5344" operator="between">
      <formula>0.76</formula>
      <formula>0.95</formula>
    </cfRule>
    <cfRule type="cellIs" dxfId="5572" priority="5345" operator="between">
      <formula>0.51</formula>
      <formula>0.75</formula>
    </cfRule>
    <cfRule type="cellIs" dxfId="5571" priority="5346" operator="greaterThan">
      <formula>1</formula>
    </cfRule>
    <cfRule type="cellIs" dxfId="5570" priority="5347" operator="between">
      <formula>0.95</formula>
      <formula>1</formula>
    </cfRule>
    <cfRule type="cellIs" dxfId="5569" priority="5348" stopIfTrue="1" operator="between">
      <formula>0</formula>
      <formula>0.5</formula>
    </cfRule>
  </conditionalFormatting>
  <conditionalFormatting sqref="T340">
    <cfRule type="cellIs" dxfId="5568" priority="5329" operator="between">
      <formula>0.3751</formula>
      <formula>0.475</formula>
    </cfRule>
    <cfRule type="cellIs" dxfId="5567" priority="5330" operator="between">
      <formula>0.2551</formula>
      <formula>0.375</formula>
    </cfRule>
    <cfRule type="cellIs" dxfId="5566" priority="5331" operator="greaterThan">
      <formula>0.505</formula>
    </cfRule>
    <cfRule type="cellIs" dxfId="5565" priority="5332" operator="between">
      <formula>0.48</formula>
      <formula>0.5</formula>
    </cfRule>
    <cfRule type="cellIs" dxfId="5564" priority="5333" stopIfTrue="1" operator="between">
      <formula>0</formula>
      <formula>0.255</formula>
    </cfRule>
  </conditionalFormatting>
  <conditionalFormatting sqref="U340">
    <cfRule type="cellIs" dxfId="5563" priority="5324" operator="between">
      <formula>0.376</formula>
      <formula>0.475</formula>
    </cfRule>
    <cfRule type="cellIs" dxfId="5562" priority="5325" operator="between">
      <formula>0.2551</formula>
      <formula>0.3751</formula>
    </cfRule>
    <cfRule type="cellIs" dxfId="5561" priority="5326" operator="greaterThan">
      <formula>0.505</formula>
    </cfRule>
    <cfRule type="cellIs" dxfId="5560" priority="5327" operator="between">
      <formula>0.48</formula>
      <formula>0.5</formula>
    </cfRule>
    <cfRule type="cellIs" dxfId="5559" priority="5328" stopIfTrue="1" operator="between">
      <formula>0</formula>
      <formula>0.255</formula>
    </cfRule>
  </conditionalFormatting>
  <conditionalFormatting sqref="AA340">
    <cfRule type="cellIs" dxfId="5558" priority="5319" operator="between">
      <formula>0.56251</formula>
      <formula>0.7125</formula>
    </cfRule>
    <cfRule type="cellIs" dxfId="5557" priority="5320" operator="between">
      <formula>0.3751</formula>
      <formula>0.5625</formula>
    </cfRule>
    <cfRule type="cellIs" dxfId="5556" priority="5321" operator="greaterThan">
      <formula>0.751</formula>
    </cfRule>
    <cfRule type="cellIs" dxfId="5555" priority="5322" operator="between">
      <formula>0.71251</formula>
      <formula>0.75</formula>
    </cfRule>
    <cfRule type="cellIs" dxfId="5554" priority="5323" stopIfTrue="1" operator="between">
      <formula>0</formula>
      <formula>0.375</formula>
    </cfRule>
  </conditionalFormatting>
  <conditionalFormatting sqref="AB340">
    <cfRule type="cellIs" dxfId="5553" priority="5314" operator="between">
      <formula>0.56251</formula>
      <formula>0.7125</formula>
    </cfRule>
    <cfRule type="cellIs" dxfId="5552" priority="5315" operator="between">
      <formula>0.3751</formula>
      <formula>0.5625</formula>
    </cfRule>
    <cfRule type="cellIs" dxfId="5551" priority="5316" operator="greaterThan">
      <formula>0.751</formula>
    </cfRule>
    <cfRule type="cellIs" dxfId="5550" priority="5317" operator="between">
      <formula>0.71251</formula>
      <formula>0.75</formula>
    </cfRule>
    <cfRule type="cellIs" dxfId="5549" priority="5318" stopIfTrue="1" operator="between">
      <formula>0</formula>
      <formula>0.375</formula>
    </cfRule>
  </conditionalFormatting>
  <conditionalFormatting sqref="S340">
    <cfRule type="cellIs" dxfId="5548" priority="5297" operator="between">
      <formula>0.76</formula>
      <formula>0.95</formula>
    </cfRule>
    <cfRule type="cellIs" dxfId="5547" priority="5298" operator="between">
      <formula>0.51</formula>
      <formula>0.75</formula>
    </cfRule>
    <cfRule type="cellIs" dxfId="5546" priority="5299" operator="greaterThan">
      <formula>1</formula>
    </cfRule>
    <cfRule type="cellIs" dxfId="5545" priority="5300" operator="between">
      <formula>0.95</formula>
      <formula>1</formula>
    </cfRule>
    <cfRule type="cellIs" dxfId="5544" priority="5301" stopIfTrue="1" operator="between">
      <formula>0</formula>
      <formula>0.5</formula>
    </cfRule>
  </conditionalFormatting>
  <conditionalFormatting sqref="V340">
    <cfRule type="cellIs" dxfId="5543" priority="5292" operator="between">
      <formula>0.376</formula>
      <formula>0.475</formula>
    </cfRule>
    <cfRule type="cellIs" dxfId="5542" priority="5293" operator="between">
      <formula>0.2551</formula>
      <formula>0.3751</formula>
    </cfRule>
    <cfRule type="cellIs" dxfId="5541" priority="5294" operator="greaterThan">
      <formula>0.505</formula>
    </cfRule>
    <cfRule type="cellIs" dxfId="5540" priority="5295" operator="between">
      <formula>0.48</formula>
      <formula>0.5</formula>
    </cfRule>
    <cfRule type="cellIs" dxfId="5539" priority="5296" stopIfTrue="1" operator="between">
      <formula>0</formula>
      <formula>0.255</formula>
    </cfRule>
  </conditionalFormatting>
  <conditionalFormatting sqref="AC340">
    <cfRule type="cellIs" dxfId="5538" priority="5287" operator="between">
      <formula>0.56251</formula>
      <formula>0.7125</formula>
    </cfRule>
    <cfRule type="cellIs" dxfId="5537" priority="5288" operator="between">
      <formula>0.3751</formula>
      <formula>0.5625</formula>
    </cfRule>
    <cfRule type="cellIs" dxfId="5536" priority="5289" operator="greaterThan">
      <formula>0.751</formula>
    </cfRule>
    <cfRule type="cellIs" dxfId="5535" priority="5290" operator="between">
      <formula>0.71251</formula>
      <formula>0.75</formula>
    </cfRule>
    <cfRule type="cellIs" dxfId="5534" priority="5291" stopIfTrue="1" operator="between">
      <formula>0</formula>
      <formula>0.375</formula>
    </cfRule>
  </conditionalFormatting>
  <conditionalFormatting sqref="Z340">
    <cfRule type="cellIs" dxfId="5533" priority="5272" operator="between">
      <formula>0.76</formula>
      <formula>0.95</formula>
    </cfRule>
    <cfRule type="cellIs" dxfId="5532" priority="5273" operator="between">
      <formula>0.51</formula>
      <formula>0.75</formula>
    </cfRule>
    <cfRule type="cellIs" dxfId="5531" priority="5274" operator="greaterThan">
      <formula>1</formula>
    </cfRule>
    <cfRule type="cellIs" dxfId="5530" priority="5275" operator="between">
      <formula>0.95</formula>
      <formula>1</formula>
    </cfRule>
    <cfRule type="cellIs" dxfId="5529" priority="5276" stopIfTrue="1" operator="between">
      <formula>0</formula>
      <formula>0.5</formula>
    </cfRule>
  </conditionalFormatting>
  <conditionalFormatting sqref="AG340">
    <cfRule type="cellIs" dxfId="5528" priority="5267" operator="between">
      <formula>0.76</formula>
      <formula>0.95</formula>
    </cfRule>
    <cfRule type="cellIs" dxfId="5527" priority="5268" operator="between">
      <formula>0.51</formula>
      <formula>0.75</formula>
    </cfRule>
    <cfRule type="cellIs" dxfId="5526" priority="5269" operator="greaterThan">
      <formula>1</formula>
    </cfRule>
    <cfRule type="cellIs" dxfId="5525" priority="5270" operator="between">
      <formula>0.95</formula>
      <formula>1</formula>
    </cfRule>
    <cfRule type="cellIs" dxfId="5524" priority="5271" stopIfTrue="1" operator="between">
      <formula>0</formula>
      <formula>0.5</formula>
    </cfRule>
  </conditionalFormatting>
  <conditionalFormatting sqref="AI341">
    <cfRule type="cellIs" dxfId="5523" priority="5262" operator="between">
      <formula>0.76</formula>
      <formula>0.95</formula>
    </cfRule>
    <cfRule type="cellIs" dxfId="5522" priority="5263" operator="between">
      <formula>0.51</formula>
      <formula>0.75</formula>
    </cfRule>
    <cfRule type="cellIs" dxfId="5521" priority="5264" operator="greaterThan">
      <formula>1</formula>
    </cfRule>
    <cfRule type="cellIs" dxfId="5520" priority="5265" operator="between">
      <formula>0.95</formula>
      <formula>1</formula>
    </cfRule>
    <cfRule type="cellIs" dxfId="5519" priority="5266" stopIfTrue="1" operator="between">
      <formula>0</formula>
      <formula>0.5</formula>
    </cfRule>
  </conditionalFormatting>
  <conditionalFormatting sqref="R341">
    <cfRule type="cellIs" dxfId="5518" priority="5252" operator="between">
      <formula>0.76</formula>
      <formula>0.95</formula>
    </cfRule>
    <cfRule type="cellIs" dxfId="5517" priority="5253" operator="between">
      <formula>0.51</formula>
      <formula>0.75</formula>
    </cfRule>
    <cfRule type="cellIs" dxfId="5516" priority="5254" operator="greaterThan">
      <formula>1</formula>
    </cfRule>
    <cfRule type="cellIs" dxfId="5515" priority="5255" operator="between">
      <formula>0.95</formula>
      <formula>1</formula>
    </cfRule>
    <cfRule type="cellIs" dxfId="5514" priority="5256" stopIfTrue="1" operator="between">
      <formula>0</formula>
      <formula>0.5</formula>
    </cfRule>
  </conditionalFormatting>
  <conditionalFormatting sqref="Y341">
    <cfRule type="cellIs" dxfId="5513" priority="5247" operator="between">
      <formula>0.76</formula>
      <formula>0.95</formula>
    </cfRule>
    <cfRule type="cellIs" dxfId="5512" priority="5248" operator="between">
      <formula>0.51</formula>
      <formula>0.75</formula>
    </cfRule>
    <cfRule type="cellIs" dxfId="5511" priority="5249" operator="greaterThan">
      <formula>1</formula>
    </cfRule>
    <cfRule type="cellIs" dxfId="5510" priority="5250" operator="between">
      <formula>0.95</formula>
      <formula>1</formula>
    </cfRule>
    <cfRule type="cellIs" dxfId="5509" priority="5251" stopIfTrue="1" operator="between">
      <formula>0</formula>
      <formula>0.5</formula>
    </cfRule>
  </conditionalFormatting>
  <conditionalFormatting sqref="AF341">
    <cfRule type="cellIs" dxfId="5508" priority="5242" operator="between">
      <formula>0.76</formula>
      <formula>0.95</formula>
    </cfRule>
    <cfRule type="cellIs" dxfId="5507" priority="5243" operator="between">
      <formula>0.51</formula>
      <formula>0.75</formula>
    </cfRule>
    <cfRule type="cellIs" dxfId="5506" priority="5244" operator="greaterThan">
      <formula>1</formula>
    </cfRule>
    <cfRule type="cellIs" dxfId="5505" priority="5245" operator="between">
      <formula>0.95</formula>
      <formula>1</formula>
    </cfRule>
    <cfRule type="cellIs" dxfId="5504" priority="5246" stopIfTrue="1" operator="between">
      <formula>0</formula>
      <formula>0.5</formula>
    </cfRule>
  </conditionalFormatting>
  <conditionalFormatting sqref="AH341">
    <cfRule type="cellIs" dxfId="5503" priority="5237" operator="between">
      <formula>0.76</formula>
      <formula>0.95</formula>
    </cfRule>
    <cfRule type="cellIs" dxfId="5502" priority="5238" operator="between">
      <formula>0.51</formula>
      <formula>0.75</formula>
    </cfRule>
    <cfRule type="cellIs" dxfId="5501" priority="5239" operator="greaterThan">
      <formula>1</formula>
    </cfRule>
    <cfRule type="cellIs" dxfId="5500" priority="5240" operator="between">
      <formula>0.95</formula>
      <formula>1</formula>
    </cfRule>
    <cfRule type="cellIs" dxfId="5499" priority="5241" stopIfTrue="1" operator="between">
      <formula>0</formula>
      <formula>0.5</formula>
    </cfRule>
  </conditionalFormatting>
  <conditionalFormatting sqref="T341">
    <cfRule type="cellIs" dxfId="5498" priority="5222" operator="between">
      <formula>0.3751</formula>
      <formula>0.475</formula>
    </cfRule>
    <cfRule type="cellIs" dxfId="5497" priority="5223" operator="between">
      <formula>0.2551</formula>
      <formula>0.375</formula>
    </cfRule>
    <cfRule type="cellIs" dxfId="5496" priority="5224" operator="greaterThan">
      <formula>0.505</formula>
    </cfRule>
    <cfRule type="cellIs" dxfId="5495" priority="5225" operator="between">
      <formula>0.48</formula>
      <formula>0.5</formula>
    </cfRule>
    <cfRule type="cellIs" dxfId="5494" priority="5226" stopIfTrue="1" operator="between">
      <formula>0</formula>
      <formula>0.255</formula>
    </cfRule>
  </conditionalFormatting>
  <conditionalFormatting sqref="U341">
    <cfRule type="cellIs" dxfId="5493" priority="5217" operator="between">
      <formula>0.376</formula>
      <formula>0.475</formula>
    </cfRule>
    <cfRule type="cellIs" dxfId="5492" priority="5218" operator="between">
      <formula>0.2551</formula>
      <formula>0.3751</formula>
    </cfRule>
    <cfRule type="cellIs" dxfId="5491" priority="5219" operator="greaterThan">
      <formula>0.505</formula>
    </cfRule>
    <cfRule type="cellIs" dxfId="5490" priority="5220" operator="between">
      <formula>0.48</formula>
      <formula>0.5</formula>
    </cfRule>
    <cfRule type="cellIs" dxfId="5489" priority="5221" stopIfTrue="1" operator="between">
      <formula>0</formula>
      <formula>0.255</formula>
    </cfRule>
  </conditionalFormatting>
  <conditionalFormatting sqref="AA341">
    <cfRule type="cellIs" dxfId="5488" priority="5212" operator="between">
      <formula>0.56251</formula>
      <formula>0.7125</formula>
    </cfRule>
    <cfRule type="cellIs" dxfId="5487" priority="5213" operator="between">
      <formula>0.3751</formula>
      <formula>0.5625</formula>
    </cfRule>
    <cfRule type="cellIs" dxfId="5486" priority="5214" operator="greaterThan">
      <formula>0.751</formula>
    </cfRule>
    <cfRule type="cellIs" dxfId="5485" priority="5215" operator="between">
      <formula>0.71251</formula>
      <formula>0.75</formula>
    </cfRule>
    <cfRule type="cellIs" dxfId="5484" priority="5216" stopIfTrue="1" operator="between">
      <formula>0</formula>
      <formula>0.375</formula>
    </cfRule>
  </conditionalFormatting>
  <conditionalFormatting sqref="AB341">
    <cfRule type="cellIs" dxfId="5483" priority="5207" operator="between">
      <formula>0.56251</formula>
      <formula>0.7125</formula>
    </cfRule>
    <cfRule type="cellIs" dxfId="5482" priority="5208" operator="between">
      <formula>0.3751</formula>
      <formula>0.5625</formula>
    </cfRule>
    <cfRule type="cellIs" dxfId="5481" priority="5209" operator="greaterThan">
      <formula>0.751</formula>
    </cfRule>
    <cfRule type="cellIs" dxfId="5480" priority="5210" operator="between">
      <formula>0.71251</formula>
      <formula>0.75</formula>
    </cfRule>
    <cfRule type="cellIs" dxfId="5479" priority="5211" stopIfTrue="1" operator="between">
      <formula>0</formula>
      <formula>0.375</formula>
    </cfRule>
  </conditionalFormatting>
  <conditionalFormatting sqref="S341">
    <cfRule type="cellIs" dxfId="5478" priority="5190" operator="between">
      <formula>0.76</formula>
      <formula>0.95</formula>
    </cfRule>
    <cfRule type="cellIs" dxfId="5477" priority="5191" operator="between">
      <formula>0.51</formula>
      <formula>0.75</formula>
    </cfRule>
    <cfRule type="cellIs" dxfId="5476" priority="5192" operator="greaterThan">
      <formula>1</formula>
    </cfRule>
    <cfRule type="cellIs" dxfId="5475" priority="5193" operator="between">
      <formula>0.95</formula>
      <formula>1</formula>
    </cfRule>
    <cfRule type="cellIs" dxfId="5474" priority="5194" stopIfTrue="1" operator="between">
      <formula>0</formula>
      <formula>0.5</formula>
    </cfRule>
  </conditionalFormatting>
  <conditionalFormatting sqref="V341">
    <cfRule type="cellIs" dxfId="5473" priority="5185" operator="between">
      <formula>0.376</formula>
      <formula>0.475</formula>
    </cfRule>
    <cfRule type="cellIs" dxfId="5472" priority="5186" operator="between">
      <formula>0.2551</formula>
      <formula>0.3751</formula>
    </cfRule>
    <cfRule type="cellIs" dxfId="5471" priority="5187" operator="greaterThan">
      <formula>0.505</formula>
    </cfRule>
    <cfRule type="cellIs" dxfId="5470" priority="5188" operator="between">
      <formula>0.48</formula>
      <formula>0.5</formula>
    </cfRule>
    <cfRule type="cellIs" dxfId="5469" priority="5189" stopIfTrue="1" operator="between">
      <formula>0</formula>
      <formula>0.255</formula>
    </cfRule>
  </conditionalFormatting>
  <conditionalFormatting sqref="AC341">
    <cfRule type="cellIs" dxfId="5468" priority="5180" operator="between">
      <formula>0.56251</formula>
      <formula>0.7125</formula>
    </cfRule>
    <cfRule type="cellIs" dxfId="5467" priority="5181" operator="between">
      <formula>0.3751</formula>
      <formula>0.5625</formula>
    </cfRule>
    <cfRule type="cellIs" dxfId="5466" priority="5182" operator="greaterThan">
      <formula>0.751</formula>
    </cfRule>
    <cfRule type="cellIs" dxfId="5465" priority="5183" operator="between">
      <formula>0.71251</formula>
      <formula>0.75</formula>
    </cfRule>
    <cfRule type="cellIs" dxfId="5464" priority="5184" stopIfTrue="1" operator="between">
      <formula>0</formula>
      <formula>0.375</formula>
    </cfRule>
  </conditionalFormatting>
  <conditionalFormatting sqref="Z341">
    <cfRule type="cellIs" dxfId="5463" priority="5165" operator="between">
      <formula>0.76</formula>
      <formula>0.95</formula>
    </cfRule>
    <cfRule type="cellIs" dxfId="5462" priority="5166" operator="between">
      <formula>0.51</formula>
      <formula>0.75</formula>
    </cfRule>
    <cfRule type="cellIs" dxfId="5461" priority="5167" operator="greaterThan">
      <formula>1</formula>
    </cfRule>
    <cfRule type="cellIs" dxfId="5460" priority="5168" operator="between">
      <formula>0.95</formula>
      <formula>1</formula>
    </cfRule>
    <cfRule type="cellIs" dxfId="5459" priority="5169" stopIfTrue="1" operator="between">
      <formula>0</formula>
      <formula>0.5</formula>
    </cfRule>
  </conditionalFormatting>
  <conditionalFormatting sqref="AG341">
    <cfRule type="cellIs" dxfId="5458" priority="5155" operator="between">
      <formula>0.76</formula>
      <formula>0.95</formula>
    </cfRule>
    <cfRule type="cellIs" dxfId="5457" priority="5156" operator="between">
      <formula>0.51</formula>
      <formula>0.75</formula>
    </cfRule>
    <cfRule type="cellIs" dxfId="5456" priority="5157" operator="greaterThan">
      <formula>1</formula>
    </cfRule>
    <cfRule type="cellIs" dxfId="5455" priority="5158" operator="between">
      <formula>0.95</formula>
      <formula>1</formula>
    </cfRule>
    <cfRule type="cellIs" dxfId="5454" priority="5159" stopIfTrue="1" operator="between">
      <formula>0</formula>
      <formula>0.5</formula>
    </cfRule>
  </conditionalFormatting>
  <conditionalFormatting sqref="Y283 AF283 R283 AH283:AI283">
    <cfRule type="cellIs" dxfId="5453" priority="5150" operator="between">
      <formula>0.76</formula>
      <formula>0.95</formula>
    </cfRule>
    <cfRule type="cellIs" dxfId="5452" priority="5151" operator="between">
      <formula>0.51</formula>
      <formula>0.75</formula>
    </cfRule>
    <cfRule type="cellIs" dxfId="5451" priority="5152" operator="greaterThan">
      <formula>1</formula>
    </cfRule>
    <cfRule type="cellIs" dxfId="5450" priority="5153" operator="between">
      <formula>0.95</formula>
      <formula>1</formula>
    </cfRule>
    <cfRule type="cellIs" dxfId="5449" priority="5154" stopIfTrue="1" operator="between">
      <formula>0</formula>
      <formula>0.5</formula>
    </cfRule>
  </conditionalFormatting>
  <conditionalFormatting sqref="T283">
    <cfRule type="cellIs" dxfId="5448" priority="5145" operator="between">
      <formula>0.3751</formula>
      <formula>0.475</formula>
    </cfRule>
    <cfRule type="cellIs" dxfId="5447" priority="5146" operator="between">
      <formula>0.2551</formula>
      <formula>0.375</formula>
    </cfRule>
    <cfRule type="cellIs" dxfId="5446" priority="5147" operator="greaterThan">
      <formula>0.505</formula>
    </cfRule>
    <cfRule type="cellIs" dxfId="5445" priority="5148" operator="between">
      <formula>0.48</formula>
      <formula>0.5</formula>
    </cfRule>
    <cfRule type="cellIs" dxfId="5444" priority="5149" stopIfTrue="1" operator="between">
      <formula>0</formula>
      <formula>0.255</formula>
    </cfRule>
  </conditionalFormatting>
  <conditionalFormatting sqref="AA283:AB283">
    <cfRule type="cellIs" dxfId="5443" priority="5140" operator="between">
      <formula>0.56251</formula>
      <formula>0.7125</formula>
    </cfRule>
    <cfRule type="cellIs" dxfId="5442" priority="5141" operator="between">
      <formula>0.3751</formula>
      <formula>0.5625</formula>
    </cfRule>
    <cfRule type="cellIs" dxfId="5441" priority="5142" operator="greaterThan">
      <formula>0.751</formula>
    </cfRule>
    <cfRule type="cellIs" dxfId="5440" priority="5143" operator="between">
      <formula>0.71251</formula>
      <formula>0.75</formula>
    </cfRule>
    <cfRule type="cellIs" dxfId="5439" priority="5144" stopIfTrue="1" operator="between">
      <formula>0</formula>
      <formula>0.375</formula>
    </cfRule>
  </conditionalFormatting>
  <conditionalFormatting sqref="U283">
    <cfRule type="cellIs" dxfId="5438" priority="5130" operator="between">
      <formula>0.376</formula>
      <formula>0.475</formula>
    </cfRule>
    <cfRule type="cellIs" dxfId="5437" priority="5131" operator="between">
      <formula>0.2551</formula>
      <formula>0.3751</formula>
    </cfRule>
    <cfRule type="cellIs" dxfId="5436" priority="5132" operator="greaterThan">
      <formula>0.505</formula>
    </cfRule>
    <cfRule type="cellIs" dxfId="5435" priority="5133" operator="between">
      <formula>0.48</formula>
      <formula>0.5</formula>
    </cfRule>
    <cfRule type="cellIs" dxfId="5434" priority="5134" stopIfTrue="1" operator="between">
      <formula>0</formula>
      <formula>0.255</formula>
    </cfRule>
  </conditionalFormatting>
  <conditionalFormatting sqref="S283">
    <cfRule type="cellIs" dxfId="5433" priority="5107" operator="between">
      <formula>0.76</formula>
      <formula>0.95</formula>
    </cfRule>
    <cfRule type="cellIs" dxfId="5432" priority="5108" operator="between">
      <formula>0.51</formula>
      <formula>0.75</formula>
    </cfRule>
    <cfRule type="cellIs" dxfId="5431" priority="5109" operator="greaterThan">
      <formula>1</formula>
    </cfRule>
    <cfRule type="cellIs" dxfId="5430" priority="5110" operator="between">
      <formula>0.95</formula>
      <formula>1</formula>
    </cfRule>
    <cfRule type="cellIs" dxfId="5429" priority="5111" stopIfTrue="1" operator="between">
      <formula>0</formula>
      <formula>0.5</formula>
    </cfRule>
  </conditionalFormatting>
  <conditionalFormatting sqref="V283">
    <cfRule type="cellIs" dxfId="5428" priority="5102" operator="between">
      <formula>0.376</formula>
      <formula>0.475</formula>
    </cfRule>
    <cfRule type="cellIs" dxfId="5427" priority="5103" operator="between">
      <formula>0.2551</formula>
      <formula>0.3751</formula>
    </cfRule>
    <cfRule type="cellIs" dxfId="5426" priority="5104" operator="greaterThan">
      <formula>0.505</formula>
    </cfRule>
    <cfRule type="cellIs" dxfId="5425" priority="5105" operator="between">
      <formula>0.48</formula>
      <formula>0.5</formula>
    </cfRule>
    <cfRule type="cellIs" dxfId="5424" priority="5106" stopIfTrue="1" operator="between">
      <formula>0</formula>
      <formula>0.255</formula>
    </cfRule>
  </conditionalFormatting>
  <conditionalFormatting sqref="AC283">
    <cfRule type="cellIs" dxfId="5423" priority="5092" operator="between">
      <formula>0.56251</formula>
      <formula>0.7125</formula>
    </cfRule>
    <cfRule type="cellIs" dxfId="5422" priority="5093" operator="between">
      <formula>0.3751</formula>
      <formula>0.5625</formula>
    </cfRule>
    <cfRule type="cellIs" dxfId="5421" priority="5094" operator="greaterThan">
      <formula>0.751</formula>
    </cfRule>
    <cfRule type="cellIs" dxfId="5420" priority="5095" operator="between">
      <formula>0.71251</formula>
      <formula>0.75</formula>
    </cfRule>
    <cfRule type="cellIs" dxfId="5419" priority="5096" stopIfTrue="1" operator="between">
      <formula>0</formula>
      <formula>0.375</formula>
    </cfRule>
  </conditionalFormatting>
  <conditionalFormatting sqref="AG283">
    <cfRule type="cellIs" dxfId="5418" priority="5087" operator="between">
      <formula>0.76</formula>
      <formula>0.95</formula>
    </cfRule>
    <cfRule type="cellIs" dxfId="5417" priority="5088" operator="between">
      <formula>0.51</formula>
      <formula>0.75</formula>
    </cfRule>
    <cfRule type="cellIs" dxfId="5416" priority="5089" operator="greaterThan">
      <formula>1</formula>
    </cfRule>
    <cfRule type="cellIs" dxfId="5415" priority="5090" operator="between">
      <formula>0.95</formula>
      <formula>1</formula>
    </cfRule>
    <cfRule type="cellIs" dxfId="5414" priority="5091" stopIfTrue="1" operator="between">
      <formula>0</formula>
      <formula>0.5</formula>
    </cfRule>
  </conditionalFormatting>
  <conditionalFormatting sqref="Z283">
    <cfRule type="cellIs" dxfId="5413" priority="5082" operator="between">
      <formula>0.76</formula>
      <formula>0.95</formula>
    </cfRule>
    <cfRule type="cellIs" dxfId="5412" priority="5083" operator="between">
      <formula>0.51</formula>
      <formula>0.75</formula>
    </cfRule>
    <cfRule type="cellIs" dxfId="5411" priority="5084" operator="greaterThan">
      <formula>1</formula>
    </cfRule>
    <cfRule type="cellIs" dxfId="5410" priority="5085" operator="between">
      <formula>0.95</formula>
      <formula>1</formula>
    </cfRule>
    <cfRule type="cellIs" dxfId="5409" priority="5086" stopIfTrue="1" operator="between">
      <formula>0</formula>
      <formula>0.5</formula>
    </cfRule>
  </conditionalFormatting>
  <conditionalFormatting sqref="Y284 AF284 R284 AH284:AI284">
    <cfRule type="cellIs" dxfId="5408" priority="5062" operator="between">
      <formula>0.76</formula>
      <formula>0.95</formula>
    </cfRule>
    <cfRule type="cellIs" dxfId="5407" priority="5063" operator="between">
      <formula>0.51</formula>
      <formula>0.75</formula>
    </cfRule>
    <cfRule type="cellIs" dxfId="5406" priority="5064" operator="greaterThan">
      <formula>1</formula>
    </cfRule>
    <cfRule type="cellIs" dxfId="5405" priority="5065" operator="between">
      <formula>0.95</formula>
      <formula>1</formula>
    </cfRule>
    <cfRule type="cellIs" dxfId="5404" priority="5066" stopIfTrue="1" operator="between">
      <formula>0</formula>
      <formula>0.5</formula>
    </cfRule>
  </conditionalFormatting>
  <conditionalFormatting sqref="T284">
    <cfRule type="cellIs" dxfId="5403" priority="5057" operator="between">
      <formula>0.3751</formula>
      <formula>0.475</formula>
    </cfRule>
    <cfRule type="cellIs" dxfId="5402" priority="5058" operator="between">
      <formula>0.2551</formula>
      <formula>0.375</formula>
    </cfRule>
    <cfRule type="cellIs" dxfId="5401" priority="5059" operator="greaterThan">
      <formula>0.505</formula>
    </cfRule>
    <cfRule type="cellIs" dxfId="5400" priority="5060" operator="between">
      <formula>0.48</formula>
      <formula>0.5</formula>
    </cfRule>
    <cfRule type="cellIs" dxfId="5399" priority="5061" stopIfTrue="1" operator="between">
      <formula>0</formula>
      <formula>0.255</formula>
    </cfRule>
  </conditionalFormatting>
  <conditionalFormatting sqref="AA284:AB284">
    <cfRule type="cellIs" dxfId="5398" priority="5052" operator="between">
      <formula>0.56251</formula>
      <formula>0.7125</formula>
    </cfRule>
    <cfRule type="cellIs" dxfId="5397" priority="5053" operator="between">
      <formula>0.3751</formula>
      <formula>0.5625</formula>
    </cfRule>
    <cfRule type="cellIs" dxfId="5396" priority="5054" operator="greaterThan">
      <formula>0.751</formula>
    </cfRule>
    <cfRule type="cellIs" dxfId="5395" priority="5055" operator="between">
      <formula>0.71251</formula>
      <formula>0.75</formula>
    </cfRule>
    <cfRule type="cellIs" dxfId="5394" priority="5056" stopIfTrue="1" operator="between">
      <formula>0</formula>
      <formula>0.375</formula>
    </cfRule>
  </conditionalFormatting>
  <conditionalFormatting sqref="U284">
    <cfRule type="cellIs" dxfId="5393" priority="5042" operator="between">
      <formula>0.376</formula>
      <formula>0.475</formula>
    </cfRule>
    <cfRule type="cellIs" dxfId="5392" priority="5043" operator="between">
      <formula>0.2551</formula>
      <formula>0.3751</formula>
    </cfRule>
    <cfRule type="cellIs" dxfId="5391" priority="5044" operator="greaterThan">
      <formula>0.505</formula>
    </cfRule>
    <cfRule type="cellIs" dxfId="5390" priority="5045" operator="between">
      <formula>0.48</formula>
      <formula>0.5</formula>
    </cfRule>
    <cfRule type="cellIs" dxfId="5389" priority="5046" stopIfTrue="1" operator="between">
      <formula>0</formula>
      <formula>0.255</formula>
    </cfRule>
  </conditionalFormatting>
  <conditionalFormatting sqref="S284">
    <cfRule type="cellIs" dxfId="5388" priority="5029" operator="between">
      <formula>0.76</formula>
      <formula>0.95</formula>
    </cfRule>
    <cfRule type="cellIs" dxfId="5387" priority="5030" operator="between">
      <formula>0.51</formula>
      <formula>0.75</formula>
    </cfRule>
    <cfRule type="cellIs" dxfId="5386" priority="5031" operator="greaterThan">
      <formula>1</formula>
    </cfRule>
    <cfRule type="cellIs" dxfId="5385" priority="5032" operator="between">
      <formula>0.95</formula>
      <formula>1</formula>
    </cfRule>
    <cfRule type="cellIs" dxfId="5384" priority="5033" stopIfTrue="1" operator="between">
      <formula>0</formula>
      <formula>0.5</formula>
    </cfRule>
  </conditionalFormatting>
  <conditionalFormatting sqref="V284">
    <cfRule type="cellIs" dxfId="5383" priority="5024" operator="between">
      <formula>0.376</formula>
      <formula>0.475</formula>
    </cfRule>
    <cfRule type="cellIs" dxfId="5382" priority="5025" operator="between">
      <formula>0.2551</formula>
      <formula>0.3751</formula>
    </cfRule>
    <cfRule type="cellIs" dxfId="5381" priority="5026" operator="greaterThan">
      <formula>0.505</formula>
    </cfRule>
    <cfRule type="cellIs" dxfId="5380" priority="5027" operator="between">
      <formula>0.48</formula>
      <formula>0.5</formula>
    </cfRule>
    <cfRule type="cellIs" dxfId="5379" priority="5028" stopIfTrue="1" operator="between">
      <formula>0</formula>
      <formula>0.255</formula>
    </cfRule>
  </conditionalFormatting>
  <conditionalFormatting sqref="AC284">
    <cfRule type="cellIs" dxfId="5378" priority="5019" operator="between">
      <formula>0.56251</formula>
      <formula>0.7125</formula>
    </cfRule>
    <cfRule type="cellIs" dxfId="5377" priority="5020" operator="between">
      <formula>0.3751</formula>
      <formula>0.5625</formula>
    </cfRule>
    <cfRule type="cellIs" dxfId="5376" priority="5021" operator="greaterThan">
      <formula>0.751</formula>
    </cfRule>
    <cfRule type="cellIs" dxfId="5375" priority="5022" operator="between">
      <formula>0.71251</formula>
      <formula>0.75</formula>
    </cfRule>
    <cfRule type="cellIs" dxfId="5374" priority="5023" stopIfTrue="1" operator="between">
      <formula>0</formula>
      <formula>0.375</formula>
    </cfRule>
  </conditionalFormatting>
  <conditionalFormatting sqref="AG284">
    <cfRule type="cellIs" dxfId="5373" priority="5014" operator="between">
      <formula>0.76</formula>
      <formula>0.95</formula>
    </cfRule>
    <cfRule type="cellIs" dxfId="5372" priority="5015" operator="between">
      <formula>0.51</formula>
      <formula>0.75</formula>
    </cfRule>
    <cfRule type="cellIs" dxfId="5371" priority="5016" operator="greaterThan">
      <formula>1</formula>
    </cfRule>
    <cfRule type="cellIs" dxfId="5370" priority="5017" operator="between">
      <formula>0.95</formula>
      <formula>1</formula>
    </cfRule>
    <cfRule type="cellIs" dxfId="5369" priority="5018" stopIfTrue="1" operator="between">
      <formula>0</formula>
      <formula>0.5</formula>
    </cfRule>
  </conditionalFormatting>
  <conditionalFormatting sqref="Z284">
    <cfRule type="cellIs" dxfId="5368" priority="5009" operator="between">
      <formula>0.76</formula>
      <formula>0.95</formula>
    </cfRule>
    <cfRule type="cellIs" dxfId="5367" priority="5010" operator="between">
      <formula>0.51</formula>
      <formula>0.75</formula>
    </cfRule>
    <cfRule type="cellIs" dxfId="5366" priority="5011" operator="greaterThan">
      <formula>1</formula>
    </cfRule>
    <cfRule type="cellIs" dxfId="5365" priority="5012" operator="between">
      <formula>0.95</formula>
      <formula>1</formula>
    </cfRule>
    <cfRule type="cellIs" dxfId="5364" priority="5013" stopIfTrue="1" operator="between">
      <formula>0</formula>
      <formula>0.5</formula>
    </cfRule>
  </conditionalFormatting>
  <conditionalFormatting sqref="R185 Y185 AF185 AH185:AI185">
    <cfRule type="cellIs" dxfId="5363" priority="4999" operator="between">
      <formula>0.76</formula>
      <formula>0.95</formula>
    </cfRule>
    <cfRule type="cellIs" dxfId="5362" priority="5000" operator="between">
      <formula>0.51</formula>
      <formula>0.75</formula>
    </cfRule>
    <cfRule type="cellIs" dxfId="5361" priority="5001" operator="greaterThan">
      <formula>1</formula>
    </cfRule>
    <cfRule type="cellIs" dxfId="5360" priority="5002" operator="between">
      <formula>0.95</formula>
      <formula>1</formula>
    </cfRule>
    <cfRule type="cellIs" dxfId="5359" priority="5003" stopIfTrue="1" operator="between">
      <formula>0</formula>
      <formula>0.5</formula>
    </cfRule>
  </conditionalFormatting>
  <conditionalFormatting sqref="T185">
    <cfRule type="cellIs" dxfId="5358" priority="4994" operator="between">
      <formula>0.3751</formula>
      <formula>0.475</formula>
    </cfRule>
    <cfRule type="cellIs" dxfId="5357" priority="4995" operator="between">
      <formula>0.2551</formula>
      <formula>0.375</formula>
    </cfRule>
    <cfRule type="cellIs" dxfId="5356" priority="4996" operator="greaterThan">
      <formula>0.505</formula>
    </cfRule>
    <cfRule type="cellIs" dxfId="5355" priority="4997" operator="between">
      <formula>0.48</formula>
      <formula>0.5</formula>
    </cfRule>
    <cfRule type="cellIs" dxfId="5354" priority="4998" stopIfTrue="1" operator="between">
      <formula>0</formula>
      <formula>0.255</formula>
    </cfRule>
  </conditionalFormatting>
  <conditionalFormatting sqref="AA185:AB185">
    <cfRule type="cellIs" dxfId="5353" priority="4989" operator="between">
      <formula>0.56251</formula>
      <formula>0.7125</formula>
    </cfRule>
    <cfRule type="cellIs" dxfId="5352" priority="4990" operator="between">
      <formula>0.3751</formula>
      <formula>0.5625</formula>
    </cfRule>
    <cfRule type="cellIs" dxfId="5351" priority="4991" operator="greaterThan">
      <formula>0.751</formula>
    </cfRule>
    <cfRule type="cellIs" dxfId="5350" priority="4992" operator="between">
      <formula>0.71251</formula>
      <formula>0.75</formula>
    </cfRule>
    <cfRule type="cellIs" dxfId="5349" priority="4993" stopIfTrue="1" operator="between">
      <formula>0</formula>
      <formula>0.375</formula>
    </cfRule>
  </conditionalFormatting>
  <conditionalFormatting sqref="U185">
    <cfRule type="cellIs" dxfId="5348" priority="4979" operator="between">
      <formula>0.376</formula>
      <formula>0.475</formula>
    </cfRule>
    <cfRule type="cellIs" dxfId="5347" priority="4980" operator="between">
      <formula>0.2551</formula>
      <formula>0.3751</formula>
    </cfRule>
    <cfRule type="cellIs" dxfId="5346" priority="4981" operator="greaterThan">
      <formula>0.505</formula>
    </cfRule>
    <cfRule type="cellIs" dxfId="5345" priority="4982" operator="between">
      <formula>0.48</formula>
      <formula>0.5</formula>
    </cfRule>
    <cfRule type="cellIs" dxfId="5344" priority="4983" stopIfTrue="1" operator="between">
      <formula>0</formula>
      <formula>0.255</formula>
    </cfRule>
  </conditionalFormatting>
  <conditionalFormatting sqref="AG185">
    <cfRule type="cellIs" dxfId="5343" priority="4971" operator="between">
      <formula>0.76</formula>
      <formula>0.95</formula>
    </cfRule>
    <cfRule type="cellIs" dxfId="5342" priority="4972" operator="between">
      <formula>0.51</formula>
      <formula>0.75</formula>
    </cfRule>
    <cfRule type="cellIs" dxfId="5341" priority="4973" operator="greaterThan">
      <formula>1</formula>
    </cfRule>
    <cfRule type="cellIs" dxfId="5340" priority="4974" operator="between">
      <formula>0.95</formula>
      <formula>1</formula>
    </cfRule>
    <cfRule type="cellIs" dxfId="5339" priority="4975" stopIfTrue="1" operator="between">
      <formula>0</formula>
      <formula>0.5</formula>
    </cfRule>
  </conditionalFormatting>
  <conditionalFormatting sqref="Z185">
    <cfRule type="cellIs" dxfId="5338" priority="4966" operator="between">
      <formula>0.76</formula>
      <formula>0.95</formula>
    </cfRule>
    <cfRule type="cellIs" dxfId="5337" priority="4967" operator="between">
      <formula>0.51</formula>
      <formula>0.75</formula>
    </cfRule>
    <cfRule type="cellIs" dxfId="5336" priority="4968" operator="greaterThan">
      <formula>1</formula>
    </cfRule>
    <cfRule type="cellIs" dxfId="5335" priority="4969" operator="between">
      <formula>0.95</formula>
      <formula>1</formula>
    </cfRule>
    <cfRule type="cellIs" dxfId="5334" priority="4970" stopIfTrue="1" operator="between">
      <formula>0</formula>
      <formula>0.5</formula>
    </cfRule>
  </conditionalFormatting>
  <conditionalFormatting sqref="AC185">
    <cfRule type="cellIs" dxfId="5333" priority="4961" operator="between">
      <formula>0.56251</formula>
      <formula>0.7125</formula>
    </cfRule>
    <cfRule type="cellIs" dxfId="5332" priority="4962" operator="between">
      <formula>0.3751</formula>
      <formula>0.5625</formula>
    </cfRule>
    <cfRule type="cellIs" dxfId="5331" priority="4963" operator="greaterThan">
      <formula>0.751</formula>
    </cfRule>
    <cfRule type="cellIs" dxfId="5330" priority="4964" operator="between">
      <formula>0.71251</formula>
      <formula>0.75</formula>
    </cfRule>
    <cfRule type="cellIs" dxfId="5329" priority="4965" stopIfTrue="1" operator="between">
      <formula>0</formula>
      <formula>0.375</formula>
    </cfRule>
  </conditionalFormatting>
  <conditionalFormatting sqref="V185">
    <cfRule type="cellIs" dxfId="5328" priority="4956" operator="between">
      <formula>0.376</formula>
      <formula>0.475</formula>
    </cfRule>
    <cfRule type="cellIs" dxfId="5327" priority="4957" operator="between">
      <formula>0.2551</formula>
      <formula>0.3751</formula>
    </cfRule>
    <cfRule type="cellIs" dxfId="5326" priority="4958" operator="greaterThan">
      <formula>0.505</formula>
    </cfRule>
    <cfRule type="cellIs" dxfId="5325" priority="4959" operator="between">
      <formula>0.48</formula>
      <formula>0.5</formula>
    </cfRule>
    <cfRule type="cellIs" dxfId="5324" priority="4960" stopIfTrue="1" operator="between">
      <formula>0</formula>
      <formula>0.255</formula>
    </cfRule>
  </conditionalFormatting>
  <conditionalFormatting sqref="S185">
    <cfRule type="cellIs" dxfId="5323" priority="4936" operator="between">
      <formula>0.76</formula>
      <formula>0.95</formula>
    </cfRule>
    <cfRule type="cellIs" dxfId="5322" priority="4937" operator="between">
      <formula>0.51</formula>
      <formula>0.75</formula>
    </cfRule>
    <cfRule type="cellIs" dxfId="5321" priority="4938" operator="greaterThan">
      <formula>1</formula>
    </cfRule>
    <cfRule type="cellIs" dxfId="5320" priority="4939" operator="between">
      <formula>0.95</formula>
      <formula>1</formula>
    </cfRule>
    <cfRule type="cellIs" dxfId="5319" priority="4940" stopIfTrue="1" operator="between">
      <formula>0</formula>
      <formula>0.5</formula>
    </cfRule>
  </conditionalFormatting>
  <conditionalFormatting sqref="R186:R189 Y186:Y189 AF186:AF189 AH186:AI189">
    <cfRule type="cellIs" dxfId="5318" priority="4916" operator="between">
      <formula>0.76</formula>
      <formula>0.95</formula>
    </cfRule>
    <cfRule type="cellIs" dxfId="5317" priority="4917" operator="between">
      <formula>0.51</formula>
      <formula>0.75</formula>
    </cfRule>
    <cfRule type="cellIs" dxfId="5316" priority="4918" operator="greaterThan">
      <formula>1</formula>
    </cfRule>
    <cfRule type="cellIs" dxfId="5315" priority="4919" operator="between">
      <formula>0.95</formula>
      <formula>1</formula>
    </cfRule>
    <cfRule type="cellIs" dxfId="5314" priority="4920" stopIfTrue="1" operator="between">
      <formula>0</formula>
      <formula>0.5</formula>
    </cfRule>
  </conditionalFormatting>
  <conditionalFormatting sqref="T186:T189">
    <cfRule type="cellIs" dxfId="5313" priority="4911" operator="between">
      <formula>0.3751</formula>
      <formula>0.475</formula>
    </cfRule>
    <cfRule type="cellIs" dxfId="5312" priority="4912" operator="between">
      <formula>0.2551</formula>
      <formula>0.375</formula>
    </cfRule>
    <cfRule type="cellIs" dxfId="5311" priority="4913" operator="greaterThan">
      <formula>0.505</formula>
    </cfRule>
    <cfRule type="cellIs" dxfId="5310" priority="4914" operator="between">
      <formula>0.48</formula>
      <formula>0.5</formula>
    </cfRule>
    <cfRule type="cellIs" dxfId="5309" priority="4915" stopIfTrue="1" operator="between">
      <formula>0</formula>
      <formula>0.255</formula>
    </cfRule>
  </conditionalFormatting>
  <conditionalFormatting sqref="AA186:AB189">
    <cfRule type="cellIs" dxfId="5308" priority="4906" operator="between">
      <formula>0.56251</formula>
      <formula>0.7125</formula>
    </cfRule>
    <cfRule type="cellIs" dxfId="5307" priority="4907" operator="between">
      <formula>0.3751</formula>
      <formula>0.5625</formula>
    </cfRule>
    <cfRule type="cellIs" dxfId="5306" priority="4908" operator="greaterThan">
      <formula>0.751</formula>
    </cfRule>
    <cfRule type="cellIs" dxfId="5305" priority="4909" operator="between">
      <formula>0.71251</formula>
      <formula>0.75</formula>
    </cfRule>
    <cfRule type="cellIs" dxfId="5304" priority="4910" stopIfTrue="1" operator="between">
      <formula>0</formula>
      <formula>0.375</formula>
    </cfRule>
  </conditionalFormatting>
  <conditionalFormatting sqref="U186:U189">
    <cfRule type="cellIs" dxfId="5303" priority="4896" operator="between">
      <formula>0.376</formula>
      <formula>0.475</formula>
    </cfRule>
    <cfRule type="cellIs" dxfId="5302" priority="4897" operator="between">
      <formula>0.2551</formula>
      <formula>0.3751</formula>
    </cfRule>
    <cfRule type="cellIs" dxfId="5301" priority="4898" operator="greaterThan">
      <formula>0.505</formula>
    </cfRule>
    <cfRule type="cellIs" dxfId="5300" priority="4899" operator="between">
      <formula>0.48</formula>
      <formula>0.5</formula>
    </cfRule>
    <cfRule type="cellIs" dxfId="5299" priority="4900" stopIfTrue="1" operator="between">
      <formula>0</formula>
      <formula>0.255</formula>
    </cfRule>
  </conditionalFormatting>
  <conditionalFormatting sqref="AG186:AG188">
    <cfRule type="cellIs" dxfId="5298" priority="4888" operator="between">
      <formula>0.76</formula>
      <formula>0.95</formula>
    </cfRule>
    <cfRule type="cellIs" dxfId="5297" priority="4889" operator="between">
      <formula>0.51</formula>
      <formula>0.75</formula>
    </cfRule>
    <cfRule type="cellIs" dxfId="5296" priority="4890" operator="greaterThan">
      <formula>1</formula>
    </cfRule>
    <cfRule type="cellIs" dxfId="5295" priority="4891" operator="between">
      <formula>0.95</formula>
      <formula>1</formula>
    </cfRule>
    <cfRule type="cellIs" dxfId="5294" priority="4892" stopIfTrue="1" operator="between">
      <formula>0</formula>
      <formula>0.5</formula>
    </cfRule>
  </conditionalFormatting>
  <conditionalFormatting sqref="Z186:Z188">
    <cfRule type="cellIs" dxfId="5293" priority="4883" operator="between">
      <formula>0.76</formula>
      <formula>0.95</formula>
    </cfRule>
    <cfRule type="cellIs" dxfId="5292" priority="4884" operator="between">
      <formula>0.51</formula>
      <formula>0.75</formula>
    </cfRule>
    <cfRule type="cellIs" dxfId="5291" priority="4885" operator="greaterThan">
      <formula>1</formula>
    </cfRule>
    <cfRule type="cellIs" dxfId="5290" priority="4886" operator="between">
      <formula>0.95</formula>
      <formula>1</formula>
    </cfRule>
    <cfRule type="cellIs" dxfId="5289" priority="4887" stopIfTrue="1" operator="between">
      <formula>0</formula>
      <formula>0.5</formula>
    </cfRule>
  </conditionalFormatting>
  <conditionalFormatting sqref="AC186:AC189">
    <cfRule type="cellIs" dxfId="5288" priority="4878" operator="between">
      <formula>0.56251</formula>
      <formula>0.7125</formula>
    </cfRule>
    <cfRule type="cellIs" dxfId="5287" priority="4879" operator="between">
      <formula>0.3751</formula>
      <formula>0.5625</formula>
    </cfRule>
    <cfRule type="cellIs" dxfId="5286" priority="4880" operator="greaterThan">
      <formula>0.751</formula>
    </cfRule>
    <cfRule type="cellIs" dxfId="5285" priority="4881" operator="between">
      <formula>0.71251</formula>
      <formula>0.75</formula>
    </cfRule>
    <cfRule type="cellIs" dxfId="5284" priority="4882" stopIfTrue="1" operator="between">
      <formula>0</formula>
      <formula>0.375</formula>
    </cfRule>
  </conditionalFormatting>
  <conditionalFormatting sqref="V186:V189">
    <cfRule type="cellIs" dxfId="5283" priority="4873" operator="between">
      <formula>0.376</formula>
      <formula>0.475</formula>
    </cfRule>
    <cfRule type="cellIs" dxfId="5282" priority="4874" operator="between">
      <formula>0.2551</formula>
      <formula>0.3751</formula>
    </cfRule>
    <cfRule type="cellIs" dxfId="5281" priority="4875" operator="greaterThan">
      <formula>0.505</formula>
    </cfRule>
    <cfRule type="cellIs" dxfId="5280" priority="4876" operator="between">
      <formula>0.48</formula>
      <formula>0.5</formula>
    </cfRule>
    <cfRule type="cellIs" dxfId="5279" priority="4877" stopIfTrue="1" operator="between">
      <formula>0</formula>
      <formula>0.255</formula>
    </cfRule>
  </conditionalFormatting>
  <conditionalFormatting sqref="R236:S236 Y236:Z236 AF236:AI236">
    <cfRule type="cellIs" dxfId="5278" priority="4848" operator="between">
      <formula>0.76</formula>
      <formula>0.95</formula>
    </cfRule>
    <cfRule type="cellIs" dxfId="5277" priority="4849" operator="between">
      <formula>0.51</formula>
      <formula>0.75</formula>
    </cfRule>
    <cfRule type="cellIs" dxfId="5276" priority="4850" operator="greaterThan">
      <formula>1</formula>
    </cfRule>
    <cfRule type="cellIs" dxfId="5275" priority="4851" operator="between">
      <formula>0.95</formula>
      <formula>1</formula>
    </cfRule>
    <cfRule type="cellIs" dxfId="5274" priority="4852" stopIfTrue="1" operator="between">
      <formula>0</formula>
      <formula>0.5</formula>
    </cfRule>
  </conditionalFormatting>
  <conditionalFormatting sqref="T236">
    <cfRule type="cellIs" dxfId="5273" priority="4843" operator="between">
      <formula>0.3751</formula>
      <formula>0.475</formula>
    </cfRule>
    <cfRule type="cellIs" dxfId="5272" priority="4844" operator="between">
      <formula>0.2551</formula>
      <formula>0.375</formula>
    </cfRule>
    <cfRule type="cellIs" dxfId="5271" priority="4845" operator="greaterThan">
      <formula>0.505</formula>
    </cfRule>
    <cfRule type="cellIs" dxfId="5270" priority="4846" operator="between">
      <formula>0.48</formula>
      <formula>0.5</formula>
    </cfRule>
    <cfRule type="cellIs" dxfId="5269" priority="4847" stopIfTrue="1" operator="between">
      <formula>0</formula>
      <formula>0.255</formula>
    </cfRule>
  </conditionalFormatting>
  <conditionalFormatting sqref="AA236:AC236">
    <cfRule type="cellIs" dxfId="5268" priority="4838" operator="between">
      <formula>0.56251</formula>
      <formula>0.7125</formula>
    </cfRule>
    <cfRule type="cellIs" dxfId="5267" priority="4839" operator="between">
      <formula>0.3751</formula>
      <formula>0.5625</formula>
    </cfRule>
    <cfRule type="cellIs" dxfId="5266" priority="4840" operator="greaterThan">
      <formula>0.751</formula>
    </cfRule>
    <cfRule type="cellIs" dxfId="5265" priority="4841" operator="between">
      <formula>0.71251</formula>
      <formula>0.75</formula>
    </cfRule>
    <cfRule type="cellIs" dxfId="5264" priority="4842" stopIfTrue="1" operator="between">
      <formula>0</formula>
      <formula>0.375</formula>
    </cfRule>
  </conditionalFormatting>
  <conditionalFormatting sqref="U236:V236">
    <cfRule type="cellIs" dxfId="5263" priority="4828" operator="between">
      <formula>0.376</formula>
      <formula>0.475</formula>
    </cfRule>
    <cfRule type="cellIs" dxfId="5262" priority="4829" operator="between">
      <formula>0.2551</formula>
      <formula>0.3751</formula>
    </cfRule>
    <cfRule type="cellIs" dxfId="5261" priority="4830" operator="greaterThan">
      <formula>0.505</formula>
    </cfRule>
    <cfRule type="cellIs" dxfId="5260" priority="4831" operator="between">
      <formula>0.48</formula>
      <formula>0.5</formula>
    </cfRule>
    <cfRule type="cellIs" dxfId="5259" priority="4832" stopIfTrue="1" operator="between">
      <formula>0</formula>
      <formula>0.255</formula>
    </cfRule>
  </conditionalFormatting>
  <conditionalFormatting sqref="AG191 AI191 S191 Z191">
    <cfRule type="cellIs" dxfId="5258" priority="4810" operator="between">
      <formula>0.76</formula>
      <formula>0.95</formula>
    </cfRule>
    <cfRule type="cellIs" dxfId="5257" priority="4811" operator="between">
      <formula>0.51</formula>
      <formula>0.75</formula>
    </cfRule>
    <cfRule type="cellIs" dxfId="5256" priority="4812" operator="greaterThan">
      <formula>1</formula>
    </cfRule>
    <cfRule type="cellIs" dxfId="5255" priority="4813" operator="between">
      <formula>0.95</formula>
      <formula>1</formula>
    </cfRule>
    <cfRule type="cellIs" dxfId="5254" priority="4814" stopIfTrue="1" operator="between">
      <formula>0</formula>
      <formula>0.5</formula>
    </cfRule>
  </conditionalFormatting>
  <conditionalFormatting sqref="R191">
    <cfRule type="cellIs" dxfId="5253" priority="4800" operator="between">
      <formula>0.76</formula>
      <formula>0.95</formula>
    </cfRule>
    <cfRule type="cellIs" dxfId="5252" priority="4801" operator="between">
      <formula>0.51</formula>
      <formula>0.75</formula>
    </cfRule>
    <cfRule type="cellIs" dxfId="5251" priority="4802" operator="greaterThan">
      <formula>1</formula>
    </cfRule>
    <cfRule type="cellIs" dxfId="5250" priority="4803" operator="between">
      <formula>0.95</formula>
      <formula>1</formula>
    </cfRule>
    <cfRule type="cellIs" dxfId="5249" priority="4804" stopIfTrue="1" operator="between">
      <formula>0</formula>
      <formula>0.5</formula>
    </cfRule>
  </conditionalFormatting>
  <conditionalFormatting sqref="Y191">
    <cfRule type="cellIs" dxfId="5248" priority="4795" operator="between">
      <formula>0.76</formula>
      <formula>0.95</formula>
    </cfRule>
    <cfRule type="cellIs" dxfId="5247" priority="4796" operator="between">
      <formula>0.51</formula>
      <formula>0.75</formula>
    </cfRule>
    <cfRule type="cellIs" dxfId="5246" priority="4797" operator="greaterThan">
      <formula>1</formula>
    </cfRule>
    <cfRule type="cellIs" dxfId="5245" priority="4798" operator="between">
      <formula>0.95</formula>
      <formula>1</formula>
    </cfRule>
    <cfRule type="cellIs" dxfId="5244" priority="4799" stopIfTrue="1" operator="between">
      <formula>0</formula>
      <formula>0.5</formula>
    </cfRule>
  </conditionalFormatting>
  <conditionalFormatting sqref="AF191">
    <cfRule type="cellIs" dxfId="5243" priority="4790" operator="between">
      <formula>0.76</formula>
      <formula>0.95</formula>
    </cfRule>
    <cfRule type="cellIs" dxfId="5242" priority="4791" operator="between">
      <formula>0.51</formula>
      <formula>0.75</formula>
    </cfRule>
    <cfRule type="cellIs" dxfId="5241" priority="4792" operator="greaterThan">
      <formula>1</formula>
    </cfRule>
    <cfRule type="cellIs" dxfId="5240" priority="4793" operator="between">
      <formula>0.95</formula>
      <formula>1</formula>
    </cfRule>
    <cfRule type="cellIs" dxfId="5239" priority="4794" stopIfTrue="1" operator="between">
      <formula>0</formula>
      <formula>0.5</formula>
    </cfRule>
  </conditionalFormatting>
  <conditionalFormatting sqref="AH191">
    <cfRule type="cellIs" dxfId="5238" priority="4785" operator="between">
      <formula>0.76</formula>
      <formula>0.95</formula>
    </cfRule>
    <cfRule type="cellIs" dxfId="5237" priority="4786" operator="between">
      <formula>0.51</formula>
      <formula>0.75</formula>
    </cfRule>
    <cfRule type="cellIs" dxfId="5236" priority="4787" operator="greaterThan">
      <formula>1</formula>
    </cfRule>
    <cfRule type="cellIs" dxfId="5235" priority="4788" operator="between">
      <formula>0.95</formula>
      <formula>1</formula>
    </cfRule>
    <cfRule type="cellIs" dxfId="5234" priority="4789" stopIfTrue="1" operator="between">
      <formula>0</formula>
      <formula>0.5</formula>
    </cfRule>
  </conditionalFormatting>
  <conditionalFormatting sqref="O191">
    <cfRule type="cellIs" dxfId="5233" priority="4780" operator="between">
      <formula>0.1876</formula>
      <formula>0.2375</formula>
    </cfRule>
    <cfRule type="cellIs" dxfId="5232" priority="4781" operator="between">
      <formula>0.1251</formula>
      <formula>0.1875</formula>
    </cfRule>
    <cfRule type="cellIs" dxfId="5231" priority="4782" operator="greaterThan">
      <formula>0.25</formula>
    </cfRule>
    <cfRule type="cellIs" dxfId="5230" priority="4783" operator="between">
      <formula>0.2376</formula>
      <formula>0.25</formula>
    </cfRule>
    <cfRule type="cellIs" dxfId="5229" priority="4784" stopIfTrue="1" operator="between">
      <formula>0</formula>
      <formula>0.125</formula>
    </cfRule>
  </conditionalFormatting>
  <conditionalFormatting sqref="M191">
    <cfRule type="cellIs" dxfId="5228" priority="4775" operator="between">
      <formula>0.1876</formula>
      <formula>0.2375</formula>
    </cfRule>
    <cfRule type="cellIs" dxfId="5227" priority="4776" operator="between">
      <formula>0.1251</formula>
      <formula>0.1875</formula>
    </cfRule>
    <cfRule type="cellIs" dxfId="5226" priority="4777" operator="greaterThan">
      <formula>0.25</formula>
    </cfRule>
    <cfRule type="cellIs" dxfId="5225" priority="4778" operator="between">
      <formula>0.2376</formula>
      <formula>0.25</formula>
    </cfRule>
    <cfRule type="cellIs" dxfId="5224" priority="4779" stopIfTrue="1" operator="between">
      <formula>0</formula>
      <formula>0.125</formula>
    </cfRule>
  </conditionalFormatting>
  <conditionalFormatting sqref="T191">
    <cfRule type="cellIs" dxfId="5223" priority="4770" operator="between">
      <formula>0.3751</formula>
      <formula>0.475</formula>
    </cfRule>
    <cfRule type="cellIs" dxfId="5222" priority="4771" operator="between">
      <formula>0.2551</formula>
      <formula>0.375</formula>
    </cfRule>
    <cfRule type="cellIs" dxfId="5221" priority="4772" operator="greaterThan">
      <formula>0.505</formula>
    </cfRule>
    <cfRule type="cellIs" dxfId="5220" priority="4773" operator="between">
      <formula>0.48</formula>
      <formula>0.5</formula>
    </cfRule>
    <cfRule type="cellIs" dxfId="5219" priority="4774" stopIfTrue="1" operator="between">
      <formula>0</formula>
      <formula>0.255</formula>
    </cfRule>
  </conditionalFormatting>
  <conditionalFormatting sqref="U191:V191">
    <cfRule type="cellIs" dxfId="5218" priority="4765" operator="between">
      <formula>0.376</formula>
      <formula>0.475</formula>
    </cfRule>
    <cfRule type="cellIs" dxfId="5217" priority="4766" operator="between">
      <formula>0.2551</formula>
      <formula>0.3751</formula>
    </cfRule>
    <cfRule type="cellIs" dxfId="5216" priority="4767" operator="greaterThan">
      <formula>0.505</formula>
    </cfRule>
    <cfRule type="cellIs" dxfId="5215" priority="4768" operator="between">
      <formula>0.48</formula>
      <formula>0.5</formula>
    </cfRule>
    <cfRule type="cellIs" dxfId="5214" priority="4769" stopIfTrue="1" operator="between">
      <formula>0</formula>
      <formula>0.255</formula>
    </cfRule>
  </conditionalFormatting>
  <conditionalFormatting sqref="AA191">
    <cfRule type="cellIs" dxfId="5213" priority="4760" operator="between">
      <formula>0.56251</formula>
      <formula>0.7125</formula>
    </cfRule>
    <cfRule type="cellIs" dxfId="5212" priority="4761" operator="between">
      <formula>0.3751</formula>
      <formula>0.5625</formula>
    </cfRule>
    <cfRule type="cellIs" dxfId="5211" priority="4762" operator="greaterThan">
      <formula>0.751</formula>
    </cfRule>
    <cfRule type="cellIs" dxfId="5210" priority="4763" operator="between">
      <formula>0.71251</formula>
      <formula>0.75</formula>
    </cfRule>
    <cfRule type="cellIs" dxfId="5209" priority="4764" stopIfTrue="1" operator="between">
      <formula>0</formula>
      <formula>0.375</formula>
    </cfRule>
  </conditionalFormatting>
  <conditionalFormatting sqref="AC191">
    <cfRule type="cellIs" dxfId="5208" priority="4755" operator="between">
      <formula>0.56251</formula>
      <formula>0.7125</formula>
    </cfRule>
    <cfRule type="cellIs" dxfId="5207" priority="4756" operator="between">
      <formula>0.3751</formula>
      <formula>0.5625</formula>
    </cfRule>
    <cfRule type="cellIs" dxfId="5206" priority="4757" operator="greaterThan">
      <formula>0.751</formula>
    </cfRule>
    <cfRule type="cellIs" dxfId="5205" priority="4758" operator="between">
      <formula>0.71251</formula>
      <formula>0.75</formula>
    </cfRule>
    <cfRule type="cellIs" dxfId="5204" priority="4759" stopIfTrue="1" operator="between">
      <formula>0</formula>
      <formula>0.375</formula>
    </cfRule>
  </conditionalFormatting>
  <conditionalFormatting sqref="AB191">
    <cfRule type="cellIs" dxfId="5203" priority="4750" operator="between">
      <formula>0.56251</formula>
      <formula>0.7125</formula>
    </cfRule>
    <cfRule type="cellIs" dxfId="5202" priority="4751" operator="between">
      <formula>0.3751</formula>
      <formula>0.5625</formula>
    </cfRule>
    <cfRule type="cellIs" dxfId="5201" priority="4752" operator="greaterThan">
      <formula>0.751</formula>
    </cfRule>
    <cfRule type="cellIs" dxfId="5200" priority="4753" operator="between">
      <formula>0.71251</formula>
      <formula>0.75</formula>
    </cfRule>
    <cfRule type="cellIs" dxfId="5199" priority="4754" stopIfTrue="1" operator="between">
      <formula>0</formula>
      <formula>0.375</formula>
    </cfRule>
  </conditionalFormatting>
  <conditionalFormatting sqref="AG190 AI190">
    <cfRule type="cellIs" dxfId="5198" priority="4733" operator="between">
      <formula>0.76</formula>
      <formula>0.95</formula>
    </cfRule>
    <cfRule type="cellIs" dxfId="5197" priority="4734" operator="between">
      <formula>0.51</formula>
      <formula>0.75</formula>
    </cfRule>
    <cfRule type="cellIs" dxfId="5196" priority="4735" operator="greaterThan">
      <formula>1</formula>
    </cfRule>
    <cfRule type="cellIs" dxfId="5195" priority="4736" operator="between">
      <formula>0.95</formula>
      <formula>1</formula>
    </cfRule>
    <cfRule type="cellIs" dxfId="5194" priority="4737" stopIfTrue="1" operator="between">
      <formula>0</formula>
      <formula>0.5</formula>
    </cfRule>
  </conditionalFormatting>
  <conditionalFormatting sqref="R190">
    <cfRule type="cellIs" dxfId="5193" priority="4723" operator="between">
      <formula>0.76</formula>
      <formula>0.95</formula>
    </cfRule>
    <cfRule type="cellIs" dxfId="5192" priority="4724" operator="between">
      <formula>0.51</formula>
      <formula>0.75</formula>
    </cfRule>
    <cfRule type="cellIs" dxfId="5191" priority="4725" operator="greaterThan">
      <formula>1</formula>
    </cfRule>
    <cfRule type="cellIs" dxfId="5190" priority="4726" operator="between">
      <formula>0.95</formula>
      <formula>1</formula>
    </cfRule>
    <cfRule type="cellIs" dxfId="5189" priority="4727" stopIfTrue="1" operator="between">
      <formula>0</formula>
      <formula>0.5</formula>
    </cfRule>
  </conditionalFormatting>
  <conditionalFormatting sqref="Y190">
    <cfRule type="cellIs" dxfId="5188" priority="4718" operator="between">
      <formula>0.76</formula>
      <formula>0.95</formula>
    </cfRule>
    <cfRule type="cellIs" dxfId="5187" priority="4719" operator="between">
      <formula>0.51</formula>
      <formula>0.75</formula>
    </cfRule>
    <cfRule type="cellIs" dxfId="5186" priority="4720" operator="greaterThan">
      <formula>1</formula>
    </cfRule>
    <cfRule type="cellIs" dxfId="5185" priority="4721" operator="between">
      <formula>0.95</formula>
      <formula>1</formula>
    </cfRule>
    <cfRule type="cellIs" dxfId="5184" priority="4722" stopIfTrue="1" operator="between">
      <formula>0</formula>
      <formula>0.5</formula>
    </cfRule>
  </conditionalFormatting>
  <conditionalFormatting sqref="AF190">
    <cfRule type="cellIs" dxfId="5183" priority="4713" operator="between">
      <formula>0.76</formula>
      <formula>0.95</formula>
    </cfRule>
    <cfRule type="cellIs" dxfId="5182" priority="4714" operator="between">
      <formula>0.51</formula>
      <formula>0.75</formula>
    </cfRule>
    <cfRule type="cellIs" dxfId="5181" priority="4715" operator="greaterThan">
      <formula>1</formula>
    </cfRule>
    <cfRule type="cellIs" dxfId="5180" priority="4716" operator="between">
      <formula>0.95</formula>
      <formula>1</formula>
    </cfRule>
    <cfRule type="cellIs" dxfId="5179" priority="4717" stopIfTrue="1" operator="between">
      <formula>0</formula>
      <formula>0.5</formula>
    </cfRule>
  </conditionalFormatting>
  <conditionalFormatting sqref="AH190">
    <cfRule type="cellIs" dxfId="5178" priority="4708" operator="between">
      <formula>0.76</formula>
      <formula>0.95</formula>
    </cfRule>
    <cfRule type="cellIs" dxfId="5177" priority="4709" operator="between">
      <formula>0.51</formula>
      <formula>0.75</formula>
    </cfRule>
    <cfRule type="cellIs" dxfId="5176" priority="4710" operator="greaterThan">
      <formula>1</formula>
    </cfRule>
    <cfRule type="cellIs" dxfId="5175" priority="4711" operator="between">
      <formula>0.95</formula>
      <formula>1</formula>
    </cfRule>
    <cfRule type="cellIs" dxfId="5174" priority="4712" stopIfTrue="1" operator="between">
      <formula>0</formula>
      <formula>0.5</formula>
    </cfRule>
  </conditionalFormatting>
  <conditionalFormatting sqref="T190">
    <cfRule type="cellIs" dxfId="5173" priority="4693" operator="between">
      <formula>0.3751</formula>
      <formula>0.475</formula>
    </cfRule>
    <cfRule type="cellIs" dxfId="5172" priority="4694" operator="between">
      <formula>0.2551</formula>
      <formula>0.375</formula>
    </cfRule>
    <cfRule type="cellIs" dxfId="5171" priority="4695" operator="greaterThan">
      <formula>0.505</formula>
    </cfRule>
    <cfRule type="cellIs" dxfId="5170" priority="4696" operator="between">
      <formula>0.48</formula>
      <formula>0.5</formula>
    </cfRule>
    <cfRule type="cellIs" dxfId="5169" priority="4697" stopIfTrue="1" operator="between">
      <formula>0</formula>
      <formula>0.255</formula>
    </cfRule>
  </conditionalFormatting>
  <conditionalFormatting sqref="U190:V190">
    <cfRule type="cellIs" dxfId="5168" priority="4688" operator="between">
      <formula>0.376</formula>
      <formula>0.475</formula>
    </cfRule>
    <cfRule type="cellIs" dxfId="5167" priority="4689" operator="between">
      <formula>0.2551</formula>
      <formula>0.3751</formula>
    </cfRule>
    <cfRule type="cellIs" dxfId="5166" priority="4690" operator="greaterThan">
      <formula>0.505</formula>
    </cfRule>
    <cfRule type="cellIs" dxfId="5165" priority="4691" operator="between">
      <formula>0.48</formula>
      <formula>0.5</formula>
    </cfRule>
    <cfRule type="cellIs" dxfId="5164" priority="4692" stopIfTrue="1" operator="between">
      <formula>0</formula>
      <formula>0.255</formula>
    </cfRule>
  </conditionalFormatting>
  <conditionalFormatting sqref="AA190">
    <cfRule type="cellIs" dxfId="5163" priority="4683" operator="between">
      <formula>0.56251</formula>
      <formula>0.7125</formula>
    </cfRule>
    <cfRule type="cellIs" dxfId="5162" priority="4684" operator="between">
      <formula>0.3751</formula>
      <formula>0.5625</formula>
    </cfRule>
    <cfRule type="cellIs" dxfId="5161" priority="4685" operator="greaterThan">
      <formula>0.751</formula>
    </cfRule>
    <cfRule type="cellIs" dxfId="5160" priority="4686" operator="between">
      <formula>0.71251</formula>
      <formula>0.75</formula>
    </cfRule>
    <cfRule type="cellIs" dxfId="5159" priority="4687" stopIfTrue="1" operator="between">
      <formula>0</formula>
      <formula>0.375</formula>
    </cfRule>
  </conditionalFormatting>
  <conditionalFormatting sqref="AC190">
    <cfRule type="cellIs" dxfId="5158" priority="4678" operator="between">
      <formula>0.56251</formula>
      <formula>0.7125</formula>
    </cfRule>
    <cfRule type="cellIs" dxfId="5157" priority="4679" operator="between">
      <formula>0.3751</formula>
      <formula>0.5625</formula>
    </cfRule>
    <cfRule type="cellIs" dxfId="5156" priority="4680" operator="greaterThan">
      <formula>0.751</formula>
    </cfRule>
    <cfRule type="cellIs" dxfId="5155" priority="4681" operator="between">
      <formula>0.71251</formula>
      <formula>0.75</formula>
    </cfRule>
    <cfRule type="cellIs" dxfId="5154" priority="4682" stopIfTrue="1" operator="between">
      <formula>0</formula>
      <formula>0.375</formula>
    </cfRule>
  </conditionalFormatting>
  <conditionalFormatting sqref="AB190">
    <cfRule type="cellIs" dxfId="5153" priority="4673" operator="between">
      <formula>0.56251</formula>
      <formula>0.7125</formula>
    </cfRule>
    <cfRule type="cellIs" dxfId="5152" priority="4674" operator="between">
      <formula>0.3751</formula>
      <formula>0.5625</formula>
    </cfRule>
    <cfRule type="cellIs" dxfId="5151" priority="4675" operator="greaterThan">
      <formula>0.751</formula>
    </cfRule>
    <cfRule type="cellIs" dxfId="5150" priority="4676" operator="between">
      <formula>0.71251</formula>
      <formula>0.75</formula>
    </cfRule>
    <cfRule type="cellIs" dxfId="5149" priority="4677" stopIfTrue="1" operator="between">
      <formula>0</formula>
      <formula>0.375</formula>
    </cfRule>
  </conditionalFormatting>
  <conditionalFormatting sqref="S186">
    <cfRule type="cellIs" dxfId="5148" priority="4656" operator="between">
      <formula>0.76</formula>
      <formula>0.95</formula>
    </cfRule>
    <cfRule type="cellIs" dxfId="5147" priority="4657" operator="between">
      <formula>0.51</formula>
      <formula>0.75</formula>
    </cfRule>
    <cfRule type="cellIs" dxfId="5146" priority="4658" operator="greaterThan">
      <formula>1</formula>
    </cfRule>
    <cfRule type="cellIs" dxfId="5145" priority="4659" operator="between">
      <formula>0.95</formula>
      <formula>1</formula>
    </cfRule>
    <cfRule type="cellIs" dxfId="5144" priority="4660" stopIfTrue="1" operator="between">
      <formula>0</formula>
      <formula>0.5</formula>
    </cfRule>
  </conditionalFormatting>
  <conditionalFormatting sqref="S189:S190">
    <cfRule type="cellIs" dxfId="5143" priority="4651" operator="between">
      <formula>0.76</formula>
      <formula>0.95</formula>
    </cfRule>
    <cfRule type="cellIs" dxfId="5142" priority="4652" operator="between">
      <formula>0.51</formula>
      <formula>0.75</formula>
    </cfRule>
    <cfRule type="cellIs" dxfId="5141" priority="4653" operator="greaterThan">
      <formula>1</formula>
    </cfRule>
    <cfRule type="cellIs" dxfId="5140" priority="4654" operator="between">
      <formula>0.95</formula>
      <formula>1</formula>
    </cfRule>
    <cfRule type="cellIs" dxfId="5139" priority="4655" stopIfTrue="1" operator="between">
      <formula>0</formula>
      <formula>0.5</formula>
    </cfRule>
  </conditionalFormatting>
  <conditionalFormatting sqref="Z189:Z190">
    <cfRule type="cellIs" dxfId="5138" priority="4646" operator="between">
      <formula>0.76</formula>
      <formula>0.95</formula>
    </cfRule>
    <cfRule type="cellIs" dxfId="5137" priority="4647" operator="between">
      <formula>0.51</formula>
      <formula>0.75</formula>
    </cfRule>
    <cfRule type="cellIs" dxfId="5136" priority="4648" operator="greaterThan">
      <formula>1</formula>
    </cfRule>
    <cfRule type="cellIs" dxfId="5135" priority="4649" operator="between">
      <formula>0.95</formula>
      <formula>1</formula>
    </cfRule>
    <cfRule type="cellIs" dxfId="5134" priority="4650" stopIfTrue="1" operator="between">
      <formula>0</formula>
      <formula>0.5</formula>
    </cfRule>
  </conditionalFormatting>
  <conditionalFormatting sqref="AG189">
    <cfRule type="cellIs" dxfId="5133" priority="4641" operator="between">
      <formula>0.76</formula>
      <formula>0.95</formula>
    </cfRule>
    <cfRule type="cellIs" dxfId="5132" priority="4642" operator="between">
      <formula>0.51</formula>
      <formula>0.75</formula>
    </cfRule>
    <cfRule type="cellIs" dxfId="5131" priority="4643" operator="greaterThan">
      <formula>1</formula>
    </cfRule>
    <cfRule type="cellIs" dxfId="5130" priority="4644" operator="between">
      <formula>0.95</formula>
      <formula>1</formula>
    </cfRule>
    <cfRule type="cellIs" dxfId="5129" priority="4645" stopIfTrue="1" operator="between">
      <formula>0</formula>
      <formula>0.5</formula>
    </cfRule>
  </conditionalFormatting>
  <conditionalFormatting sqref="Y286 AF286 R286 AH286:AI286">
    <cfRule type="cellIs" dxfId="5128" priority="4636" operator="between">
      <formula>0.76</formula>
      <formula>0.95</formula>
    </cfRule>
    <cfRule type="cellIs" dxfId="5127" priority="4637" operator="between">
      <formula>0.51</formula>
      <formula>0.75</formula>
    </cfRule>
    <cfRule type="cellIs" dxfId="5126" priority="4638" operator="greaterThan">
      <formula>1</formula>
    </cfRule>
    <cfRule type="cellIs" dxfId="5125" priority="4639" operator="between">
      <formula>0.95</formula>
      <formula>1</formula>
    </cfRule>
    <cfRule type="cellIs" dxfId="5124" priority="4640" stopIfTrue="1" operator="between">
      <formula>0</formula>
      <formula>0.5</formula>
    </cfRule>
  </conditionalFormatting>
  <conditionalFormatting sqref="T286">
    <cfRule type="cellIs" dxfId="5123" priority="4631" operator="between">
      <formula>0.3751</formula>
      <formula>0.475</formula>
    </cfRule>
    <cfRule type="cellIs" dxfId="5122" priority="4632" operator="between">
      <formula>0.2551</formula>
      <formula>0.375</formula>
    </cfRule>
    <cfRule type="cellIs" dxfId="5121" priority="4633" operator="greaterThan">
      <formula>0.505</formula>
    </cfRule>
    <cfRule type="cellIs" dxfId="5120" priority="4634" operator="between">
      <formula>0.48</formula>
      <formula>0.5</formula>
    </cfRule>
    <cfRule type="cellIs" dxfId="5119" priority="4635" stopIfTrue="1" operator="between">
      <formula>0</formula>
      <formula>0.255</formula>
    </cfRule>
  </conditionalFormatting>
  <conditionalFormatting sqref="AA286:AB286">
    <cfRule type="cellIs" dxfId="5118" priority="4626" operator="between">
      <formula>0.56251</formula>
      <formula>0.7125</formula>
    </cfRule>
    <cfRule type="cellIs" dxfId="5117" priority="4627" operator="between">
      <formula>0.3751</formula>
      <formula>0.5625</formula>
    </cfRule>
    <cfRule type="cellIs" dxfId="5116" priority="4628" operator="greaterThan">
      <formula>0.751</formula>
    </cfRule>
    <cfRule type="cellIs" dxfId="5115" priority="4629" operator="between">
      <formula>0.71251</formula>
      <formula>0.75</formula>
    </cfRule>
    <cfRule type="cellIs" dxfId="5114" priority="4630" stopIfTrue="1" operator="between">
      <formula>0</formula>
      <formula>0.375</formula>
    </cfRule>
  </conditionalFormatting>
  <conditionalFormatting sqref="U286">
    <cfRule type="cellIs" dxfId="5113" priority="4616" operator="between">
      <formula>0.376</formula>
      <formula>0.475</formula>
    </cfRule>
    <cfRule type="cellIs" dxfId="5112" priority="4617" operator="between">
      <formula>0.2551</formula>
      <formula>0.3751</formula>
    </cfRule>
    <cfRule type="cellIs" dxfId="5111" priority="4618" operator="greaterThan">
      <formula>0.505</formula>
    </cfRule>
    <cfRule type="cellIs" dxfId="5110" priority="4619" operator="between">
      <formula>0.48</formula>
      <formula>0.5</formula>
    </cfRule>
    <cfRule type="cellIs" dxfId="5109" priority="4620" stopIfTrue="1" operator="between">
      <formula>0</formula>
      <formula>0.255</formula>
    </cfRule>
  </conditionalFormatting>
  <conditionalFormatting sqref="S286">
    <cfRule type="cellIs" dxfId="5108" priority="4603" operator="between">
      <formula>0.76</formula>
      <formula>0.95</formula>
    </cfRule>
    <cfRule type="cellIs" dxfId="5107" priority="4604" operator="between">
      <formula>0.51</formula>
      <formula>0.75</formula>
    </cfRule>
    <cfRule type="cellIs" dxfId="5106" priority="4605" operator="greaterThan">
      <formula>1</formula>
    </cfRule>
    <cfRule type="cellIs" dxfId="5105" priority="4606" operator="between">
      <formula>0.95</formula>
      <formula>1</formula>
    </cfRule>
    <cfRule type="cellIs" dxfId="5104" priority="4607" stopIfTrue="1" operator="between">
      <formula>0</formula>
      <formula>0.5</formula>
    </cfRule>
  </conditionalFormatting>
  <conditionalFormatting sqref="V286">
    <cfRule type="cellIs" dxfId="5103" priority="4598" operator="between">
      <formula>0.376</formula>
      <formula>0.475</formula>
    </cfRule>
    <cfRule type="cellIs" dxfId="5102" priority="4599" operator="between">
      <formula>0.2551</formula>
      <formula>0.3751</formula>
    </cfRule>
    <cfRule type="cellIs" dxfId="5101" priority="4600" operator="greaterThan">
      <formula>0.505</formula>
    </cfRule>
    <cfRule type="cellIs" dxfId="5100" priority="4601" operator="between">
      <formula>0.48</formula>
      <formula>0.5</formula>
    </cfRule>
    <cfRule type="cellIs" dxfId="5099" priority="4602" stopIfTrue="1" operator="between">
      <formula>0</formula>
      <formula>0.255</formula>
    </cfRule>
  </conditionalFormatting>
  <conditionalFormatting sqref="AC286">
    <cfRule type="cellIs" dxfId="5098" priority="4593" operator="between">
      <formula>0.56251</formula>
      <formula>0.7125</formula>
    </cfRule>
    <cfRule type="cellIs" dxfId="5097" priority="4594" operator="between">
      <formula>0.3751</formula>
      <formula>0.5625</formula>
    </cfRule>
    <cfRule type="cellIs" dxfId="5096" priority="4595" operator="greaterThan">
      <formula>0.751</formula>
    </cfRule>
    <cfRule type="cellIs" dxfId="5095" priority="4596" operator="between">
      <formula>0.71251</formula>
      <formula>0.75</formula>
    </cfRule>
    <cfRule type="cellIs" dxfId="5094" priority="4597" stopIfTrue="1" operator="between">
      <formula>0</formula>
      <formula>0.375</formula>
    </cfRule>
  </conditionalFormatting>
  <conditionalFormatting sqref="AG286">
    <cfRule type="cellIs" dxfId="5093" priority="4588" operator="between">
      <formula>0.76</formula>
      <formula>0.95</formula>
    </cfRule>
    <cfRule type="cellIs" dxfId="5092" priority="4589" operator="between">
      <formula>0.51</formula>
      <formula>0.75</formula>
    </cfRule>
    <cfRule type="cellIs" dxfId="5091" priority="4590" operator="greaterThan">
      <formula>1</formula>
    </cfRule>
    <cfRule type="cellIs" dxfId="5090" priority="4591" operator="between">
      <formula>0.95</formula>
      <formula>1</formula>
    </cfRule>
    <cfRule type="cellIs" dxfId="5089" priority="4592" stopIfTrue="1" operator="between">
      <formula>0</formula>
      <formula>0.5</formula>
    </cfRule>
  </conditionalFormatting>
  <conditionalFormatting sqref="Z286">
    <cfRule type="cellIs" dxfId="5088" priority="4583" operator="between">
      <formula>0.76</formula>
      <formula>0.95</formula>
    </cfRule>
    <cfRule type="cellIs" dxfId="5087" priority="4584" operator="between">
      <formula>0.51</formula>
      <formula>0.75</formula>
    </cfRule>
    <cfRule type="cellIs" dxfId="5086" priority="4585" operator="greaterThan">
      <formula>1</formula>
    </cfRule>
    <cfRule type="cellIs" dxfId="5085" priority="4586" operator="between">
      <formula>0.95</formula>
      <formula>1</formula>
    </cfRule>
    <cfRule type="cellIs" dxfId="5084" priority="4587" stopIfTrue="1" operator="between">
      <formula>0</formula>
      <formula>0.5</formula>
    </cfRule>
  </conditionalFormatting>
  <conditionalFormatting sqref="Y287 AF287 R287 AH287:AI287">
    <cfRule type="cellIs" dxfId="5083" priority="4573" operator="between">
      <formula>0.76</formula>
      <formula>0.95</formula>
    </cfRule>
    <cfRule type="cellIs" dxfId="5082" priority="4574" operator="between">
      <formula>0.51</formula>
      <formula>0.75</formula>
    </cfRule>
    <cfRule type="cellIs" dxfId="5081" priority="4575" operator="greaterThan">
      <formula>1</formula>
    </cfRule>
    <cfRule type="cellIs" dxfId="5080" priority="4576" operator="between">
      <formula>0.95</formula>
      <formula>1</formula>
    </cfRule>
    <cfRule type="cellIs" dxfId="5079" priority="4577" stopIfTrue="1" operator="between">
      <formula>0</formula>
      <formula>0.5</formula>
    </cfRule>
  </conditionalFormatting>
  <conditionalFormatting sqref="T287">
    <cfRule type="cellIs" dxfId="5078" priority="4568" operator="between">
      <formula>0.3751</formula>
      <formula>0.475</formula>
    </cfRule>
    <cfRule type="cellIs" dxfId="5077" priority="4569" operator="between">
      <formula>0.2551</formula>
      <formula>0.375</formula>
    </cfRule>
    <cfRule type="cellIs" dxfId="5076" priority="4570" operator="greaterThan">
      <formula>0.505</formula>
    </cfRule>
    <cfRule type="cellIs" dxfId="5075" priority="4571" operator="between">
      <formula>0.48</formula>
      <formula>0.5</formula>
    </cfRule>
    <cfRule type="cellIs" dxfId="5074" priority="4572" stopIfTrue="1" operator="between">
      <formula>0</formula>
      <formula>0.255</formula>
    </cfRule>
  </conditionalFormatting>
  <conditionalFormatting sqref="AA287:AB287">
    <cfRule type="cellIs" dxfId="5073" priority="4563" operator="between">
      <formula>0.56251</formula>
      <formula>0.7125</formula>
    </cfRule>
    <cfRule type="cellIs" dxfId="5072" priority="4564" operator="between">
      <formula>0.3751</formula>
      <formula>0.5625</formula>
    </cfRule>
    <cfRule type="cellIs" dxfId="5071" priority="4565" operator="greaterThan">
      <formula>0.751</formula>
    </cfRule>
    <cfRule type="cellIs" dxfId="5070" priority="4566" operator="between">
      <formula>0.71251</formula>
      <formula>0.75</formula>
    </cfRule>
    <cfRule type="cellIs" dxfId="5069" priority="4567" stopIfTrue="1" operator="between">
      <formula>0</formula>
      <formula>0.375</formula>
    </cfRule>
  </conditionalFormatting>
  <conditionalFormatting sqref="U287">
    <cfRule type="cellIs" dxfId="5068" priority="4553" operator="between">
      <formula>0.376</formula>
      <formula>0.475</formula>
    </cfRule>
    <cfRule type="cellIs" dxfId="5067" priority="4554" operator="between">
      <formula>0.2551</formula>
      <formula>0.3751</formula>
    </cfRule>
    <cfRule type="cellIs" dxfId="5066" priority="4555" operator="greaterThan">
      <formula>0.505</formula>
    </cfRule>
    <cfRule type="cellIs" dxfId="5065" priority="4556" operator="between">
      <formula>0.48</formula>
      <formula>0.5</formula>
    </cfRule>
    <cfRule type="cellIs" dxfId="5064" priority="4557" stopIfTrue="1" operator="between">
      <formula>0</formula>
      <formula>0.255</formula>
    </cfRule>
  </conditionalFormatting>
  <conditionalFormatting sqref="S287">
    <cfRule type="cellIs" dxfId="5063" priority="4540" operator="between">
      <formula>0.76</formula>
      <formula>0.95</formula>
    </cfRule>
    <cfRule type="cellIs" dxfId="5062" priority="4541" operator="between">
      <formula>0.51</formula>
      <formula>0.75</formula>
    </cfRule>
    <cfRule type="cellIs" dxfId="5061" priority="4542" operator="greaterThan">
      <formula>1</formula>
    </cfRule>
    <cfRule type="cellIs" dxfId="5060" priority="4543" operator="between">
      <formula>0.95</formula>
      <formula>1</formula>
    </cfRule>
    <cfRule type="cellIs" dxfId="5059" priority="4544" stopIfTrue="1" operator="between">
      <formula>0</formula>
      <formula>0.5</formula>
    </cfRule>
  </conditionalFormatting>
  <conditionalFormatting sqref="V287">
    <cfRule type="cellIs" dxfId="5058" priority="4535" operator="between">
      <formula>0.376</formula>
      <formula>0.475</formula>
    </cfRule>
    <cfRule type="cellIs" dxfId="5057" priority="4536" operator="between">
      <formula>0.2551</formula>
      <formula>0.3751</formula>
    </cfRule>
    <cfRule type="cellIs" dxfId="5056" priority="4537" operator="greaterThan">
      <formula>0.505</formula>
    </cfRule>
    <cfRule type="cellIs" dxfId="5055" priority="4538" operator="between">
      <formula>0.48</formula>
      <formula>0.5</formula>
    </cfRule>
    <cfRule type="cellIs" dxfId="5054" priority="4539" stopIfTrue="1" operator="between">
      <formula>0</formula>
      <formula>0.255</formula>
    </cfRule>
  </conditionalFormatting>
  <conditionalFormatting sqref="AC287">
    <cfRule type="cellIs" dxfId="5053" priority="4530" operator="between">
      <formula>0.56251</formula>
      <formula>0.7125</formula>
    </cfRule>
    <cfRule type="cellIs" dxfId="5052" priority="4531" operator="between">
      <formula>0.3751</formula>
      <formula>0.5625</formula>
    </cfRule>
    <cfRule type="cellIs" dxfId="5051" priority="4532" operator="greaterThan">
      <formula>0.751</formula>
    </cfRule>
    <cfRule type="cellIs" dxfId="5050" priority="4533" operator="between">
      <formula>0.71251</formula>
      <formula>0.75</formula>
    </cfRule>
    <cfRule type="cellIs" dxfId="5049" priority="4534" stopIfTrue="1" operator="between">
      <formula>0</formula>
      <formula>0.375</formula>
    </cfRule>
  </conditionalFormatting>
  <conditionalFormatting sqref="AG287">
    <cfRule type="cellIs" dxfId="5048" priority="4525" operator="between">
      <formula>0.76</formula>
      <formula>0.95</formula>
    </cfRule>
    <cfRule type="cellIs" dxfId="5047" priority="4526" operator="between">
      <formula>0.51</formula>
      <formula>0.75</formula>
    </cfRule>
    <cfRule type="cellIs" dxfId="5046" priority="4527" operator="greaterThan">
      <formula>1</formula>
    </cfRule>
    <cfRule type="cellIs" dxfId="5045" priority="4528" operator="between">
      <formula>0.95</formula>
      <formula>1</formula>
    </cfRule>
    <cfRule type="cellIs" dxfId="5044" priority="4529" stopIfTrue="1" operator="between">
      <formula>0</formula>
      <formula>0.5</formula>
    </cfRule>
  </conditionalFormatting>
  <conditionalFormatting sqref="Z287">
    <cfRule type="cellIs" dxfId="5043" priority="4520" operator="between">
      <formula>0.76</formula>
      <formula>0.95</formula>
    </cfRule>
    <cfRule type="cellIs" dxfId="5042" priority="4521" operator="between">
      <formula>0.51</formula>
      <formula>0.75</formula>
    </cfRule>
    <cfRule type="cellIs" dxfId="5041" priority="4522" operator="greaterThan">
      <formula>1</formula>
    </cfRule>
    <cfRule type="cellIs" dxfId="5040" priority="4523" operator="between">
      <formula>0.95</formula>
      <formula>1</formula>
    </cfRule>
    <cfRule type="cellIs" dxfId="5039" priority="4524" stopIfTrue="1" operator="between">
      <formula>0</formula>
      <formula>0.5</formula>
    </cfRule>
  </conditionalFormatting>
  <conditionalFormatting sqref="Y285 AF285 R285 AH285:AI285">
    <cfRule type="cellIs" dxfId="5038" priority="4510" operator="between">
      <formula>0.76</formula>
      <formula>0.95</formula>
    </cfRule>
    <cfRule type="cellIs" dxfId="5037" priority="4511" operator="between">
      <formula>0.51</formula>
      <formula>0.75</formula>
    </cfRule>
    <cfRule type="cellIs" dxfId="5036" priority="4512" operator="greaterThan">
      <formula>1</formula>
    </cfRule>
    <cfRule type="cellIs" dxfId="5035" priority="4513" operator="between">
      <formula>0.95</formula>
      <formula>1</formula>
    </cfRule>
    <cfRule type="cellIs" dxfId="5034" priority="4514" stopIfTrue="1" operator="between">
      <formula>0</formula>
      <formula>0.5</formula>
    </cfRule>
  </conditionalFormatting>
  <conditionalFormatting sqref="T285">
    <cfRule type="cellIs" dxfId="5033" priority="4505" operator="between">
      <formula>0.3751</formula>
      <formula>0.475</formula>
    </cfRule>
    <cfRule type="cellIs" dxfId="5032" priority="4506" operator="between">
      <formula>0.2551</formula>
      <formula>0.375</formula>
    </cfRule>
    <cfRule type="cellIs" dxfId="5031" priority="4507" operator="greaterThan">
      <formula>0.505</formula>
    </cfRule>
    <cfRule type="cellIs" dxfId="5030" priority="4508" operator="between">
      <formula>0.48</formula>
      <formula>0.5</formula>
    </cfRule>
    <cfRule type="cellIs" dxfId="5029" priority="4509" stopIfTrue="1" operator="between">
      <formula>0</formula>
      <formula>0.255</formula>
    </cfRule>
  </conditionalFormatting>
  <conditionalFormatting sqref="AA285:AB285">
    <cfRule type="cellIs" dxfId="5028" priority="4500" operator="between">
      <formula>0.56251</formula>
      <formula>0.7125</formula>
    </cfRule>
    <cfRule type="cellIs" dxfId="5027" priority="4501" operator="between">
      <formula>0.3751</formula>
      <formula>0.5625</formula>
    </cfRule>
    <cfRule type="cellIs" dxfId="5026" priority="4502" operator="greaterThan">
      <formula>0.751</formula>
    </cfRule>
    <cfRule type="cellIs" dxfId="5025" priority="4503" operator="between">
      <formula>0.71251</formula>
      <formula>0.75</formula>
    </cfRule>
    <cfRule type="cellIs" dxfId="5024" priority="4504" stopIfTrue="1" operator="between">
      <formula>0</formula>
      <formula>0.375</formula>
    </cfRule>
  </conditionalFormatting>
  <conditionalFormatting sqref="U285">
    <cfRule type="cellIs" dxfId="5023" priority="4490" operator="between">
      <formula>0.376</formula>
      <formula>0.475</formula>
    </cfRule>
    <cfRule type="cellIs" dxfId="5022" priority="4491" operator="between">
      <formula>0.2551</formula>
      <formula>0.3751</formula>
    </cfRule>
    <cfRule type="cellIs" dxfId="5021" priority="4492" operator="greaterThan">
      <formula>0.505</formula>
    </cfRule>
    <cfRule type="cellIs" dxfId="5020" priority="4493" operator="between">
      <formula>0.48</formula>
      <formula>0.5</formula>
    </cfRule>
    <cfRule type="cellIs" dxfId="5019" priority="4494" stopIfTrue="1" operator="between">
      <formula>0</formula>
      <formula>0.255</formula>
    </cfRule>
  </conditionalFormatting>
  <conditionalFormatting sqref="S285">
    <cfRule type="cellIs" dxfId="5018" priority="4477" operator="between">
      <formula>0.76</formula>
      <formula>0.95</formula>
    </cfRule>
    <cfRule type="cellIs" dxfId="5017" priority="4478" operator="between">
      <formula>0.51</formula>
      <formula>0.75</formula>
    </cfRule>
    <cfRule type="cellIs" dxfId="5016" priority="4479" operator="greaterThan">
      <formula>1</formula>
    </cfRule>
    <cfRule type="cellIs" dxfId="5015" priority="4480" operator="between">
      <formula>0.95</formula>
      <formula>1</formula>
    </cfRule>
    <cfRule type="cellIs" dxfId="5014" priority="4481" stopIfTrue="1" operator="between">
      <formula>0</formula>
      <formula>0.5</formula>
    </cfRule>
  </conditionalFormatting>
  <conditionalFormatting sqref="V285">
    <cfRule type="cellIs" dxfId="5013" priority="4472" operator="between">
      <formula>0.376</formula>
      <formula>0.475</formula>
    </cfRule>
    <cfRule type="cellIs" dxfId="5012" priority="4473" operator="between">
      <formula>0.2551</formula>
      <formula>0.3751</formula>
    </cfRule>
    <cfRule type="cellIs" dxfId="5011" priority="4474" operator="greaterThan">
      <formula>0.505</formula>
    </cfRule>
    <cfRule type="cellIs" dxfId="5010" priority="4475" operator="between">
      <formula>0.48</formula>
      <formula>0.5</formula>
    </cfRule>
    <cfRule type="cellIs" dxfId="5009" priority="4476" stopIfTrue="1" operator="between">
      <formula>0</formula>
      <formula>0.255</formula>
    </cfRule>
  </conditionalFormatting>
  <conditionalFormatting sqref="AC285">
    <cfRule type="cellIs" dxfId="5008" priority="4467" operator="between">
      <formula>0.56251</formula>
      <formula>0.7125</formula>
    </cfRule>
    <cfRule type="cellIs" dxfId="5007" priority="4468" operator="between">
      <formula>0.3751</formula>
      <formula>0.5625</formula>
    </cfRule>
    <cfRule type="cellIs" dxfId="5006" priority="4469" operator="greaterThan">
      <formula>0.751</formula>
    </cfRule>
    <cfRule type="cellIs" dxfId="5005" priority="4470" operator="between">
      <formula>0.71251</formula>
      <formula>0.75</formula>
    </cfRule>
    <cfRule type="cellIs" dxfId="5004" priority="4471" stopIfTrue="1" operator="between">
      <formula>0</formula>
      <formula>0.375</formula>
    </cfRule>
  </conditionalFormatting>
  <conditionalFormatting sqref="AG285">
    <cfRule type="cellIs" dxfId="5003" priority="4462" operator="between">
      <formula>0.76</formula>
      <formula>0.95</formula>
    </cfRule>
    <cfRule type="cellIs" dxfId="5002" priority="4463" operator="between">
      <formula>0.51</formula>
      <formula>0.75</formula>
    </cfRule>
    <cfRule type="cellIs" dxfId="5001" priority="4464" operator="greaterThan">
      <formula>1</formula>
    </cfRule>
    <cfRule type="cellIs" dxfId="5000" priority="4465" operator="between">
      <formula>0.95</formula>
      <formula>1</formula>
    </cfRule>
    <cfRule type="cellIs" dxfId="4999" priority="4466" stopIfTrue="1" operator="between">
      <formula>0</formula>
      <formula>0.5</formula>
    </cfRule>
  </conditionalFormatting>
  <conditionalFormatting sqref="Z285">
    <cfRule type="cellIs" dxfId="4998" priority="4457" operator="between">
      <formula>0.76</formula>
      <formula>0.95</formula>
    </cfRule>
    <cfRule type="cellIs" dxfId="4997" priority="4458" operator="between">
      <formula>0.51</formula>
      <formula>0.75</formula>
    </cfRule>
    <cfRule type="cellIs" dxfId="4996" priority="4459" operator="greaterThan">
      <formula>1</formula>
    </cfRule>
    <cfRule type="cellIs" dxfId="4995" priority="4460" operator="between">
      <formula>0.95</formula>
      <formula>1</formula>
    </cfRule>
    <cfRule type="cellIs" dxfId="4994" priority="4461" stopIfTrue="1" operator="between">
      <formula>0</formula>
      <formula>0.5</formula>
    </cfRule>
  </conditionalFormatting>
  <conditionalFormatting sqref="T127">
    <cfRule type="cellIs" dxfId="4993" priority="4417" operator="between">
      <formula>0.76</formula>
      <formula>0.95</formula>
    </cfRule>
    <cfRule type="cellIs" dxfId="4992" priority="4418" operator="between">
      <formula>0.51</formula>
      <formula>0.75</formula>
    </cfRule>
    <cfRule type="cellIs" dxfId="4991" priority="4419" operator="greaterThan">
      <formula>1</formula>
    </cfRule>
    <cfRule type="cellIs" dxfId="4990" priority="4420" operator="between">
      <formula>0.95</formula>
      <formula>1</formula>
    </cfRule>
    <cfRule type="cellIs" dxfId="4989" priority="4421" stopIfTrue="1" operator="between">
      <formula>0</formula>
      <formula>0.5</formula>
    </cfRule>
  </conditionalFormatting>
  <conditionalFormatting sqref="AA127">
    <cfRule type="cellIs" dxfId="4988" priority="4412" operator="between">
      <formula>0.76</formula>
      <formula>0.95</formula>
    </cfRule>
    <cfRule type="cellIs" dxfId="4987" priority="4413" operator="between">
      <formula>0.51</formula>
      <formula>0.75</formula>
    </cfRule>
    <cfRule type="cellIs" dxfId="4986" priority="4414" operator="greaterThan">
      <formula>1</formula>
    </cfRule>
    <cfRule type="cellIs" dxfId="4985" priority="4415" operator="between">
      <formula>0.95</formula>
      <formula>1</formula>
    </cfRule>
    <cfRule type="cellIs" dxfId="4984" priority="4416" stopIfTrue="1" operator="between">
      <formula>0</formula>
      <formula>0.5</formula>
    </cfRule>
  </conditionalFormatting>
  <conditionalFormatting sqref="AH127">
    <cfRule type="cellIs" dxfId="4983" priority="4407" operator="between">
      <formula>0.76</formula>
      <formula>0.95</formula>
    </cfRule>
    <cfRule type="cellIs" dxfId="4982" priority="4408" operator="between">
      <formula>0.51</formula>
      <formula>0.75</formula>
    </cfRule>
    <cfRule type="cellIs" dxfId="4981" priority="4409" operator="greaterThan">
      <formula>1</formula>
    </cfRule>
    <cfRule type="cellIs" dxfId="4980" priority="4410" operator="between">
      <formula>0.95</formula>
      <formula>1</formula>
    </cfRule>
    <cfRule type="cellIs" dxfId="4979" priority="4411" stopIfTrue="1" operator="between">
      <formula>0</formula>
      <formula>0.5</formula>
    </cfRule>
  </conditionalFormatting>
  <conditionalFormatting sqref="M192">
    <cfRule type="cellIs" dxfId="4978" priority="2785" operator="between">
      <formula>0.1876</formula>
      <formula>0.2375</formula>
    </cfRule>
    <cfRule type="cellIs" dxfId="4977" priority="2786" operator="between">
      <formula>0.1251</formula>
      <formula>0.1875</formula>
    </cfRule>
    <cfRule type="cellIs" dxfId="4976" priority="2787" operator="greaterThan">
      <formula>0.25</formula>
    </cfRule>
    <cfRule type="cellIs" dxfId="4975" priority="2788" operator="between">
      <formula>0.2376</formula>
      <formula>0.25</formula>
    </cfRule>
    <cfRule type="cellIs" dxfId="4974" priority="2789" stopIfTrue="1" operator="between">
      <formula>0</formula>
      <formula>0.125</formula>
    </cfRule>
  </conditionalFormatting>
  <conditionalFormatting sqref="N192">
    <cfRule type="cellIs" dxfId="4973" priority="2780" operator="between">
      <formula>0.191</formula>
      <formula>0.24</formula>
    </cfRule>
    <cfRule type="cellIs" dxfId="4972" priority="2781" operator="between">
      <formula>0.1251</formula>
      <formula>0.19</formula>
    </cfRule>
    <cfRule type="cellIs" dxfId="4971" priority="2782" operator="greaterThan">
      <formula>0.2601</formula>
    </cfRule>
    <cfRule type="cellIs" dxfId="4970" priority="2783" operator="between">
      <formula>0.2401</formula>
      <formula>0.26</formula>
    </cfRule>
    <cfRule type="cellIs" dxfId="4969" priority="2784" stopIfTrue="1" operator="between">
      <formula>0</formula>
      <formula>0.125</formula>
    </cfRule>
  </conditionalFormatting>
  <conditionalFormatting sqref="S127">
    <cfRule type="cellIs" dxfId="4968" priority="2775" operator="between">
      <formula>0.76</formula>
      <formula>0.95</formula>
    </cfRule>
    <cfRule type="cellIs" dxfId="4967" priority="2776" operator="between">
      <formula>0.51</formula>
      <formula>0.75</formula>
    </cfRule>
    <cfRule type="cellIs" dxfId="4966" priority="2777" operator="greaterThan">
      <formula>1</formula>
    </cfRule>
    <cfRule type="cellIs" dxfId="4965" priority="2778" operator="between">
      <formula>0.95</formula>
      <formula>1</formula>
    </cfRule>
    <cfRule type="cellIs" dxfId="4964" priority="2779" stopIfTrue="1" operator="between">
      <formula>0</formula>
      <formula>0.5</formula>
    </cfRule>
  </conditionalFormatting>
  <conditionalFormatting sqref="U127">
    <cfRule type="cellIs" dxfId="4963" priority="2770" operator="between">
      <formula>0.191</formula>
      <formula>0.24</formula>
    </cfRule>
    <cfRule type="cellIs" dxfId="4962" priority="2771" operator="between">
      <formula>0.1251</formula>
      <formula>0.19</formula>
    </cfRule>
    <cfRule type="cellIs" dxfId="4961" priority="2772" operator="greaterThan">
      <formula>0.2601</formula>
    </cfRule>
    <cfRule type="cellIs" dxfId="4960" priority="2773" operator="between">
      <formula>0.2401</formula>
      <formula>0.26</formula>
    </cfRule>
    <cfRule type="cellIs" dxfId="4959" priority="2774" stopIfTrue="1" operator="between">
      <formula>0</formula>
      <formula>0.125</formula>
    </cfRule>
  </conditionalFormatting>
  <conditionalFormatting sqref="Z127">
    <cfRule type="cellIs" dxfId="4958" priority="2765" operator="between">
      <formula>0.76</formula>
      <formula>0.95</formula>
    </cfRule>
    <cfRule type="cellIs" dxfId="4957" priority="2766" operator="between">
      <formula>0.51</formula>
      <formula>0.75</formula>
    </cfRule>
    <cfRule type="cellIs" dxfId="4956" priority="2767" operator="greaterThan">
      <formula>1</formula>
    </cfRule>
    <cfRule type="cellIs" dxfId="4955" priority="2768" operator="between">
      <formula>0.95</formula>
      <formula>1</formula>
    </cfRule>
    <cfRule type="cellIs" dxfId="4954" priority="2769" stopIfTrue="1" operator="between">
      <formula>0</formula>
      <formula>0.5</formula>
    </cfRule>
  </conditionalFormatting>
  <conditionalFormatting sqref="AB127">
    <cfRule type="cellIs" dxfId="4953" priority="2760" operator="between">
      <formula>0.191</formula>
      <formula>0.24</formula>
    </cfRule>
    <cfRule type="cellIs" dxfId="4952" priority="2761" operator="between">
      <formula>0.1251</formula>
      <formula>0.19</formula>
    </cfRule>
    <cfRule type="cellIs" dxfId="4951" priority="2762" operator="greaterThan">
      <formula>0.2601</formula>
    </cfRule>
    <cfRule type="cellIs" dxfId="4950" priority="2763" operator="between">
      <formula>0.2401</formula>
      <formula>0.26</formula>
    </cfRule>
    <cfRule type="cellIs" dxfId="4949" priority="2764" stopIfTrue="1" operator="between">
      <formula>0</formula>
      <formula>0.125</formula>
    </cfRule>
  </conditionalFormatting>
  <conditionalFormatting sqref="AG127">
    <cfRule type="cellIs" dxfId="4948" priority="2755" operator="between">
      <formula>0.76</formula>
      <formula>0.95</formula>
    </cfRule>
    <cfRule type="cellIs" dxfId="4947" priority="2756" operator="between">
      <formula>0.51</formula>
      <formula>0.75</formula>
    </cfRule>
    <cfRule type="cellIs" dxfId="4946" priority="2757" operator="greaterThan">
      <formula>1</formula>
    </cfRule>
    <cfRule type="cellIs" dxfId="4945" priority="2758" operator="between">
      <formula>0.95</formula>
      <formula>1</formula>
    </cfRule>
    <cfRule type="cellIs" dxfId="4944" priority="2759" stopIfTrue="1" operator="between">
      <formula>0</formula>
      <formula>0.5</formula>
    </cfRule>
  </conditionalFormatting>
  <conditionalFormatting sqref="S192">
    <cfRule type="cellIs" dxfId="4943" priority="2750" operator="between">
      <formula>0.76</formula>
      <formula>0.95</formula>
    </cfRule>
    <cfRule type="cellIs" dxfId="4942" priority="2751" operator="between">
      <formula>0.51</formula>
      <formula>0.75</formula>
    </cfRule>
    <cfRule type="cellIs" dxfId="4941" priority="2752" operator="greaterThan">
      <formula>1</formula>
    </cfRule>
    <cfRule type="cellIs" dxfId="4940" priority="2753" operator="between">
      <formula>0.95</formula>
      <formula>1</formula>
    </cfRule>
    <cfRule type="cellIs" dxfId="4939" priority="2754" stopIfTrue="1" operator="between">
      <formula>0</formula>
      <formula>0.5</formula>
    </cfRule>
  </conditionalFormatting>
  <conditionalFormatting sqref="T192">
    <cfRule type="cellIs" dxfId="4938" priority="2745" operator="between">
      <formula>0.76</formula>
      <formula>0.95</formula>
    </cfRule>
    <cfRule type="cellIs" dxfId="4937" priority="2746" operator="between">
      <formula>0.51</formula>
      <formula>0.75</formula>
    </cfRule>
    <cfRule type="cellIs" dxfId="4936" priority="2747" operator="greaterThan">
      <formula>1</formula>
    </cfRule>
    <cfRule type="cellIs" dxfId="4935" priority="2748" operator="between">
      <formula>0.95</formula>
      <formula>1</formula>
    </cfRule>
    <cfRule type="cellIs" dxfId="4934" priority="2749" stopIfTrue="1" operator="between">
      <formula>0</formula>
      <formula>0.5</formula>
    </cfRule>
  </conditionalFormatting>
  <conditionalFormatting sqref="U192">
    <cfRule type="cellIs" dxfId="4933" priority="2740" operator="between">
      <formula>0.191</formula>
      <formula>0.24</formula>
    </cfRule>
    <cfRule type="cellIs" dxfId="4932" priority="2741" operator="between">
      <formula>0.1251</formula>
      <formula>0.19</formula>
    </cfRule>
    <cfRule type="cellIs" dxfId="4931" priority="2742" operator="greaterThan">
      <formula>0.2601</formula>
    </cfRule>
    <cfRule type="cellIs" dxfId="4930" priority="2743" operator="between">
      <formula>0.2401</formula>
      <formula>0.26</formula>
    </cfRule>
    <cfRule type="cellIs" dxfId="4929" priority="2744" stopIfTrue="1" operator="between">
      <formula>0</formula>
      <formula>0.125</formula>
    </cfRule>
  </conditionalFormatting>
  <conditionalFormatting sqref="Z192">
    <cfRule type="cellIs" dxfId="4928" priority="2735" operator="between">
      <formula>0.76</formula>
      <formula>0.95</formula>
    </cfRule>
    <cfRule type="cellIs" dxfId="4927" priority="2736" operator="between">
      <formula>0.51</formula>
      <formula>0.75</formula>
    </cfRule>
    <cfRule type="cellIs" dxfId="4926" priority="2737" operator="greaterThan">
      <formula>1</formula>
    </cfRule>
    <cfRule type="cellIs" dxfId="4925" priority="2738" operator="between">
      <formula>0.95</formula>
      <formula>1</formula>
    </cfRule>
    <cfRule type="cellIs" dxfId="4924" priority="2739" stopIfTrue="1" operator="between">
      <formula>0</formula>
      <formula>0.5</formula>
    </cfRule>
  </conditionalFormatting>
  <conditionalFormatting sqref="AA192">
    <cfRule type="cellIs" dxfId="4923" priority="2730" operator="between">
      <formula>0.76</formula>
      <formula>0.95</formula>
    </cfRule>
    <cfRule type="cellIs" dxfId="4922" priority="2731" operator="between">
      <formula>0.51</formula>
      <formula>0.75</formula>
    </cfRule>
    <cfRule type="cellIs" dxfId="4921" priority="2732" operator="greaterThan">
      <formula>1</formula>
    </cfRule>
    <cfRule type="cellIs" dxfId="4920" priority="2733" operator="between">
      <formula>0.95</formula>
      <formula>1</formula>
    </cfRule>
    <cfRule type="cellIs" dxfId="4919" priority="2734" stopIfTrue="1" operator="between">
      <formula>0</formula>
      <formula>0.5</formula>
    </cfRule>
  </conditionalFormatting>
  <conditionalFormatting sqref="AB192">
    <cfRule type="cellIs" dxfId="4918" priority="2725" operator="between">
      <formula>0.191</formula>
      <formula>0.24</formula>
    </cfRule>
    <cfRule type="cellIs" dxfId="4917" priority="2726" operator="between">
      <formula>0.1251</formula>
      <formula>0.19</formula>
    </cfRule>
    <cfRule type="cellIs" dxfId="4916" priority="2727" operator="greaterThan">
      <formula>0.2601</formula>
    </cfRule>
    <cfRule type="cellIs" dxfId="4915" priority="2728" operator="between">
      <formula>0.2401</formula>
      <formula>0.26</formula>
    </cfRule>
    <cfRule type="cellIs" dxfId="4914" priority="2729" stopIfTrue="1" operator="between">
      <formula>0</formula>
      <formula>0.125</formula>
    </cfRule>
  </conditionalFormatting>
  <conditionalFormatting sqref="AG192">
    <cfRule type="cellIs" dxfId="4913" priority="2720" operator="between">
      <formula>0.76</formula>
      <formula>0.95</formula>
    </cfRule>
    <cfRule type="cellIs" dxfId="4912" priority="2721" operator="between">
      <formula>0.51</formula>
      <formula>0.75</formula>
    </cfRule>
    <cfRule type="cellIs" dxfId="4911" priority="2722" operator="greaterThan">
      <formula>1</formula>
    </cfRule>
    <cfRule type="cellIs" dxfId="4910" priority="2723" operator="between">
      <formula>0.95</formula>
      <formula>1</formula>
    </cfRule>
    <cfRule type="cellIs" dxfId="4909" priority="2724" stopIfTrue="1" operator="between">
      <formula>0</formula>
      <formula>0.5</formula>
    </cfRule>
  </conditionalFormatting>
  <conditionalFormatting sqref="AH192">
    <cfRule type="cellIs" dxfId="4908" priority="2715" operator="between">
      <formula>0.76</formula>
      <formula>0.95</formula>
    </cfRule>
    <cfRule type="cellIs" dxfId="4907" priority="2716" operator="between">
      <formula>0.51</formula>
      <formula>0.75</formula>
    </cfRule>
    <cfRule type="cellIs" dxfId="4906" priority="2717" operator="greaterThan">
      <formula>1</formula>
    </cfRule>
    <cfRule type="cellIs" dxfId="4905" priority="2718" operator="between">
      <formula>0.95</formula>
      <formula>1</formula>
    </cfRule>
    <cfRule type="cellIs" dxfId="4904" priority="2719" stopIfTrue="1" operator="between">
      <formula>0</formula>
      <formula>0.5</formula>
    </cfRule>
  </conditionalFormatting>
  <conditionalFormatting sqref="M288">
    <cfRule type="cellIs" dxfId="4903" priority="2625" operator="between">
      <formula>0.1876</formula>
      <formula>0.2375</formula>
    </cfRule>
    <cfRule type="cellIs" dxfId="4902" priority="2626" operator="between">
      <formula>0.1251</formula>
      <formula>0.1875</formula>
    </cfRule>
    <cfRule type="cellIs" dxfId="4901" priority="2627" operator="greaterThan">
      <formula>0.25</formula>
    </cfRule>
    <cfRule type="cellIs" dxfId="4900" priority="2628" operator="between">
      <formula>0.2376</formula>
      <formula>0.25</formula>
    </cfRule>
    <cfRule type="cellIs" dxfId="4899" priority="2629" stopIfTrue="1" operator="between">
      <formula>0</formula>
      <formula>0.125</formula>
    </cfRule>
  </conditionalFormatting>
  <conditionalFormatting sqref="AH343:AH345">
    <cfRule type="cellIs" dxfId="4898" priority="2270" operator="between">
      <formula>0.76</formula>
      <formula>0.95</formula>
    </cfRule>
    <cfRule type="cellIs" dxfId="4897" priority="2271" operator="between">
      <formula>0.51</formula>
      <formula>0.75</formula>
    </cfRule>
    <cfRule type="cellIs" dxfId="4896" priority="2272" operator="greaterThan">
      <formula>1</formula>
    </cfRule>
    <cfRule type="cellIs" dxfId="4895" priority="2273" operator="between">
      <formula>0.95</formula>
      <formula>1</formula>
    </cfRule>
    <cfRule type="cellIs" dxfId="4894" priority="2274" stopIfTrue="1" operator="between">
      <formula>0</formula>
      <formula>0.5</formula>
    </cfRule>
  </conditionalFormatting>
  <conditionalFormatting sqref="R288">
    <cfRule type="cellIs" dxfId="4893" priority="2605" operator="between">
      <formula>0.76</formula>
      <formula>0.95</formula>
    </cfRule>
    <cfRule type="cellIs" dxfId="4892" priority="2606" operator="between">
      <formula>0.51</formula>
      <formula>0.75</formula>
    </cfRule>
    <cfRule type="cellIs" dxfId="4891" priority="2607" operator="greaterThan">
      <formula>1</formula>
    </cfRule>
    <cfRule type="cellIs" dxfId="4890" priority="2608" operator="between">
      <formula>0.95</formula>
      <formula>1</formula>
    </cfRule>
    <cfRule type="cellIs" dxfId="4889" priority="2609" stopIfTrue="1" operator="between">
      <formula>0</formula>
      <formula>0.5</formula>
    </cfRule>
  </conditionalFormatting>
  <conditionalFormatting sqref="S288">
    <cfRule type="cellIs" dxfId="4888" priority="2600" operator="between">
      <formula>0.76</formula>
      <formula>0.95</formula>
    </cfRule>
    <cfRule type="cellIs" dxfId="4887" priority="2601" operator="between">
      <formula>0.51</formula>
      <formula>0.75</formula>
    </cfRule>
    <cfRule type="cellIs" dxfId="4886" priority="2602" operator="greaterThan">
      <formula>1</formula>
    </cfRule>
    <cfRule type="cellIs" dxfId="4885" priority="2603" operator="between">
      <formula>0.95</formula>
      <formula>1</formula>
    </cfRule>
    <cfRule type="cellIs" dxfId="4884" priority="2604" stopIfTrue="1" operator="between">
      <formula>0</formula>
      <formula>0.5</formula>
    </cfRule>
  </conditionalFormatting>
  <conditionalFormatting sqref="T288">
    <cfRule type="cellIs" dxfId="4883" priority="2595" operator="between">
      <formula>0.76</formula>
      <formula>0.95</formula>
    </cfRule>
    <cfRule type="cellIs" dxfId="4882" priority="2596" operator="between">
      <formula>0.51</formula>
      <formula>0.75</formula>
    </cfRule>
    <cfRule type="cellIs" dxfId="4881" priority="2597" operator="greaterThan">
      <formula>1</formula>
    </cfRule>
    <cfRule type="cellIs" dxfId="4880" priority="2598" operator="between">
      <formula>0.95</formula>
      <formula>1</formula>
    </cfRule>
    <cfRule type="cellIs" dxfId="4879" priority="2599" stopIfTrue="1" operator="between">
      <formula>0</formula>
      <formula>0.5</formula>
    </cfRule>
  </conditionalFormatting>
  <conditionalFormatting sqref="U288">
    <cfRule type="cellIs" dxfId="4878" priority="2590" operator="between">
      <formula>0.191</formula>
      <formula>0.24</formula>
    </cfRule>
    <cfRule type="cellIs" dxfId="4877" priority="2591" operator="between">
      <formula>0.1251</formula>
      <formula>0.19</formula>
    </cfRule>
    <cfRule type="cellIs" dxfId="4876" priority="2592" operator="greaterThan">
      <formula>0.2601</formula>
    </cfRule>
    <cfRule type="cellIs" dxfId="4875" priority="2593" operator="between">
      <formula>0.2401</formula>
      <formula>0.26</formula>
    </cfRule>
    <cfRule type="cellIs" dxfId="4874" priority="2594" stopIfTrue="1" operator="between">
      <formula>0</formula>
      <formula>0.125</formula>
    </cfRule>
  </conditionalFormatting>
  <conditionalFormatting sqref="Y288">
    <cfRule type="cellIs" dxfId="4873" priority="2585" operator="between">
      <formula>0.76</formula>
      <formula>0.95</formula>
    </cfRule>
    <cfRule type="cellIs" dxfId="4872" priority="2586" operator="between">
      <formula>0.51</formula>
      <formula>0.75</formula>
    </cfRule>
    <cfRule type="cellIs" dxfId="4871" priority="2587" operator="greaterThan">
      <formula>1</formula>
    </cfRule>
    <cfRule type="cellIs" dxfId="4870" priority="2588" operator="between">
      <formula>0.95</formula>
      <formula>1</formula>
    </cfRule>
    <cfRule type="cellIs" dxfId="4869" priority="2589" stopIfTrue="1" operator="between">
      <formula>0</formula>
      <formula>0.5</formula>
    </cfRule>
  </conditionalFormatting>
  <conditionalFormatting sqref="Z288">
    <cfRule type="cellIs" dxfId="4868" priority="2580" operator="between">
      <formula>0.76</formula>
      <formula>0.95</formula>
    </cfRule>
    <cfRule type="cellIs" dxfId="4867" priority="2581" operator="between">
      <formula>0.51</formula>
      <formula>0.75</formula>
    </cfRule>
    <cfRule type="cellIs" dxfId="4866" priority="2582" operator="greaterThan">
      <formula>1</formula>
    </cfRule>
    <cfRule type="cellIs" dxfId="4865" priority="2583" operator="between">
      <formula>0.95</formula>
      <formula>1</formula>
    </cfRule>
    <cfRule type="cellIs" dxfId="4864" priority="2584" stopIfTrue="1" operator="between">
      <formula>0</formula>
      <formula>0.5</formula>
    </cfRule>
  </conditionalFormatting>
  <conditionalFormatting sqref="AA288">
    <cfRule type="cellIs" dxfId="4863" priority="2575" operator="between">
      <formula>0.76</formula>
      <formula>0.95</formula>
    </cfRule>
    <cfRule type="cellIs" dxfId="4862" priority="2576" operator="between">
      <formula>0.51</formula>
      <formula>0.75</formula>
    </cfRule>
    <cfRule type="cellIs" dxfId="4861" priority="2577" operator="greaterThan">
      <formula>1</formula>
    </cfRule>
    <cfRule type="cellIs" dxfId="4860" priority="2578" operator="between">
      <formula>0.95</formula>
      <formula>1</formula>
    </cfRule>
    <cfRule type="cellIs" dxfId="4859" priority="2579" stopIfTrue="1" operator="between">
      <formula>0</formula>
      <formula>0.5</formula>
    </cfRule>
  </conditionalFormatting>
  <conditionalFormatting sqref="AB288">
    <cfRule type="cellIs" dxfId="4858" priority="2570" operator="between">
      <formula>0.191</formula>
      <formula>0.24</formula>
    </cfRule>
    <cfRule type="cellIs" dxfId="4857" priority="2571" operator="between">
      <formula>0.1251</formula>
      <formula>0.19</formula>
    </cfRule>
    <cfRule type="cellIs" dxfId="4856" priority="2572" operator="greaterThan">
      <formula>0.2601</formula>
    </cfRule>
    <cfRule type="cellIs" dxfId="4855" priority="2573" operator="between">
      <formula>0.2401</formula>
      <formula>0.26</formula>
    </cfRule>
    <cfRule type="cellIs" dxfId="4854" priority="2574" stopIfTrue="1" operator="between">
      <formula>0</formula>
      <formula>0.125</formula>
    </cfRule>
  </conditionalFormatting>
  <conditionalFormatting sqref="AF288">
    <cfRule type="cellIs" dxfId="4853" priority="2565" operator="between">
      <formula>0.76</formula>
      <formula>0.95</formula>
    </cfRule>
    <cfRule type="cellIs" dxfId="4852" priority="2566" operator="between">
      <formula>0.51</formula>
      <formula>0.75</formula>
    </cfRule>
    <cfRule type="cellIs" dxfId="4851" priority="2567" operator="greaterThan">
      <formula>1</formula>
    </cfRule>
    <cfRule type="cellIs" dxfId="4850" priority="2568" operator="between">
      <formula>0.95</formula>
      <formula>1</formula>
    </cfRule>
    <cfRule type="cellIs" dxfId="4849" priority="2569" stopIfTrue="1" operator="between">
      <formula>0</formula>
      <formula>0.5</formula>
    </cfRule>
  </conditionalFormatting>
  <conditionalFormatting sqref="AG288">
    <cfRule type="cellIs" dxfId="4848" priority="2560" operator="between">
      <formula>0.76</formula>
      <formula>0.95</formula>
    </cfRule>
    <cfRule type="cellIs" dxfId="4847" priority="2561" operator="between">
      <formula>0.51</formula>
      <formula>0.75</formula>
    </cfRule>
    <cfRule type="cellIs" dxfId="4846" priority="2562" operator="greaterThan">
      <formula>1</formula>
    </cfRule>
    <cfRule type="cellIs" dxfId="4845" priority="2563" operator="between">
      <formula>0.95</formula>
      <formula>1</formula>
    </cfRule>
    <cfRule type="cellIs" dxfId="4844" priority="2564" stopIfTrue="1" operator="between">
      <formula>0</formula>
      <formula>0.5</formula>
    </cfRule>
  </conditionalFormatting>
  <conditionalFormatting sqref="AH288">
    <cfRule type="cellIs" dxfId="4843" priority="2555" operator="between">
      <formula>0.76</formula>
      <formula>0.95</formula>
    </cfRule>
    <cfRule type="cellIs" dxfId="4842" priority="2556" operator="between">
      <formula>0.51</formula>
      <formula>0.75</formula>
    </cfRule>
    <cfRule type="cellIs" dxfId="4841" priority="2557" operator="greaterThan">
      <formula>1</formula>
    </cfRule>
    <cfRule type="cellIs" dxfId="4840" priority="2558" operator="between">
      <formula>0.95</formula>
      <formula>1</formula>
    </cfRule>
    <cfRule type="cellIs" dxfId="4839" priority="2559" stopIfTrue="1" operator="between">
      <formula>0</formula>
      <formula>0.5</formula>
    </cfRule>
  </conditionalFormatting>
  <conditionalFormatting sqref="M342">
    <cfRule type="cellIs" dxfId="4838" priority="2545" operator="between">
      <formula>0.1876</formula>
      <formula>0.2375</formula>
    </cfRule>
    <cfRule type="cellIs" dxfId="4837" priority="2546" operator="between">
      <formula>0.1251</formula>
      <formula>0.1875</formula>
    </cfRule>
    <cfRule type="cellIs" dxfId="4836" priority="2547" operator="greaterThan">
      <formula>0.25</formula>
    </cfRule>
    <cfRule type="cellIs" dxfId="4835" priority="2548" operator="between">
      <formula>0.2376</formula>
      <formula>0.25</formula>
    </cfRule>
    <cfRule type="cellIs" dxfId="4834" priority="2549" stopIfTrue="1" operator="between">
      <formula>0</formula>
      <formula>0.25</formula>
    </cfRule>
  </conditionalFormatting>
  <conditionalFormatting sqref="R342">
    <cfRule type="cellIs" dxfId="4833" priority="2535" operator="between">
      <formula>0.76</formula>
      <formula>0.95</formula>
    </cfRule>
    <cfRule type="cellIs" dxfId="4832" priority="2536" operator="between">
      <formula>0.51</formula>
      <formula>0.75</formula>
    </cfRule>
    <cfRule type="cellIs" dxfId="4831" priority="2537" operator="greaterThan">
      <formula>1</formula>
    </cfRule>
    <cfRule type="cellIs" dxfId="4830" priority="2538" operator="between">
      <formula>0.95</formula>
      <formula>1</formula>
    </cfRule>
    <cfRule type="cellIs" dxfId="4829" priority="2539" stopIfTrue="1" operator="between">
      <formula>0</formula>
      <formula>0.5</formula>
    </cfRule>
  </conditionalFormatting>
  <conditionalFormatting sqref="S342">
    <cfRule type="cellIs" dxfId="4828" priority="2530" operator="between">
      <formula>0.76</formula>
      <formula>0.95</formula>
    </cfRule>
    <cfRule type="cellIs" dxfId="4827" priority="2531" operator="between">
      <formula>0.51</formula>
      <formula>0.75</formula>
    </cfRule>
    <cfRule type="cellIs" dxfId="4826" priority="2532" operator="greaterThan">
      <formula>1</formula>
    </cfRule>
    <cfRule type="cellIs" dxfId="4825" priority="2533" operator="between">
      <formula>0.95</formula>
      <formula>1</formula>
    </cfRule>
    <cfRule type="cellIs" dxfId="4824" priority="2534" stopIfTrue="1" operator="between">
      <formula>0</formula>
      <formula>0.5</formula>
    </cfRule>
  </conditionalFormatting>
  <conditionalFormatting sqref="T342">
    <cfRule type="cellIs" dxfId="4823" priority="2525" operator="between">
      <formula>0.76</formula>
      <formula>0.95</formula>
    </cfRule>
    <cfRule type="cellIs" dxfId="4822" priority="2526" operator="between">
      <formula>0.51</formula>
      <formula>0.75</formula>
    </cfRule>
    <cfRule type="cellIs" dxfId="4821" priority="2527" operator="greaterThan">
      <formula>1</formula>
    </cfRule>
    <cfRule type="cellIs" dxfId="4820" priority="2528" operator="between">
      <formula>0.95</formula>
      <formula>1</formula>
    </cfRule>
    <cfRule type="cellIs" dxfId="4819" priority="2529" stopIfTrue="1" operator="between">
      <formula>0</formula>
      <formula>0.5</formula>
    </cfRule>
  </conditionalFormatting>
  <conditionalFormatting sqref="U342">
    <cfRule type="cellIs" dxfId="4818" priority="2520" operator="between">
      <formula>0.191</formula>
      <formula>0.24</formula>
    </cfRule>
    <cfRule type="cellIs" dxfId="4817" priority="2521" operator="between">
      <formula>0.1251</formula>
      <formula>0.19</formula>
    </cfRule>
    <cfRule type="cellIs" dxfId="4816" priority="2522" operator="greaterThan">
      <formula>0.2601</formula>
    </cfRule>
    <cfRule type="cellIs" dxfId="4815" priority="2523" operator="between">
      <formula>0.2401</formula>
      <formula>0.26</formula>
    </cfRule>
    <cfRule type="cellIs" dxfId="4814" priority="2524" stopIfTrue="1" operator="between">
      <formula>0</formula>
      <formula>0.125</formula>
    </cfRule>
  </conditionalFormatting>
  <conditionalFormatting sqref="Y342">
    <cfRule type="cellIs" dxfId="4813" priority="2515" operator="between">
      <formula>0.76</formula>
      <formula>0.95</formula>
    </cfRule>
    <cfRule type="cellIs" dxfId="4812" priority="2516" operator="between">
      <formula>0.51</formula>
      <formula>0.75</formula>
    </cfRule>
    <cfRule type="cellIs" dxfId="4811" priority="2517" operator="greaterThan">
      <formula>1</formula>
    </cfRule>
    <cfRule type="cellIs" dxfId="4810" priority="2518" operator="between">
      <formula>0.95</formula>
      <formula>1</formula>
    </cfRule>
    <cfRule type="cellIs" dxfId="4809" priority="2519" stopIfTrue="1" operator="between">
      <formula>0</formula>
      <formula>0.5</formula>
    </cfRule>
  </conditionalFormatting>
  <conditionalFormatting sqref="Z342">
    <cfRule type="cellIs" dxfId="4808" priority="2510" operator="between">
      <formula>0.76</formula>
      <formula>0.95</formula>
    </cfRule>
    <cfRule type="cellIs" dxfId="4807" priority="2511" operator="between">
      <formula>0.51</formula>
      <formula>0.75</formula>
    </cfRule>
    <cfRule type="cellIs" dxfId="4806" priority="2512" operator="greaterThan">
      <formula>1</formula>
    </cfRule>
    <cfRule type="cellIs" dxfId="4805" priority="2513" operator="between">
      <formula>0.95</formula>
      <formula>1</formula>
    </cfRule>
    <cfRule type="cellIs" dxfId="4804" priority="2514" stopIfTrue="1" operator="between">
      <formula>0</formula>
      <formula>0.5</formula>
    </cfRule>
  </conditionalFormatting>
  <conditionalFormatting sqref="AA342">
    <cfRule type="cellIs" dxfId="4803" priority="2505" operator="between">
      <formula>0.76</formula>
      <formula>0.95</formula>
    </cfRule>
    <cfRule type="cellIs" dxfId="4802" priority="2506" operator="between">
      <formula>0.51</formula>
      <formula>0.75</formula>
    </cfRule>
    <cfRule type="cellIs" dxfId="4801" priority="2507" operator="greaterThan">
      <formula>1</formula>
    </cfRule>
    <cfRule type="cellIs" dxfId="4800" priority="2508" operator="between">
      <formula>0.95</formula>
      <formula>1</formula>
    </cfRule>
    <cfRule type="cellIs" dxfId="4799" priority="2509" stopIfTrue="1" operator="between">
      <formula>0</formula>
      <formula>0.5</formula>
    </cfRule>
  </conditionalFormatting>
  <conditionalFormatting sqref="AB342">
    <cfRule type="cellIs" dxfId="4798" priority="2500" operator="between">
      <formula>0.191</formula>
      <formula>0.24</formula>
    </cfRule>
    <cfRule type="cellIs" dxfId="4797" priority="2501" operator="between">
      <formula>0.1251</formula>
      <formula>0.19</formula>
    </cfRule>
    <cfRule type="cellIs" dxfId="4796" priority="2502" operator="greaterThan">
      <formula>0.2601</formula>
    </cfRule>
    <cfRule type="cellIs" dxfId="4795" priority="2503" operator="between">
      <formula>0.2401</formula>
      <formula>0.26</formula>
    </cfRule>
    <cfRule type="cellIs" dxfId="4794" priority="2504" stopIfTrue="1" operator="between">
      <formula>0</formula>
      <formula>0.125</formula>
    </cfRule>
  </conditionalFormatting>
  <conditionalFormatting sqref="AF342">
    <cfRule type="cellIs" dxfId="4793" priority="2495" operator="between">
      <formula>0.76</formula>
      <formula>0.95</formula>
    </cfRule>
    <cfRule type="cellIs" dxfId="4792" priority="2496" operator="between">
      <formula>0.51</formula>
      <formula>0.75</formula>
    </cfRule>
    <cfRule type="cellIs" dxfId="4791" priority="2497" operator="greaterThan">
      <formula>1</formula>
    </cfRule>
    <cfRule type="cellIs" dxfId="4790" priority="2498" operator="between">
      <formula>0.95</formula>
      <formula>1</formula>
    </cfRule>
    <cfRule type="cellIs" dxfId="4789" priority="2499" stopIfTrue="1" operator="between">
      <formula>0</formula>
      <formula>0.5</formula>
    </cfRule>
  </conditionalFormatting>
  <conditionalFormatting sqref="AG342">
    <cfRule type="cellIs" dxfId="4788" priority="2490" operator="between">
      <formula>0.76</formula>
      <formula>0.95</formula>
    </cfRule>
    <cfRule type="cellIs" dxfId="4787" priority="2491" operator="between">
      <formula>0.51</formula>
      <formula>0.75</formula>
    </cfRule>
    <cfRule type="cellIs" dxfId="4786" priority="2492" operator="greaterThan">
      <formula>1</formula>
    </cfRule>
    <cfRule type="cellIs" dxfId="4785" priority="2493" operator="between">
      <formula>0.95</formula>
      <formula>1</formula>
    </cfRule>
    <cfRule type="cellIs" dxfId="4784" priority="2494" stopIfTrue="1" operator="between">
      <formula>0</formula>
      <formula>0.5</formula>
    </cfRule>
  </conditionalFormatting>
  <conditionalFormatting sqref="AH342">
    <cfRule type="cellIs" dxfId="4783" priority="2485" operator="between">
      <formula>0.76</formula>
      <formula>0.95</formula>
    </cfRule>
    <cfRule type="cellIs" dxfId="4782" priority="2486" operator="between">
      <formula>0.51</formula>
      <formula>0.75</formula>
    </cfRule>
    <cfRule type="cellIs" dxfId="4781" priority="2487" operator="greaterThan">
      <formula>1</formula>
    </cfRule>
    <cfRule type="cellIs" dxfId="4780" priority="2488" operator="between">
      <formula>0.95</formula>
      <formula>1</formula>
    </cfRule>
    <cfRule type="cellIs" dxfId="4779" priority="2489" stopIfTrue="1" operator="between">
      <formula>0</formula>
      <formula>0.5</formula>
    </cfRule>
  </conditionalFormatting>
  <conditionalFormatting sqref="AA343:AA345">
    <cfRule type="cellIs" dxfId="4778" priority="2315" operator="between">
      <formula>0.76</formula>
      <formula>0.95</formula>
    </cfRule>
    <cfRule type="cellIs" dxfId="4777" priority="2316" operator="between">
      <formula>0.51</formula>
      <formula>0.75</formula>
    </cfRule>
    <cfRule type="cellIs" dxfId="4776" priority="2317" operator="greaterThan">
      <formula>1</formula>
    </cfRule>
    <cfRule type="cellIs" dxfId="4775" priority="2318" operator="between">
      <formula>0.95</formula>
      <formula>1</formula>
    </cfRule>
    <cfRule type="cellIs" dxfId="4774" priority="2319" stopIfTrue="1" operator="between">
      <formula>0</formula>
      <formula>0.5</formula>
    </cfRule>
  </conditionalFormatting>
  <conditionalFormatting sqref="V127">
    <cfRule type="cellIs" dxfId="4773" priority="2265" operator="between">
      <formula>0.76</formula>
      <formula>0.95</formula>
    </cfRule>
    <cfRule type="cellIs" dxfId="4772" priority="2266" operator="between">
      <formula>0.51</formula>
      <formula>0.75</formula>
    </cfRule>
    <cfRule type="cellIs" dxfId="4771" priority="2267" operator="greaterThan">
      <formula>1</formula>
    </cfRule>
    <cfRule type="cellIs" dxfId="4770" priority="2268" operator="between">
      <formula>0.95</formula>
      <formula>1</formula>
    </cfRule>
    <cfRule type="cellIs" dxfId="4769" priority="2269" stopIfTrue="1" operator="between">
      <formula>0</formula>
      <formula>0.5</formula>
    </cfRule>
  </conditionalFormatting>
  <conditionalFormatting sqref="AC127">
    <cfRule type="cellIs" dxfId="4768" priority="2260" operator="between">
      <formula>0.76</formula>
      <formula>0.95</formula>
    </cfRule>
    <cfRule type="cellIs" dxfId="4767" priority="2261" operator="between">
      <formula>0.51</formula>
      <formula>0.75</formula>
    </cfRule>
    <cfRule type="cellIs" dxfId="4766" priority="2262" operator="greaterThan">
      <formula>1</formula>
    </cfRule>
    <cfRule type="cellIs" dxfId="4765" priority="2263" operator="between">
      <formula>0.95</formula>
      <formula>1</formula>
    </cfRule>
    <cfRule type="cellIs" dxfId="4764" priority="2264" stopIfTrue="1" operator="between">
      <formula>0</formula>
      <formula>0.5</formula>
    </cfRule>
  </conditionalFormatting>
  <conditionalFormatting sqref="AI127">
    <cfRule type="cellIs" dxfId="4763" priority="2255" operator="between">
      <formula>0.76</formula>
      <formula>0.95</formula>
    </cfRule>
    <cfRule type="cellIs" dxfId="4762" priority="2256" operator="between">
      <formula>0.51</formula>
      <formula>0.75</formula>
    </cfRule>
    <cfRule type="cellIs" dxfId="4761" priority="2257" operator="greaterThan">
      <formula>1</formula>
    </cfRule>
    <cfRule type="cellIs" dxfId="4760" priority="2258" operator="between">
      <formula>0.95</formula>
      <formula>1</formula>
    </cfRule>
    <cfRule type="cellIs" dxfId="4759" priority="2259" stopIfTrue="1" operator="between">
      <formula>0</formula>
      <formula>0.5</formula>
    </cfRule>
  </conditionalFormatting>
  <conditionalFormatting sqref="Y343:Y345">
    <cfRule type="cellIs" dxfId="4758" priority="2325" operator="between">
      <formula>0.76</formula>
      <formula>0.95</formula>
    </cfRule>
    <cfRule type="cellIs" dxfId="4757" priority="2326" operator="between">
      <formula>0.51</formula>
      <formula>0.75</formula>
    </cfRule>
    <cfRule type="cellIs" dxfId="4756" priority="2327" operator="greaterThan">
      <formula>1</formula>
    </cfRule>
    <cfRule type="cellIs" dxfId="4755" priority="2328" operator="between">
      <formula>0.95</formula>
      <formula>1</formula>
    </cfRule>
    <cfRule type="cellIs" dxfId="4754" priority="2329" stopIfTrue="1" operator="between">
      <formula>0</formula>
      <formula>0.5</formula>
    </cfRule>
  </conditionalFormatting>
  <conditionalFormatting sqref="AC288">
    <cfRule type="cellIs" dxfId="4753" priority="2220" operator="between">
      <formula>0.76</formula>
      <formula>0.95</formula>
    </cfRule>
    <cfRule type="cellIs" dxfId="4752" priority="2221" operator="between">
      <formula>0.51</formula>
      <formula>0.75</formula>
    </cfRule>
    <cfRule type="cellIs" dxfId="4751" priority="2222" operator="greaterThan">
      <formula>1</formula>
    </cfRule>
    <cfRule type="cellIs" dxfId="4750" priority="2223" operator="between">
      <formula>0.95</formula>
      <formula>1</formula>
    </cfRule>
    <cfRule type="cellIs" dxfId="4749" priority="2224" stopIfTrue="1" operator="between">
      <formula>0</formula>
      <formula>0.5</formula>
    </cfRule>
  </conditionalFormatting>
  <conditionalFormatting sqref="AI288">
    <cfRule type="cellIs" dxfId="4748" priority="2215" operator="between">
      <formula>0.76</formula>
      <formula>0.95</formula>
    </cfRule>
    <cfRule type="cellIs" dxfId="4747" priority="2216" operator="between">
      <formula>0.51</formula>
      <formula>0.75</formula>
    </cfRule>
    <cfRule type="cellIs" dxfId="4746" priority="2217" operator="greaterThan">
      <formula>1</formula>
    </cfRule>
    <cfRule type="cellIs" dxfId="4745" priority="2218" operator="between">
      <formula>0.95</formula>
      <formula>1</formula>
    </cfRule>
    <cfRule type="cellIs" dxfId="4744" priority="2219" stopIfTrue="1" operator="between">
      <formula>0</formula>
      <formula>0.5</formula>
    </cfRule>
  </conditionalFormatting>
  <conditionalFormatting sqref="AI343:AI345">
    <cfRule type="cellIs" dxfId="4743" priority="2285" operator="between">
      <formula>0.76</formula>
      <formula>0.95</formula>
    </cfRule>
    <cfRule type="cellIs" dxfId="4742" priority="2286" operator="between">
      <formula>0.51</formula>
      <formula>0.75</formula>
    </cfRule>
    <cfRule type="cellIs" dxfId="4741" priority="2287" operator="greaterThan">
      <formula>1</formula>
    </cfRule>
    <cfRule type="cellIs" dxfId="4740" priority="2288" operator="between">
      <formula>0.95</formula>
      <formula>1</formula>
    </cfRule>
    <cfRule type="cellIs" dxfId="4739" priority="2289" stopIfTrue="1" operator="between">
      <formula>0</formula>
      <formula>0.5</formula>
    </cfRule>
  </conditionalFormatting>
  <conditionalFormatting sqref="AF343:AF345">
    <cfRule type="cellIs" dxfId="4738" priority="2280" operator="between">
      <formula>0.76</formula>
      <formula>0.95</formula>
    </cfRule>
    <cfRule type="cellIs" dxfId="4737" priority="2281" operator="between">
      <formula>0.51</formula>
      <formula>0.75</formula>
    </cfRule>
    <cfRule type="cellIs" dxfId="4736" priority="2282" operator="greaterThan">
      <formula>1</formula>
    </cfRule>
    <cfRule type="cellIs" dxfId="4735" priority="2283" operator="between">
      <formula>0.95</formula>
      <formula>1</formula>
    </cfRule>
    <cfRule type="cellIs" dxfId="4734" priority="2284" stopIfTrue="1" operator="between">
      <formula>0</formula>
      <formula>0.5</formula>
    </cfRule>
  </conditionalFormatting>
  <conditionalFormatting sqref="AG343:AG345">
    <cfRule type="cellIs" dxfId="4733" priority="2275" operator="between">
      <formula>0.76</formula>
      <formula>0.95</formula>
    </cfRule>
    <cfRule type="cellIs" dxfId="4732" priority="2276" operator="between">
      <formula>0.51</formula>
      <formula>0.75</formula>
    </cfRule>
    <cfRule type="cellIs" dxfId="4731" priority="2277" operator="greaterThan">
      <formula>1</formula>
    </cfRule>
    <cfRule type="cellIs" dxfId="4730" priority="2278" operator="between">
      <formula>0.95</formula>
      <formula>1</formula>
    </cfRule>
    <cfRule type="cellIs" dxfId="4729" priority="2279" stopIfTrue="1" operator="between">
      <formula>0</formula>
      <formula>0.5</formula>
    </cfRule>
  </conditionalFormatting>
  <conditionalFormatting sqref="V343:V345">
    <cfRule type="cellIs" dxfId="4728" priority="2405" operator="between">
      <formula>0.376</formula>
      <formula>0.475</formula>
    </cfRule>
    <cfRule type="cellIs" dxfId="4727" priority="2406" operator="between">
      <formula>0.2551</formula>
      <formula>0.3751</formula>
    </cfRule>
    <cfRule type="cellIs" dxfId="4726" priority="2407" operator="greaterThan">
      <formula>0.505</formula>
    </cfRule>
    <cfRule type="cellIs" dxfId="4725" priority="2408" operator="between">
      <formula>0.48</formula>
      <formula>0.5</formula>
    </cfRule>
    <cfRule type="cellIs" dxfId="4724" priority="2409" stopIfTrue="1" operator="between">
      <formula>0</formula>
      <formula>0.255</formula>
    </cfRule>
  </conditionalFormatting>
  <conditionalFormatting sqref="R343:R345">
    <cfRule type="cellIs" dxfId="4723" priority="2400" operator="between">
      <formula>0.76</formula>
      <formula>0.95</formula>
    </cfRule>
    <cfRule type="cellIs" dxfId="4722" priority="2401" operator="between">
      <formula>0.51</formula>
      <formula>0.75</formula>
    </cfRule>
    <cfRule type="cellIs" dxfId="4721" priority="2402" operator="greaterThan">
      <formula>1</formula>
    </cfRule>
    <cfRule type="cellIs" dxfId="4720" priority="2403" operator="between">
      <formula>0.95</formula>
      <formula>1</formula>
    </cfRule>
    <cfRule type="cellIs" dxfId="4719" priority="2404" stopIfTrue="1" operator="between">
      <formula>0</formula>
      <formula>0.5</formula>
    </cfRule>
  </conditionalFormatting>
  <conditionalFormatting sqref="S343:S345">
    <cfRule type="cellIs" dxfId="4718" priority="2395" operator="between">
      <formula>0.76</formula>
      <formula>0.95</formula>
    </cfRule>
    <cfRule type="cellIs" dxfId="4717" priority="2396" operator="between">
      <formula>0.51</formula>
      <formula>0.75</formula>
    </cfRule>
    <cfRule type="cellIs" dxfId="4716" priority="2397" operator="greaterThan">
      <formula>1</formula>
    </cfRule>
    <cfRule type="cellIs" dxfId="4715" priority="2398" operator="between">
      <formula>0.95</formula>
      <formula>1</formula>
    </cfRule>
    <cfRule type="cellIs" dxfId="4714" priority="2399" stopIfTrue="1" operator="between">
      <formula>0</formula>
      <formula>0.5</formula>
    </cfRule>
  </conditionalFormatting>
  <conditionalFormatting sqref="T343:T345">
    <cfRule type="cellIs" dxfId="4713" priority="2390" operator="between">
      <formula>0.76</formula>
      <formula>0.95</formula>
    </cfRule>
    <cfRule type="cellIs" dxfId="4712" priority="2391" operator="between">
      <formula>0.51</formula>
      <formula>0.75</formula>
    </cfRule>
    <cfRule type="cellIs" dxfId="4711" priority="2392" operator="greaterThan">
      <formula>1</formula>
    </cfRule>
    <cfRule type="cellIs" dxfId="4710" priority="2393" operator="between">
      <formula>0.95</formula>
      <formula>1</formula>
    </cfRule>
    <cfRule type="cellIs" dxfId="4709" priority="2394" stopIfTrue="1" operator="between">
      <formula>0</formula>
      <formula>0.5</formula>
    </cfRule>
  </conditionalFormatting>
  <conditionalFormatting sqref="U343:U345">
    <cfRule type="cellIs" dxfId="4708" priority="2385" operator="between">
      <formula>0.191</formula>
      <formula>0.24</formula>
    </cfRule>
    <cfRule type="cellIs" dxfId="4707" priority="2386" operator="between">
      <formula>0.1251</formula>
      <formula>0.19</formula>
    </cfRule>
    <cfRule type="cellIs" dxfId="4706" priority="2387" operator="greaterThan">
      <formula>0.2601</formula>
    </cfRule>
    <cfRule type="cellIs" dxfId="4705" priority="2388" operator="between">
      <formula>0.2401</formula>
      <formula>0.26</formula>
    </cfRule>
    <cfRule type="cellIs" dxfId="4704" priority="2389" stopIfTrue="1" operator="between">
      <formula>0</formula>
      <formula>0.125</formula>
    </cfRule>
  </conditionalFormatting>
  <conditionalFormatting sqref="V342">
    <cfRule type="cellIs" dxfId="4703" priority="2210" operator="between">
      <formula>0.76</formula>
      <formula>0.95</formula>
    </cfRule>
    <cfRule type="cellIs" dxfId="4702" priority="2211" operator="between">
      <formula>0.51</formula>
      <formula>0.75</formula>
    </cfRule>
    <cfRule type="cellIs" dxfId="4701" priority="2212" operator="greaterThan">
      <formula>1</formula>
    </cfRule>
    <cfRule type="cellIs" dxfId="4700" priority="2213" operator="between">
      <formula>0.95</formula>
      <formula>1</formula>
    </cfRule>
    <cfRule type="cellIs" dxfId="4699" priority="2214" stopIfTrue="1" operator="between">
      <formula>0</formula>
      <formula>0.5</formula>
    </cfRule>
  </conditionalFormatting>
  <conditionalFormatting sqref="AC342">
    <cfRule type="cellIs" dxfId="4698" priority="2205" operator="between">
      <formula>0.76</formula>
      <formula>0.95</formula>
    </cfRule>
    <cfRule type="cellIs" dxfId="4697" priority="2206" operator="between">
      <formula>0.51</formula>
      <formula>0.75</formula>
    </cfRule>
    <cfRule type="cellIs" dxfId="4696" priority="2207" operator="greaterThan">
      <formula>1</formula>
    </cfRule>
    <cfRule type="cellIs" dxfId="4695" priority="2208" operator="between">
      <formula>0.95</formula>
      <formula>1</formula>
    </cfRule>
    <cfRule type="cellIs" dxfId="4694" priority="2209" stopIfTrue="1" operator="between">
      <formula>0</formula>
      <formula>0.5</formula>
    </cfRule>
  </conditionalFormatting>
  <conditionalFormatting sqref="AI342">
    <cfRule type="cellIs" dxfId="4693" priority="2200" operator="between">
      <formula>0.76</formula>
      <formula>0.95</formula>
    </cfRule>
    <cfRule type="cellIs" dxfId="4692" priority="2201" operator="between">
      <formula>0.51</formula>
      <formula>0.75</formula>
    </cfRule>
    <cfRule type="cellIs" dxfId="4691" priority="2202" operator="greaterThan">
      <formula>1</formula>
    </cfRule>
    <cfRule type="cellIs" dxfId="4690" priority="2203" operator="between">
      <formula>0.95</formula>
      <formula>1</formula>
    </cfRule>
    <cfRule type="cellIs" dxfId="4689" priority="2204" stopIfTrue="1" operator="between">
      <formula>0</formula>
      <formula>0.5</formula>
    </cfRule>
  </conditionalFormatting>
  <conditionalFormatting sqref="AC343:AC345">
    <cfRule type="cellIs" dxfId="4688" priority="2330" operator="between">
      <formula>0.56251</formula>
      <formula>0.7125</formula>
    </cfRule>
    <cfRule type="cellIs" dxfId="4687" priority="2331" operator="between">
      <formula>0.3751</formula>
      <formula>0.5625</formula>
    </cfRule>
    <cfRule type="cellIs" dxfId="4686" priority="2332" operator="greaterThan">
      <formula>0.751</formula>
    </cfRule>
    <cfRule type="cellIs" dxfId="4685" priority="2333" operator="between">
      <formula>0.71251</formula>
      <formula>0.75</formula>
    </cfRule>
    <cfRule type="cellIs" dxfId="4684" priority="2334" stopIfTrue="1" operator="between">
      <formula>0</formula>
      <formula>0.375</formula>
    </cfRule>
  </conditionalFormatting>
  <conditionalFormatting sqref="O192">
    <cfRule type="cellIs" dxfId="4683" priority="2250" operator="between">
      <formula>0.1876</formula>
      <formula>0.2375</formula>
    </cfRule>
    <cfRule type="cellIs" dxfId="4682" priority="2251" operator="between">
      <formula>0.1251</formula>
      <formula>0.1875</formula>
    </cfRule>
    <cfRule type="cellIs" dxfId="4681" priority="2252" operator="greaterThan">
      <formula>0.25</formula>
    </cfRule>
    <cfRule type="cellIs" dxfId="4680" priority="2253" operator="between">
      <formula>0.2376</formula>
      <formula>0.25</formula>
    </cfRule>
    <cfRule type="cellIs" dxfId="4679" priority="2254" stopIfTrue="1" operator="between">
      <formula>0</formula>
      <formula>0.125</formula>
    </cfRule>
  </conditionalFormatting>
  <conditionalFormatting sqref="Z343:Z345">
    <cfRule type="cellIs" dxfId="4678" priority="2320" operator="between">
      <formula>0.76</formula>
      <formula>0.95</formula>
    </cfRule>
    <cfRule type="cellIs" dxfId="4677" priority="2321" operator="between">
      <formula>0.51</formula>
      <formula>0.75</formula>
    </cfRule>
    <cfRule type="cellIs" dxfId="4676" priority="2322" operator="greaterThan">
      <formula>1</formula>
    </cfRule>
    <cfRule type="cellIs" dxfId="4675" priority="2323" operator="between">
      <formula>0.95</formula>
      <formula>1</formula>
    </cfRule>
    <cfRule type="cellIs" dxfId="4674" priority="2324" stopIfTrue="1" operator="between">
      <formula>0</formula>
      <formula>0.5</formula>
    </cfRule>
  </conditionalFormatting>
  <conditionalFormatting sqref="AC192">
    <cfRule type="cellIs" dxfId="4673" priority="2240" operator="between">
      <formula>0.76</formula>
      <formula>0.95</formula>
    </cfRule>
    <cfRule type="cellIs" dxfId="4672" priority="2241" operator="between">
      <formula>0.51</formula>
      <formula>0.75</formula>
    </cfRule>
    <cfRule type="cellIs" dxfId="4671" priority="2242" operator="greaterThan">
      <formula>1</formula>
    </cfRule>
    <cfRule type="cellIs" dxfId="4670" priority="2243" operator="between">
      <formula>0.95</formula>
      <formula>1</formula>
    </cfRule>
    <cfRule type="cellIs" dxfId="4669" priority="2244" stopIfTrue="1" operator="between">
      <formula>0</formula>
      <formula>0.5</formula>
    </cfRule>
  </conditionalFormatting>
  <conditionalFormatting sqref="AB343:AB345">
    <cfRule type="cellIs" dxfId="4668" priority="2310" operator="between">
      <formula>0.191</formula>
      <formula>0.24</formula>
    </cfRule>
    <cfRule type="cellIs" dxfId="4667" priority="2311" operator="between">
      <formula>0.1251</formula>
      <formula>0.19</formula>
    </cfRule>
    <cfRule type="cellIs" dxfId="4666" priority="2312" operator="greaterThan">
      <formula>0.2601</formula>
    </cfRule>
    <cfRule type="cellIs" dxfId="4665" priority="2313" operator="between">
      <formula>0.2401</formula>
      <formula>0.26</formula>
    </cfRule>
    <cfRule type="cellIs" dxfId="4664" priority="2314" stopIfTrue="1" operator="between">
      <formula>0</formula>
      <formula>0.125</formula>
    </cfRule>
  </conditionalFormatting>
  <conditionalFormatting sqref="V192">
    <cfRule type="cellIs" dxfId="4663" priority="2245" operator="between">
      <formula>0.76</formula>
      <formula>0.95</formula>
    </cfRule>
    <cfRule type="cellIs" dxfId="4662" priority="2246" operator="between">
      <formula>0.51</formula>
      <formula>0.75</formula>
    </cfRule>
    <cfRule type="cellIs" dxfId="4661" priority="2247" operator="greaterThan">
      <formula>1</formula>
    </cfRule>
    <cfRule type="cellIs" dxfId="4660" priority="2248" operator="between">
      <formula>0.95</formula>
      <formula>1</formula>
    </cfRule>
    <cfRule type="cellIs" dxfId="4659" priority="2249" stopIfTrue="1" operator="between">
      <formula>0</formula>
      <formula>0.5</formula>
    </cfRule>
  </conditionalFormatting>
  <conditionalFormatting sqref="AI192">
    <cfRule type="cellIs" dxfId="4658" priority="2235" operator="between">
      <formula>0.76</formula>
      <formula>0.95</formula>
    </cfRule>
    <cfRule type="cellIs" dxfId="4657" priority="2236" operator="between">
      <formula>0.51</formula>
      <formula>0.75</formula>
    </cfRule>
    <cfRule type="cellIs" dxfId="4656" priority="2237" operator="greaterThan">
      <formula>1</formula>
    </cfRule>
    <cfRule type="cellIs" dxfId="4655" priority="2238" operator="between">
      <formula>0.95</formula>
      <formula>1</formula>
    </cfRule>
    <cfRule type="cellIs" dxfId="4654" priority="2239" stopIfTrue="1" operator="between">
      <formula>0</formula>
      <formula>0.5</formula>
    </cfRule>
  </conditionalFormatting>
  <conditionalFormatting sqref="V288">
    <cfRule type="cellIs" dxfId="4653" priority="2225" operator="between">
      <formula>0.76</formula>
      <formula>0.95</formula>
    </cfRule>
    <cfRule type="cellIs" dxfId="4652" priority="2226" operator="between">
      <formula>0.51</formula>
      <formula>0.75</formula>
    </cfRule>
    <cfRule type="cellIs" dxfId="4651" priority="2227" operator="greaterThan">
      <formula>1</formula>
    </cfRule>
    <cfRule type="cellIs" dxfId="4650" priority="2228" operator="between">
      <formula>0.95</formula>
      <formula>1</formula>
    </cfRule>
    <cfRule type="cellIs" dxfId="4649" priority="2229" stopIfTrue="1" operator="between">
      <formula>0</formula>
      <formula>0.5</formula>
    </cfRule>
  </conditionalFormatting>
  <conditionalFormatting sqref="R35">
    <cfRule type="cellIs" dxfId="4648" priority="2190" operator="between">
      <formula>0.76</formula>
      <formula>0.95</formula>
    </cfRule>
    <cfRule type="cellIs" dxfId="4647" priority="2191" operator="between">
      <formula>0.51</formula>
      <formula>0.75</formula>
    </cfRule>
    <cfRule type="cellIs" dxfId="4646" priority="2192" operator="greaterThan">
      <formula>1</formula>
    </cfRule>
    <cfRule type="cellIs" dxfId="4645" priority="2193" operator="between">
      <formula>0.95</formula>
      <formula>1</formula>
    </cfRule>
    <cfRule type="cellIs" dxfId="4644" priority="2194" stopIfTrue="1" operator="between">
      <formula>0</formula>
      <formula>0.5</formula>
    </cfRule>
  </conditionalFormatting>
  <conditionalFormatting sqref="T35">
    <cfRule type="cellIs" dxfId="4643" priority="2185" operator="between">
      <formula>0.3751</formula>
      <formula>0.475</formula>
    </cfRule>
    <cfRule type="cellIs" dxfId="4642" priority="2186" operator="between">
      <formula>0.2551</formula>
      <formula>0.375</formula>
    </cfRule>
    <cfRule type="cellIs" dxfId="4641" priority="2187" operator="greaterThan">
      <formula>0.505</formula>
    </cfRule>
    <cfRule type="cellIs" dxfId="4640" priority="2188" operator="between">
      <formula>0.48</formula>
      <formula>0.5</formula>
    </cfRule>
    <cfRule type="cellIs" dxfId="4639" priority="2189" stopIfTrue="1" operator="between">
      <formula>0</formula>
      <formula>0.255</formula>
    </cfRule>
  </conditionalFormatting>
  <conditionalFormatting sqref="Y35 AF35 AH35:AI35">
    <cfRule type="cellIs" dxfId="4638" priority="2172" operator="between">
      <formula>0.76</formula>
      <formula>0.95</formula>
    </cfRule>
    <cfRule type="cellIs" dxfId="4637" priority="2173" operator="between">
      <formula>0.51</formula>
      <formula>0.75</formula>
    </cfRule>
    <cfRule type="cellIs" dxfId="4636" priority="2174" operator="greaterThan">
      <formula>1</formula>
    </cfRule>
    <cfRule type="cellIs" dxfId="4635" priority="2175" operator="between">
      <formula>0.95</formula>
      <formula>1</formula>
    </cfRule>
    <cfRule type="cellIs" dxfId="4634" priority="2176" stopIfTrue="1" operator="between">
      <formula>0</formula>
      <formula>0.5</formula>
    </cfRule>
  </conditionalFormatting>
  <conditionalFormatting sqref="AA35:AB35">
    <cfRule type="cellIs" dxfId="4633" priority="2167" operator="between">
      <formula>0.56251</formula>
      <formula>0.7125</formula>
    </cfRule>
    <cfRule type="cellIs" dxfId="4632" priority="2168" operator="between">
      <formula>0.3751</formula>
      <formula>0.5625</formula>
    </cfRule>
    <cfRule type="cellIs" dxfId="4631" priority="2169" operator="greaterThan">
      <formula>0.751</formula>
    </cfRule>
    <cfRule type="cellIs" dxfId="4630" priority="2170" operator="between">
      <formula>0.71251</formula>
      <formula>0.75</formula>
    </cfRule>
    <cfRule type="cellIs" dxfId="4629" priority="2171" stopIfTrue="1" operator="between">
      <formula>0</formula>
      <formula>0.375</formula>
    </cfRule>
  </conditionalFormatting>
  <conditionalFormatting sqref="U35">
    <cfRule type="cellIs" dxfId="4628" priority="2162" operator="between">
      <formula>0.376</formula>
      <formula>0.475</formula>
    </cfRule>
    <cfRule type="cellIs" dxfId="4627" priority="2163" operator="between">
      <formula>0.2551</formula>
      <formula>0.3751</formula>
    </cfRule>
    <cfRule type="cellIs" dxfId="4626" priority="2164" operator="greaterThan">
      <formula>0.505</formula>
    </cfRule>
    <cfRule type="cellIs" dxfId="4625" priority="2165" operator="between">
      <formula>0.48</formula>
      <formula>0.5</formula>
    </cfRule>
    <cfRule type="cellIs" dxfId="4624" priority="2166" stopIfTrue="1" operator="between">
      <formula>0</formula>
      <formula>0.255</formula>
    </cfRule>
  </conditionalFormatting>
  <conditionalFormatting sqref="AG35">
    <cfRule type="cellIs" dxfId="4623" priority="2152" operator="between">
      <formula>0.76</formula>
      <formula>0.95</formula>
    </cfRule>
    <cfRule type="cellIs" dxfId="4622" priority="2153" operator="between">
      <formula>0.51</formula>
      <formula>0.75</formula>
    </cfRule>
    <cfRule type="cellIs" dxfId="4621" priority="2154" operator="greaterThan">
      <formula>1</formula>
    </cfRule>
    <cfRule type="cellIs" dxfId="4620" priority="2155" operator="between">
      <formula>0.95</formula>
      <formula>1</formula>
    </cfRule>
    <cfRule type="cellIs" dxfId="4619" priority="2156" stopIfTrue="1" operator="between">
      <formula>0</formula>
      <formula>0.5</formula>
    </cfRule>
  </conditionalFormatting>
  <conditionalFormatting sqref="S35">
    <cfRule type="cellIs" dxfId="4618" priority="2132" operator="between">
      <formula>0.76</formula>
      <formula>0.95</formula>
    </cfRule>
    <cfRule type="cellIs" dxfId="4617" priority="2133" operator="between">
      <formula>0.51</formula>
      <formula>0.75</formula>
    </cfRule>
    <cfRule type="cellIs" dxfId="4616" priority="2134" operator="greaterThan">
      <formula>1</formula>
    </cfRule>
    <cfRule type="cellIs" dxfId="4615" priority="2135" operator="between">
      <formula>0.95</formula>
      <formula>1</formula>
    </cfRule>
    <cfRule type="cellIs" dxfId="4614" priority="2136" stopIfTrue="1" operator="between">
      <formula>0</formula>
      <formula>0.5</formula>
    </cfRule>
  </conditionalFormatting>
  <conditionalFormatting sqref="V35">
    <cfRule type="cellIs" dxfId="4613" priority="2127" operator="between">
      <formula>0.376</formula>
      <formula>0.475</formula>
    </cfRule>
    <cfRule type="cellIs" dxfId="4612" priority="2128" operator="between">
      <formula>0.2551</formula>
      <formula>0.3751</formula>
    </cfRule>
    <cfRule type="cellIs" dxfId="4611" priority="2129" operator="greaterThan">
      <formula>0.505</formula>
    </cfRule>
    <cfRule type="cellIs" dxfId="4610" priority="2130" operator="between">
      <formula>0.48</formula>
      <formula>0.5</formula>
    </cfRule>
    <cfRule type="cellIs" dxfId="4609" priority="2131" stopIfTrue="1" operator="between">
      <formula>0</formula>
      <formula>0.255</formula>
    </cfRule>
  </conditionalFormatting>
  <conditionalFormatting sqref="Z35">
    <cfRule type="cellIs" dxfId="4608" priority="2122" operator="between">
      <formula>0.76</formula>
      <formula>0.95</formula>
    </cfRule>
    <cfRule type="cellIs" dxfId="4607" priority="2123" operator="between">
      <formula>0.51</formula>
      <formula>0.75</formula>
    </cfRule>
    <cfRule type="cellIs" dxfId="4606" priority="2124" operator="greaterThan">
      <formula>1</formula>
    </cfRule>
    <cfRule type="cellIs" dxfId="4605" priority="2125" operator="between">
      <formula>0.95</formula>
      <formula>1</formula>
    </cfRule>
    <cfRule type="cellIs" dxfId="4604" priority="2126" stopIfTrue="1" operator="between">
      <formula>0</formula>
      <formula>0.5</formula>
    </cfRule>
  </conditionalFormatting>
  <conditionalFormatting sqref="AC35">
    <cfRule type="cellIs" dxfId="4603" priority="2117" operator="between">
      <formula>0.56251</formula>
      <formula>0.7125</formula>
    </cfRule>
    <cfRule type="cellIs" dxfId="4602" priority="2118" operator="between">
      <formula>0.3751</formula>
      <formula>0.5625</formula>
    </cfRule>
    <cfRule type="cellIs" dxfId="4601" priority="2119" operator="greaterThan">
      <formula>0.751</formula>
    </cfRule>
    <cfRule type="cellIs" dxfId="4600" priority="2120" operator="between">
      <formula>0.71251</formula>
      <formula>0.75</formula>
    </cfRule>
    <cfRule type="cellIs" dxfId="4599" priority="2121" stopIfTrue="1" operator="between">
      <formula>0</formula>
      <formula>0.375</formula>
    </cfRule>
  </conditionalFormatting>
  <conditionalFormatting sqref="R36:R38">
    <cfRule type="cellIs" dxfId="4598" priority="2112" operator="between">
      <formula>0.76</formula>
      <formula>0.95</formula>
    </cfRule>
    <cfRule type="cellIs" dxfId="4597" priority="2113" operator="between">
      <formula>0.51</formula>
      <formula>0.75</formula>
    </cfRule>
    <cfRule type="cellIs" dxfId="4596" priority="2114" operator="greaterThan">
      <formula>1</formula>
    </cfRule>
    <cfRule type="cellIs" dxfId="4595" priority="2115" operator="between">
      <formula>0.95</formula>
      <formula>1</formula>
    </cfRule>
    <cfRule type="cellIs" dxfId="4594" priority="2116" stopIfTrue="1" operator="between">
      <formula>0</formula>
      <formula>0.5</formula>
    </cfRule>
  </conditionalFormatting>
  <conditionalFormatting sqref="T36:T38">
    <cfRule type="cellIs" dxfId="4593" priority="2107" operator="between">
      <formula>0.3751</formula>
      <formula>0.475</formula>
    </cfRule>
    <cfRule type="cellIs" dxfId="4592" priority="2108" operator="between">
      <formula>0.2551</formula>
      <formula>0.375</formula>
    </cfRule>
    <cfRule type="cellIs" dxfId="4591" priority="2109" operator="greaterThan">
      <formula>0.505</formula>
    </cfRule>
    <cfRule type="cellIs" dxfId="4590" priority="2110" operator="between">
      <formula>0.48</formula>
      <formula>0.5</formula>
    </cfRule>
    <cfRule type="cellIs" dxfId="4589" priority="2111" stopIfTrue="1" operator="between">
      <formula>0</formula>
      <formula>0.255</formula>
    </cfRule>
  </conditionalFormatting>
  <conditionalFormatting sqref="Y36:Y38 AF36:AF38 AH36:AI38">
    <cfRule type="cellIs" dxfId="4588" priority="2094" operator="between">
      <formula>0.76</formula>
      <formula>0.95</formula>
    </cfRule>
    <cfRule type="cellIs" dxfId="4587" priority="2095" operator="between">
      <formula>0.51</formula>
      <formula>0.75</formula>
    </cfRule>
    <cfRule type="cellIs" dxfId="4586" priority="2096" operator="greaterThan">
      <formula>1</formula>
    </cfRule>
    <cfRule type="cellIs" dxfId="4585" priority="2097" operator="between">
      <formula>0.95</formula>
      <formula>1</formula>
    </cfRule>
    <cfRule type="cellIs" dxfId="4584" priority="2098" stopIfTrue="1" operator="between">
      <formula>0</formula>
      <formula>0.5</formula>
    </cfRule>
  </conditionalFormatting>
  <conditionalFormatting sqref="AA36:AB38">
    <cfRule type="cellIs" dxfId="4583" priority="2089" operator="between">
      <formula>0.56251</formula>
      <formula>0.7125</formula>
    </cfRule>
    <cfRule type="cellIs" dxfId="4582" priority="2090" operator="between">
      <formula>0.3751</formula>
      <formula>0.5625</formula>
    </cfRule>
    <cfRule type="cellIs" dxfId="4581" priority="2091" operator="greaterThan">
      <formula>0.751</formula>
    </cfRule>
    <cfRule type="cellIs" dxfId="4580" priority="2092" operator="between">
      <formula>0.71251</formula>
      <formula>0.75</formula>
    </cfRule>
    <cfRule type="cellIs" dxfId="4579" priority="2093" stopIfTrue="1" operator="between">
      <formula>0</formula>
      <formula>0.375</formula>
    </cfRule>
  </conditionalFormatting>
  <conditionalFormatting sqref="U36:U38">
    <cfRule type="cellIs" dxfId="4578" priority="2084" operator="between">
      <formula>0.376</formula>
      <formula>0.475</formula>
    </cfRule>
    <cfRule type="cellIs" dxfId="4577" priority="2085" operator="between">
      <formula>0.2551</formula>
      <formula>0.3751</formula>
    </cfRule>
    <cfRule type="cellIs" dxfId="4576" priority="2086" operator="greaterThan">
      <formula>0.505</formula>
    </cfRule>
    <cfRule type="cellIs" dxfId="4575" priority="2087" operator="between">
      <formula>0.48</formula>
      <formula>0.5</formula>
    </cfRule>
    <cfRule type="cellIs" dxfId="4574" priority="2088" stopIfTrue="1" operator="between">
      <formula>0</formula>
      <formula>0.255</formula>
    </cfRule>
  </conditionalFormatting>
  <conditionalFormatting sqref="AG36:AG38">
    <cfRule type="cellIs" dxfId="4573" priority="2079" operator="between">
      <formula>0.76</formula>
      <formula>0.95</formula>
    </cfRule>
    <cfRule type="cellIs" dxfId="4572" priority="2080" operator="between">
      <formula>0.51</formula>
      <formula>0.75</formula>
    </cfRule>
    <cfRule type="cellIs" dxfId="4571" priority="2081" operator="greaterThan">
      <formula>1</formula>
    </cfRule>
    <cfRule type="cellIs" dxfId="4570" priority="2082" operator="between">
      <formula>0.95</formula>
      <formula>1</formula>
    </cfRule>
    <cfRule type="cellIs" dxfId="4569" priority="2083" stopIfTrue="1" operator="between">
      <formula>0</formula>
      <formula>0.5</formula>
    </cfRule>
  </conditionalFormatting>
  <conditionalFormatting sqref="S36:S38">
    <cfRule type="cellIs" dxfId="4568" priority="2059" operator="between">
      <formula>0.76</formula>
      <formula>0.95</formula>
    </cfRule>
    <cfRule type="cellIs" dxfId="4567" priority="2060" operator="between">
      <formula>0.51</formula>
      <formula>0.75</formula>
    </cfRule>
    <cfRule type="cellIs" dxfId="4566" priority="2061" operator="greaterThan">
      <formula>1</formula>
    </cfRule>
    <cfRule type="cellIs" dxfId="4565" priority="2062" operator="between">
      <formula>0.95</formula>
      <formula>1</formula>
    </cfRule>
    <cfRule type="cellIs" dxfId="4564" priority="2063" stopIfTrue="1" operator="between">
      <formula>0</formula>
      <formula>0.5</formula>
    </cfRule>
  </conditionalFormatting>
  <conditionalFormatting sqref="V36:V38">
    <cfRule type="cellIs" dxfId="4563" priority="2054" operator="between">
      <formula>0.376</formula>
      <formula>0.475</formula>
    </cfRule>
    <cfRule type="cellIs" dxfId="4562" priority="2055" operator="between">
      <formula>0.2551</formula>
      <formula>0.3751</formula>
    </cfRule>
    <cfRule type="cellIs" dxfId="4561" priority="2056" operator="greaterThan">
      <formula>0.505</formula>
    </cfRule>
    <cfRule type="cellIs" dxfId="4560" priority="2057" operator="between">
      <formula>0.48</formula>
      <formula>0.5</formula>
    </cfRule>
    <cfRule type="cellIs" dxfId="4559" priority="2058" stopIfTrue="1" operator="between">
      <formula>0</formula>
      <formula>0.255</formula>
    </cfRule>
  </conditionalFormatting>
  <conditionalFormatting sqref="Z36:Z38">
    <cfRule type="cellIs" dxfId="4558" priority="2049" operator="between">
      <formula>0.76</formula>
      <formula>0.95</formula>
    </cfRule>
    <cfRule type="cellIs" dxfId="4557" priority="2050" operator="between">
      <formula>0.51</formula>
      <formula>0.75</formula>
    </cfRule>
    <cfRule type="cellIs" dxfId="4556" priority="2051" operator="greaterThan">
      <formula>1</formula>
    </cfRule>
    <cfRule type="cellIs" dxfId="4555" priority="2052" operator="between">
      <formula>0.95</formula>
      <formula>1</formula>
    </cfRule>
    <cfRule type="cellIs" dxfId="4554" priority="2053" stopIfTrue="1" operator="between">
      <formula>0</formula>
      <formula>0.5</formula>
    </cfRule>
  </conditionalFormatting>
  <conditionalFormatting sqref="AC36:AC38">
    <cfRule type="cellIs" dxfId="4553" priority="2044" operator="between">
      <formula>0.56251</formula>
      <formula>0.7125</formula>
    </cfRule>
    <cfRule type="cellIs" dxfId="4552" priority="2045" operator="between">
      <formula>0.3751</formula>
      <formula>0.5625</formula>
    </cfRule>
    <cfRule type="cellIs" dxfId="4551" priority="2046" operator="greaterThan">
      <formula>0.751</formula>
    </cfRule>
    <cfRule type="cellIs" dxfId="4550" priority="2047" operator="between">
      <formula>0.71251</formula>
      <formula>0.75</formula>
    </cfRule>
    <cfRule type="cellIs" dxfId="4549" priority="2048" stopIfTrue="1" operator="between">
      <formula>0</formula>
      <formula>0.375</formula>
    </cfRule>
  </conditionalFormatting>
  <conditionalFormatting sqref="R150 Y150 AF150:AI150">
    <cfRule type="cellIs" dxfId="4548" priority="1893" operator="between">
      <formula>0.76</formula>
      <formula>0.95</formula>
    </cfRule>
    <cfRule type="cellIs" dxfId="4547" priority="1894" operator="between">
      <formula>0.51</formula>
      <formula>0.75</formula>
    </cfRule>
    <cfRule type="cellIs" dxfId="4546" priority="1895" operator="greaterThan">
      <formula>1</formula>
    </cfRule>
    <cfRule type="cellIs" dxfId="4545" priority="1896" operator="between">
      <formula>0.95</formula>
      <formula>1</formula>
    </cfRule>
    <cfRule type="cellIs" dxfId="4544" priority="1897" stopIfTrue="1" operator="between">
      <formula>0</formula>
      <formula>0.5</formula>
    </cfRule>
  </conditionalFormatting>
  <conditionalFormatting sqref="T150">
    <cfRule type="cellIs" dxfId="4543" priority="1888" operator="between">
      <formula>0.3751</formula>
      <formula>0.475</formula>
    </cfRule>
    <cfRule type="cellIs" dxfId="4542" priority="1889" operator="between">
      <formula>0.2551</formula>
      <formula>0.375</formula>
    </cfRule>
    <cfRule type="cellIs" dxfId="4541" priority="1890" operator="greaterThan">
      <formula>0.505</formula>
    </cfRule>
    <cfRule type="cellIs" dxfId="4540" priority="1891" operator="between">
      <formula>0.48</formula>
      <formula>0.5</formula>
    </cfRule>
    <cfRule type="cellIs" dxfId="4539" priority="1892" stopIfTrue="1" operator="between">
      <formula>0</formula>
      <formula>0.255</formula>
    </cfRule>
  </conditionalFormatting>
  <conditionalFormatting sqref="AA150:AB150">
    <cfRule type="cellIs" dxfId="4538" priority="1883" operator="between">
      <formula>0.56251</formula>
      <formula>0.7125</formula>
    </cfRule>
    <cfRule type="cellIs" dxfId="4537" priority="1884" operator="between">
      <formula>0.3751</formula>
      <formula>0.5625</formula>
    </cfRule>
    <cfRule type="cellIs" dxfId="4536" priority="1885" operator="greaterThan">
      <formula>0.751</formula>
    </cfRule>
    <cfRule type="cellIs" dxfId="4535" priority="1886" operator="between">
      <formula>0.71251</formula>
      <formula>0.75</formula>
    </cfRule>
    <cfRule type="cellIs" dxfId="4534" priority="1887" stopIfTrue="1" operator="between">
      <formula>0</formula>
      <formula>0.375</formula>
    </cfRule>
  </conditionalFormatting>
  <conditionalFormatting sqref="U150">
    <cfRule type="cellIs" dxfId="4533" priority="1873" operator="between">
      <formula>0.376</formula>
      <formula>0.475</formula>
    </cfRule>
    <cfRule type="cellIs" dxfId="4532" priority="1874" operator="between">
      <formula>0.2551</formula>
      <formula>0.3751</formula>
    </cfRule>
    <cfRule type="cellIs" dxfId="4531" priority="1875" operator="greaterThan">
      <formula>0.505</formula>
    </cfRule>
    <cfRule type="cellIs" dxfId="4530" priority="1876" operator="between">
      <formula>0.48</formula>
      <formula>0.5</formula>
    </cfRule>
    <cfRule type="cellIs" dxfId="4529" priority="1877" stopIfTrue="1" operator="between">
      <formula>0</formula>
      <formula>0.255</formula>
    </cfRule>
  </conditionalFormatting>
  <conditionalFormatting sqref="S150">
    <cfRule type="cellIs" dxfId="4528" priority="1838" operator="between">
      <formula>0.76</formula>
      <formula>0.95</formula>
    </cfRule>
    <cfRule type="cellIs" dxfId="4527" priority="1839" operator="between">
      <formula>0.51</formula>
      <formula>0.75</formula>
    </cfRule>
    <cfRule type="cellIs" dxfId="4526" priority="1840" operator="greaterThan">
      <formula>1</formula>
    </cfRule>
    <cfRule type="cellIs" dxfId="4525" priority="1841" operator="between">
      <formula>0.95</formula>
      <formula>1</formula>
    </cfRule>
    <cfRule type="cellIs" dxfId="4524" priority="1842" stopIfTrue="1" operator="between">
      <formula>0</formula>
      <formula>0.5</formula>
    </cfRule>
  </conditionalFormatting>
  <conditionalFormatting sqref="V150">
    <cfRule type="cellIs" dxfId="4523" priority="1833" operator="between">
      <formula>0.376</formula>
      <formula>0.475</formula>
    </cfRule>
    <cfRule type="cellIs" dxfId="4522" priority="1834" operator="between">
      <formula>0.2551</formula>
      <formula>0.3751</formula>
    </cfRule>
    <cfRule type="cellIs" dxfId="4521" priority="1835" operator="greaterThan">
      <formula>0.505</formula>
    </cfRule>
    <cfRule type="cellIs" dxfId="4520" priority="1836" operator="between">
      <formula>0.48</formula>
      <formula>0.5</formula>
    </cfRule>
    <cfRule type="cellIs" dxfId="4519" priority="1837" stopIfTrue="1" operator="between">
      <formula>0</formula>
      <formula>0.255</formula>
    </cfRule>
  </conditionalFormatting>
  <conditionalFormatting sqref="Z150">
    <cfRule type="cellIs" dxfId="4518" priority="1828" operator="between">
      <formula>0.76</formula>
      <formula>0.95</formula>
    </cfRule>
    <cfRule type="cellIs" dxfId="4517" priority="1829" operator="between">
      <formula>0.51</formula>
      <formula>0.75</formula>
    </cfRule>
    <cfRule type="cellIs" dxfId="4516" priority="1830" operator="greaterThan">
      <formula>1</formula>
    </cfRule>
    <cfRule type="cellIs" dxfId="4515" priority="1831" operator="between">
      <formula>0.95</formula>
      <formula>1</formula>
    </cfRule>
    <cfRule type="cellIs" dxfId="4514" priority="1832" stopIfTrue="1" operator="between">
      <formula>0</formula>
      <formula>0.5</formula>
    </cfRule>
  </conditionalFormatting>
  <conditionalFormatting sqref="AC150">
    <cfRule type="cellIs" dxfId="4513" priority="1823" operator="between">
      <formula>0.56251</formula>
      <formula>0.7125</formula>
    </cfRule>
    <cfRule type="cellIs" dxfId="4512" priority="1824" operator="between">
      <formula>0.3751</formula>
      <formula>0.5625</formula>
    </cfRule>
    <cfRule type="cellIs" dxfId="4511" priority="1825" operator="greaterThan">
      <formula>0.751</formula>
    </cfRule>
    <cfRule type="cellIs" dxfId="4510" priority="1826" operator="between">
      <formula>0.71251</formula>
      <formula>0.75</formula>
    </cfRule>
    <cfRule type="cellIs" dxfId="4509" priority="1827" stopIfTrue="1" operator="between">
      <formula>0</formula>
      <formula>0.375</formula>
    </cfRule>
  </conditionalFormatting>
  <conditionalFormatting sqref="R151 Y151 AF151:AI151">
    <cfRule type="cellIs" dxfId="4508" priority="1818" operator="between">
      <formula>0.76</formula>
      <formula>0.95</formula>
    </cfRule>
    <cfRule type="cellIs" dxfId="4507" priority="1819" operator="between">
      <formula>0.51</formula>
      <formula>0.75</formula>
    </cfRule>
    <cfRule type="cellIs" dxfId="4506" priority="1820" operator="greaterThan">
      <formula>1</formula>
    </cfRule>
    <cfRule type="cellIs" dxfId="4505" priority="1821" operator="between">
      <formula>0.95</formula>
      <formula>1</formula>
    </cfRule>
    <cfRule type="cellIs" dxfId="4504" priority="1822" stopIfTrue="1" operator="between">
      <formula>0</formula>
      <formula>0.5</formula>
    </cfRule>
  </conditionalFormatting>
  <conditionalFormatting sqref="T151">
    <cfRule type="cellIs" dxfId="4503" priority="1813" operator="between">
      <formula>0.3751</formula>
      <formula>0.475</formula>
    </cfRule>
    <cfRule type="cellIs" dxfId="4502" priority="1814" operator="between">
      <formula>0.2551</formula>
      <formula>0.375</formula>
    </cfRule>
    <cfRule type="cellIs" dxfId="4501" priority="1815" operator="greaterThan">
      <formula>0.505</formula>
    </cfRule>
    <cfRule type="cellIs" dxfId="4500" priority="1816" operator="between">
      <formula>0.48</formula>
      <formula>0.5</formula>
    </cfRule>
    <cfRule type="cellIs" dxfId="4499" priority="1817" stopIfTrue="1" operator="between">
      <formula>0</formula>
      <formula>0.255</formula>
    </cfRule>
  </conditionalFormatting>
  <conditionalFormatting sqref="AA151:AB151">
    <cfRule type="cellIs" dxfId="4498" priority="1808" operator="between">
      <formula>0.56251</formula>
      <formula>0.7125</formula>
    </cfRule>
    <cfRule type="cellIs" dxfId="4497" priority="1809" operator="between">
      <formula>0.3751</formula>
      <formula>0.5625</formula>
    </cfRule>
    <cfRule type="cellIs" dxfId="4496" priority="1810" operator="greaterThan">
      <formula>0.751</formula>
    </cfRule>
    <cfRule type="cellIs" dxfId="4495" priority="1811" operator="between">
      <formula>0.71251</formula>
      <formula>0.75</formula>
    </cfRule>
    <cfRule type="cellIs" dxfId="4494" priority="1812" stopIfTrue="1" operator="between">
      <formula>0</formula>
      <formula>0.375</formula>
    </cfRule>
  </conditionalFormatting>
  <conditionalFormatting sqref="U151">
    <cfRule type="cellIs" dxfId="4493" priority="1798" operator="between">
      <formula>0.376</formula>
      <formula>0.475</formula>
    </cfRule>
    <cfRule type="cellIs" dxfId="4492" priority="1799" operator="between">
      <formula>0.2551</formula>
      <formula>0.3751</formula>
    </cfRule>
    <cfRule type="cellIs" dxfId="4491" priority="1800" operator="greaterThan">
      <formula>0.505</formula>
    </cfRule>
    <cfRule type="cellIs" dxfId="4490" priority="1801" operator="between">
      <formula>0.48</formula>
      <formula>0.5</formula>
    </cfRule>
    <cfRule type="cellIs" dxfId="4489" priority="1802" stopIfTrue="1" operator="between">
      <formula>0</formula>
      <formula>0.255</formula>
    </cfRule>
  </conditionalFormatting>
  <conditionalFormatting sqref="S151">
    <cfRule type="cellIs" dxfId="4488" priority="1763" operator="between">
      <formula>0.76</formula>
      <formula>0.95</formula>
    </cfRule>
    <cfRule type="cellIs" dxfId="4487" priority="1764" operator="between">
      <formula>0.51</formula>
      <formula>0.75</formula>
    </cfRule>
    <cfRule type="cellIs" dxfId="4486" priority="1765" operator="greaterThan">
      <formula>1</formula>
    </cfRule>
    <cfRule type="cellIs" dxfId="4485" priority="1766" operator="between">
      <formula>0.95</formula>
      <formula>1</formula>
    </cfRule>
    <cfRule type="cellIs" dxfId="4484" priority="1767" stopIfTrue="1" operator="between">
      <formula>0</formula>
      <formula>0.5</formula>
    </cfRule>
  </conditionalFormatting>
  <conditionalFormatting sqref="V151">
    <cfRule type="cellIs" dxfId="4483" priority="1758" operator="between">
      <formula>0.376</formula>
      <formula>0.475</formula>
    </cfRule>
    <cfRule type="cellIs" dxfId="4482" priority="1759" operator="between">
      <formula>0.2551</formula>
      <formula>0.3751</formula>
    </cfRule>
    <cfRule type="cellIs" dxfId="4481" priority="1760" operator="greaterThan">
      <formula>0.505</formula>
    </cfRule>
    <cfRule type="cellIs" dxfId="4480" priority="1761" operator="between">
      <formula>0.48</formula>
      <formula>0.5</formula>
    </cfRule>
    <cfRule type="cellIs" dxfId="4479" priority="1762" stopIfTrue="1" operator="between">
      <formula>0</formula>
      <formula>0.255</formula>
    </cfRule>
  </conditionalFormatting>
  <conditionalFormatting sqref="Z151">
    <cfRule type="cellIs" dxfId="4478" priority="1753" operator="between">
      <formula>0.76</formula>
      <formula>0.95</formula>
    </cfRule>
    <cfRule type="cellIs" dxfId="4477" priority="1754" operator="between">
      <formula>0.51</formula>
      <formula>0.75</formula>
    </cfRule>
    <cfRule type="cellIs" dxfId="4476" priority="1755" operator="greaterThan">
      <formula>1</formula>
    </cfRule>
    <cfRule type="cellIs" dxfId="4475" priority="1756" operator="between">
      <formula>0.95</formula>
      <formula>1</formula>
    </cfRule>
    <cfRule type="cellIs" dxfId="4474" priority="1757" stopIfTrue="1" operator="between">
      <formula>0</formula>
      <formula>0.5</formula>
    </cfRule>
  </conditionalFormatting>
  <conditionalFormatting sqref="AC151">
    <cfRule type="cellIs" dxfId="4473" priority="1748" operator="between">
      <formula>0.56251</formula>
      <formula>0.7125</formula>
    </cfRule>
    <cfRule type="cellIs" dxfId="4472" priority="1749" operator="between">
      <formula>0.3751</formula>
      <formula>0.5625</formula>
    </cfRule>
    <cfRule type="cellIs" dxfId="4471" priority="1750" operator="greaterThan">
      <formula>0.751</formula>
    </cfRule>
    <cfRule type="cellIs" dxfId="4470" priority="1751" operator="between">
      <formula>0.71251</formula>
      <formula>0.75</formula>
    </cfRule>
    <cfRule type="cellIs" dxfId="4469" priority="1752" stopIfTrue="1" operator="between">
      <formula>0</formula>
      <formula>0.375</formula>
    </cfRule>
  </conditionalFormatting>
  <conditionalFormatting sqref="R152 Y152 AF152:AI152">
    <cfRule type="cellIs" dxfId="4468" priority="1743" operator="between">
      <formula>0.76</formula>
      <formula>0.95</formula>
    </cfRule>
    <cfRule type="cellIs" dxfId="4467" priority="1744" operator="between">
      <formula>0.51</formula>
      <formula>0.75</formula>
    </cfRule>
    <cfRule type="cellIs" dxfId="4466" priority="1745" operator="greaterThan">
      <formula>1</formula>
    </cfRule>
    <cfRule type="cellIs" dxfId="4465" priority="1746" operator="between">
      <formula>0.95</formula>
      <formula>1</formula>
    </cfRule>
    <cfRule type="cellIs" dxfId="4464" priority="1747" stopIfTrue="1" operator="between">
      <formula>0</formula>
      <formula>0.5</formula>
    </cfRule>
  </conditionalFormatting>
  <conditionalFormatting sqref="T152">
    <cfRule type="cellIs" dxfId="4463" priority="1738" operator="between">
      <formula>0.3751</formula>
      <formula>0.475</formula>
    </cfRule>
    <cfRule type="cellIs" dxfId="4462" priority="1739" operator="between">
      <formula>0.2551</formula>
      <formula>0.375</formula>
    </cfRule>
    <cfRule type="cellIs" dxfId="4461" priority="1740" operator="greaterThan">
      <formula>0.505</formula>
    </cfRule>
    <cfRule type="cellIs" dxfId="4460" priority="1741" operator="between">
      <formula>0.48</formula>
      <formula>0.5</formula>
    </cfRule>
    <cfRule type="cellIs" dxfId="4459" priority="1742" stopIfTrue="1" operator="between">
      <formula>0</formula>
      <formula>0.255</formula>
    </cfRule>
  </conditionalFormatting>
  <conditionalFormatting sqref="AA152:AB152">
    <cfRule type="cellIs" dxfId="4458" priority="1733" operator="between">
      <formula>0.56251</formula>
      <formula>0.7125</formula>
    </cfRule>
    <cfRule type="cellIs" dxfId="4457" priority="1734" operator="between">
      <formula>0.3751</formula>
      <formula>0.5625</formula>
    </cfRule>
    <cfRule type="cellIs" dxfId="4456" priority="1735" operator="greaterThan">
      <formula>0.751</formula>
    </cfRule>
    <cfRule type="cellIs" dxfId="4455" priority="1736" operator="between">
      <formula>0.71251</formula>
      <formula>0.75</formula>
    </cfRule>
    <cfRule type="cellIs" dxfId="4454" priority="1737" stopIfTrue="1" operator="between">
      <formula>0</formula>
      <formula>0.375</formula>
    </cfRule>
  </conditionalFormatting>
  <conditionalFormatting sqref="U152">
    <cfRule type="cellIs" dxfId="4453" priority="1723" operator="between">
      <formula>0.376</formula>
      <formula>0.475</formula>
    </cfRule>
    <cfRule type="cellIs" dxfId="4452" priority="1724" operator="between">
      <formula>0.2551</formula>
      <formula>0.3751</formula>
    </cfRule>
    <cfRule type="cellIs" dxfId="4451" priority="1725" operator="greaterThan">
      <formula>0.505</formula>
    </cfRule>
    <cfRule type="cellIs" dxfId="4450" priority="1726" operator="between">
      <formula>0.48</formula>
      <formula>0.5</formula>
    </cfRule>
    <cfRule type="cellIs" dxfId="4449" priority="1727" stopIfTrue="1" operator="between">
      <formula>0</formula>
      <formula>0.255</formula>
    </cfRule>
  </conditionalFormatting>
  <conditionalFormatting sqref="S152">
    <cfRule type="cellIs" dxfId="4448" priority="1688" operator="between">
      <formula>0.76</formula>
      <formula>0.95</formula>
    </cfRule>
    <cfRule type="cellIs" dxfId="4447" priority="1689" operator="between">
      <formula>0.51</formula>
      <formula>0.75</formula>
    </cfRule>
    <cfRule type="cellIs" dxfId="4446" priority="1690" operator="greaterThan">
      <formula>1</formula>
    </cfRule>
    <cfRule type="cellIs" dxfId="4445" priority="1691" operator="between">
      <formula>0.95</formula>
      <formula>1</formula>
    </cfRule>
    <cfRule type="cellIs" dxfId="4444" priority="1692" stopIfTrue="1" operator="between">
      <formula>0</formula>
      <formula>0.5</formula>
    </cfRule>
  </conditionalFormatting>
  <conditionalFormatting sqref="V152">
    <cfRule type="cellIs" dxfId="4443" priority="1683" operator="between">
      <formula>0.376</formula>
      <formula>0.475</formula>
    </cfRule>
    <cfRule type="cellIs" dxfId="4442" priority="1684" operator="between">
      <formula>0.2551</formula>
      <formula>0.3751</formula>
    </cfRule>
    <cfRule type="cellIs" dxfId="4441" priority="1685" operator="greaterThan">
      <formula>0.505</formula>
    </cfRule>
    <cfRule type="cellIs" dxfId="4440" priority="1686" operator="between">
      <formula>0.48</formula>
      <formula>0.5</formula>
    </cfRule>
    <cfRule type="cellIs" dxfId="4439" priority="1687" stopIfTrue="1" operator="between">
      <formula>0</formula>
      <formula>0.255</formula>
    </cfRule>
  </conditionalFormatting>
  <conditionalFormatting sqref="Z152">
    <cfRule type="cellIs" dxfId="4438" priority="1678" operator="between">
      <formula>0.76</formula>
      <formula>0.95</formula>
    </cfRule>
    <cfRule type="cellIs" dxfId="4437" priority="1679" operator="between">
      <formula>0.51</formula>
      <formula>0.75</formula>
    </cfRule>
    <cfRule type="cellIs" dxfId="4436" priority="1680" operator="greaterThan">
      <formula>1</formula>
    </cfRule>
    <cfRule type="cellIs" dxfId="4435" priority="1681" operator="between">
      <formula>0.95</formula>
      <formula>1</formula>
    </cfRule>
    <cfRule type="cellIs" dxfId="4434" priority="1682" stopIfTrue="1" operator="between">
      <formula>0</formula>
      <formula>0.5</formula>
    </cfRule>
  </conditionalFormatting>
  <conditionalFormatting sqref="AC152">
    <cfRule type="cellIs" dxfId="4433" priority="1673" operator="between">
      <formula>0.56251</formula>
      <formula>0.7125</formula>
    </cfRule>
    <cfRule type="cellIs" dxfId="4432" priority="1674" operator="between">
      <formula>0.3751</formula>
      <formula>0.5625</formula>
    </cfRule>
    <cfRule type="cellIs" dxfId="4431" priority="1675" operator="greaterThan">
      <formula>0.751</formula>
    </cfRule>
    <cfRule type="cellIs" dxfId="4430" priority="1676" operator="between">
      <formula>0.71251</formula>
      <formula>0.75</formula>
    </cfRule>
    <cfRule type="cellIs" dxfId="4429" priority="1677" stopIfTrue="1" operator="between">
      <formula>0</formula>
      <formula>0.375</formula>
    </cfRule>
  </conditionalFormatting>
  <conditionalFormatting sqref="AF205:AI205 R205:S205 Y205:Z205">
    <cfRule type="cellIs" dxfId="4428" priority="1668" operator="between">
      <formula>0.76</formula>
      <formula>0.95</formula>
    </cfRule>
    <cfRule type="cellIs" dxfId="4427" priority="1669" operator="between">
      <formula>0.51</formula>
      <formula>0.75</formula>
    </cfRule>
    <cfRule type="cellIs" dxfId="4426" priority="1670" operator="greaterThan">
      <formula>1</formula>
    </cfRule>
    <cfRule type="cellIs" dxfId="4425" priority="1671" operator="between">
      <formula>0.95</formula>
      <formula>1</formula>
    </cfRule>
    <cfRule type="cellIs" dxfId="4424" priority="1672" stopIfTrue="1" operator="between">
      <formula>0</formula>
      <formula>0.5</formula>
    </cfRule>
  </conditionalFormatting>
  <conditionalFormatting sqref="T205">
    <cfRule type="cellIs" dxfId="4423" priority="1663" operator="between">
      <formula>0.3751</formula>
      <formula>0.475</formula>
    </cfRule>
    <cfRule type="cellIs" dxfId="4422" priority="1664" operator="between">
      <formula>0.2551</formula>
      <formula>0.375</formula>
    </cfRule>
    <cfRule type="cellIs" dxfId="4421" priority="1665" operator="greaterThan">
      <formula>0.505</formula>
    </cfRule>
    <cfRule type="cellIs" dxfId="4420" priority="1666" operator="between">
      <formula>0.48</formula>
      <formula>0.5</formula>
    </cfRule>
    <cfRule type="cellIs" dxfId="4419" priority="1667" stopIfTrue="1" operator="between">
      <formula>0</formula>
      <formula>0.255</formula>
    </cfRule>
  </conditionalFormatting>
  <conditionalFormatting sqref="AA205:AC205">
    <cfRule type="cellIs" dxfId="4418" priority="1658" operator="between">
      <formula>0.56251</formula>
      <formula>0.7125</formula>
    </cfRule>
    <cfRule type="cellIs" dxfId="4417" priority="1659" operator="between">
      <formula>0.3751</formula>
      <formula>0.5625</formula>
    </cfRule>
    <cfRule type="cellIs" dxfId="4416" priority="1660" operator="greaterThan">
      <formula>0.751</formula>
    </cfRule>
    <cfRule type="cellIs" dxfId="4415" priority="1661" operator="between">
      <formula>0.71251</formula>
      <formula>0.75</formula>
    </cfRule>
    <cfRule type="cellIs" dxfId="4414" priority="1662" stopIfTrue="1" operator="between">
      <formula>0</formula>
      <formula>0.375</formula>
    </cfRule>
  </conditionalFormatting>
  <conditionalFormatting sqref="U205:V205">
    <cfRule type="cellIs" dxfId="4413" priority="1648" operator="between">
      <formula>0.376</formula>
      <formula>0.475</formula>
    </cfRule>
    <cfRule type="cellIs" dxfId="4412" priority="1649" operator="between">
      <formula>0.2551</formula>
      <formula>0.3751</formula>
    </cfRule>
    <cfRule type="cellIs" dxfId="4411" priority="1650" operator="greaterThan">
      <formula>0.505</formula>
    </cfRule>
    <cfRule type="cellIs" dxfId="4410" priority="1651" operator="between">
      <formula>0.48</formula>
      <formula>0.5</formula>
    </cfRule>
    <cfRule type="cellIs" dxfId="4409" priority="1652" stopIfTrue="1" operator="between">
      <formula>0</formula>
      <formula>0.255</formula>
    </cfRule>
  </conditionalFormatting>
  <conditionalFormatting sqref="R217:S218 Y217:Z218 AF217:AI218">
    <cfRule type="cellIs" dxfId="4408" priority="1172" operator="between">
      <formula>0.76</formula>
      <formula>0.95</formula>
    </cfRule>
    <cfRule type="cellIs" dxfId="4407" priority="1173" operator="between">
      <formula>0.51</formula>
      <formula>0.75</formula>
    </cfRule>
    <cfRule type="cellIs" dxfId="4406" priority="1174" operator="greaterThan">
      <formula>1</formula>
    </cfRule>
    <cfRule type="cellIs" dxfId="4405" priority="1175" operator="between">
      <formula>0.95</formula>
      <formula>1</formula>
    </cfRule>
    <cfRule type="cellIs" dxfId="4404" priority="1176" stopIfTrue="1" operator="between">
      <formula>0</formula>
      <formula>0.5</formula>
    </cfRule>
  </conditionalFormatting>
  <conditionalFormatting sqref="T217:T218">
    <cfRule type="cellIs" dxfId="4403" priority="1167" operator="between">
      <formula>0.3751</formula>
      <formula>0.475</formula>
    </cfRule>
    <cfRule type="cellIs" dxfId="4402" priority="1168" operator="between">
      <formula>0.2551</formula>
      <formula>0.375</formula>
    </cfRule>
    <cfRule type="cellIs" dxfId="4401" priority="1169" operator="greaterThan">
      <formula>0.505</formula>
    </cfRule>
    <cfRule type="cellIs" dxfId="4400" priority="1170" operator="between">
      <formula>0.48</formula>
      <formula>0.5</formula>
    </cfRule>
    <cfRule type="cellIs" dxfId="4399" priority="1171" stopIfTrue="1" operator="between">
      <formula>0</formula>
      <formula>0.255</formula>
    </cfRule>
  </conditionalFormatting>
  <conditionalFormatting sqref="AA217:AC218">
    <cfRule type="cellIs" dxfId="4398" priority="1162" operator="between">
      <formula>0.56251</formula>
      <formula>0.7125</formula>
    </cfRule>
    <cfRule type="cellIs" dxfId="4397" priority="1163" operator="between">
      <formula>0.3751</formula>
      <formula>0.5625</formula>
    </cfRule>
    <cfRule type="cellIs" dxfId="4396" priority="1164" operator="greaterThan">
      <formula>0.751</formula>
    </cfRule>
    <cfRule type="cellIs" dxfId="4395" priority="1165" operator="between">
      <formula>0.71251</formula>
      <formula>0.75</formula>
    </cfRule>
    <cfRule type="cellIs" dxfId="4394" priority="1166" stopIfTrue="1" operator="between">
      <formula>0</formula>
      <formula>0.375</formula>
    </cfRule>
  </conditionalFormatting>
  <conditionalFormatting sqref="R207:S207 Y207:Z207 AF207:AI207">
    <cfRule type="cellIs" dxfId="4393" priority="1529" operator="between">
      <formula>0.76</formula>
      <formula>0.95</formula>
    </cfRule>
    <cfRule type="cellIs" dxfId="4392" priority="1530" operator="between">
      <formula>0.51</formula>
      <formula>0.75</formula>
    </cfRule>
    <cfRule type="cellIs" dxfId="4391" priority="1531" operator="greaterThan">
      <formula>1</formula>
    </cfRule>
    <cfRule type="cellIs" dxfId="4390" priority="1532" operator="between">
      <formula>0.95</formula>
      <formula>1</formula>
    </cfRule>
    <cfRule type="cellIs" dxfId="4389" priority="1533" stopIfTrue="1" operator="between">
      <formula>0</formula>
      <formula>0.5</formula>
    </cfRule>
  </conditionalFormatting>
  <conditionalFormatting sqref="T207">
    <cfRule type="cellIs" dxfId="4388" priority="1524" operator="between">
      <formula>0.3751</formula>
      <formula>0.475</formula>
    </cfRule>
    <cfRule type="cellIs" dxfId="4387" priority="1525" operator="between">
      <formula>0.2551</formula>
      <formula>0.375</formula>
    </cfRule>
    <cfRule type="cellIs" dxfId="4386" priority="1526" operator="greaterThan">
      <formula>0.505</formula>
    </cfRule>
    <cfRule type="cellIs" dxfId="4385" priority="1527" operator="between">
      <formula>0.48</formula>
      <formula>0.5</formula>
    </cfRule>
    <cfRule type="cellIs" dxfId="4384" priority="1528" stopIfTrue="1" operator="between">
      <formula>0</formula>
      <formula>0.255</formula>
    </cfRule>
  </conditionalFormatting>
  <conditionalFormatting sqref="AA207:AC207">
    <cfRule type="cellIs" dxfId="4383" priority="1519" operator="between">
      <formula>0.56251</formula>
      <formula>0.7125</formula>
    </cfRule>
    <cfRule type="cellIs" dxfId="4382" priority="1520" operator="between">
      <formula>0.3751</formula>
      <formula>0.5625</formula>
    </cfRule>
    <cfRule type="cellIs" dxfId="4381" priority="1521" operator="greaterThan">
      <formula>0.751</formula>
    </cfRule>
    <cfRule type="cellIs" dxfId="4380" priority="1522" operator="between">
      <formula>0.71251</formula>
      <formula>0.75</formula>
    </cfRule>
    <cfRule type="cellIs" dxfId="4379" priority="1523" stopIfTrue="1" operator="between">
      <formula>0</formula>
      <formula>0.375</formula>
    </cfRule>
  </conditionalFormatting>
  <conditionalFormatting sqref="U207:V207">
    <cfRule type="cellIs" dxfId="4378" priority="1509" operator="between">
      <formula>0.376</formula>
      <formula>0.475</formula>
    </cfRule>
    <cfRule type="cellIs" dxfId="4377" priority="1510" operator="between">
      <formula>0.2551</formula>
      <formula>0.3751</formula>
    </cfRule>
    <cfRule type="cellIs" dxfId="4376" priority="1511" operator="greaterThan">
      <formula>0.505</formula>
    </cfRule>
    <cfRule type="cellIs" dxfId="4375" priority="1512" operator="between">
      <formula>0.48</formula>
      <formula>0.5</formula>
    </cfRule>
    <cfRule type="cellIs" dxfId="4374" priority="1513" stopIfTrue="1" operator="between">
      <formula>0</formula>
      <formula>0.255</formula>
    </cfRule>
  </conditionalFormatting>
  <conditionalFormatting sqref="AG207">
    <cfRule type="cellIs" dxfId="4373" priority="1504" operator="between">
      <formula>0.76</formula>
      <formula>0.95</formula>
    </cfRule>
    <cfRule type="cellIs" dxfId="4372" priority="1505" operator="between">
      <formula>0.51</formula>
      <formula>0.75</formula>
    </cfRule>
    <cfRule type="cellIs" dxfId="4371" priority="1506" operator="greaterThan">
      <formula>1</formula>
    </cfRule>
    <cfRule type="cellIs" dxfId="4370" priority="1507" operator="between">
      <formula>0.95</formula>
      <formula>1</formula>
    </cfRule>
    <cfRule type="cellIs" dxfId="4369" priority="1508" stopIfTrue="1" operator="between">
      <formula>0</formula>
      <formula>0.5</formula>
    </cfRule>
  </conditionalFormatting>
  <conditionalFormatting sqref="R208:S208 Y208:Z208 AF208:AI208">
    <cfRule type="cellIs" dxfId="4368" priority="1472" operator="between">
      <formula>0.76</formula>
      <formula>0.95</formula>
    </cfRule>
    <cfRule type="cellIs" dxfId="4367" priority="1473" operator="between">
      <formula>0.51</formula>
      <formula>0.75</formula>
    </cfRule>
    <cfRule type="cellIs" dxfId="4366" priority="1474" operator="greaterThan">
      <formula>1</formula>
    </cfRule>
    <cfRule type="cellIs" dxfId="4365" priority="1475" operator="between">
      <formula>0.95</formula>
      <formula>1</formula>
    </cfRule>
    <cfRule type="cellIs" dxfId="4364" priority="1476" stopIfTrue="1" operator="between">
      <formula>0</formula>
      <formula>0.5</formula>
    </cfRule>
  </conditionalFormatting>
  <conditionalFormatting sqref="T208">
    <cfRule type="cellIs" dxfId="4363" priority="1467" operator="between">
      <formula>0.3751</formula>
      <formula>0.475</formula>
    </cfRule>
    <cfRule type="cellIs" dxfId="4362" priority="1468" operator="between">
      <formula>0.2551</formula>
      <formula>0.375</formula>
    </cfRule>
    <cfRule type="cellIs" dxfId="4361" priority="1469" operator="greaterThan">
      <formula>0.505</formula>
    </cfRule>
    <cfRule type="cellIs" dxfId="4360" priority="1470" operator="between">
      <formula>0.48</formula>
      <formula>0.5</formula>
    </cfRule>
    <cfRule type="cellIs" dxfId="4359" priority="1471" stopIfTrue="1" operator="between">
      <formula>0</formula>
      <formula>0.255</formula>
    </cfRule>
  </conditionalFormatting>
  <conditionalFormatting sqref="AA208:AC208">
    <cfRule type="cellIs" dxfId="4358" priority="1462" operator="between">
      <formula>0.56251</formula>
      <formula>0.7125</formula>
    </cfRule>
    <cfRule type="cellIs" dxfId="4357" priority="1463" operator="between">
      <formula>0.3751</formula>
      <formula>0.5625</formula>
    </cfRule>
    <cfRule type="cellIs" dxfId="4356" priority="1464" operator="greaterThan">
      <formula>0.751</formula>
    </cfRule>
    <cfRule type="cellIs" dxfId="4355" priority="1465" operator="between">
      <formula>0.71251</formula>
      <formula>0.75</formula>
    </cfRule>
    <cfRule type="cellIs" dxfId="4354" priority="1466" stopIfTrue="1" operator="between">
      <formula>0</formula>
      <formula>0.375</formula>
    </cfRule>
  </conditionalFormatting>
  <conditionalFormatting sqref="U208:V208">
    <cfRule type="cellIs" dxfId="4353" priority="1452" operator="between">
      <formula>0.376</formula>
      <formula>0.475</formula>
    </cfRule>
    <cfRule type="cellIs" dxfId="4352" priority="1453" operator="between">
      <formula>0.2551</formula>
      <formula>0.3751</formula>
    </cfRule>
    <cfRule type="cellIs" dxfId="4351" priority="1454" operator="greaterThan">
      <formula>0.505</formula>
    </cfRule>
    <cfRule type="cellIs" dxfId="4350" priority="1455" operator="between">
      <formula>0.48</formula>
      <formula>0.5</formula>
    </cfRule>
    <cfRule type="cellIs" dxfId="4349" priority="1456" stopIfTrue="1" operator="between">
      <formula>0</formula>
      <formula>0.255</formula>
    </cfRule>
  </conditionalFormatting>
  <conditionalFormatting sqref="AG208">
    <cfRule type="cellIs" dxfId="4348" priority="1447" operator="between">
      <formula>0.76</formula>
      <formula>0.95</formula>
    </cfRule>
    <cfRule type="cellIs" dxfId="4347" priority="1448" operator="between">
      <formula>0.51</formula>
      <formula>0.75</formula>
    </cfRule>
    <cfRule type="cellIs" dxfId="4346" priority="1449" operator="greaterThan">
      <formula>1</formula>
    </cfRule>
    <cfRule type="cellIs" dxfId="4345" priority="1450" operator="between">
      <formula>0.95</formula>
      <formula>1</formula>
    </cfRule>
    <cfRule type="cellIs" dxfId="4344" priority="1451" stopIfTrue="1" operator="between">
      <formula>0</formula>
      <formula>0.5</formula>
    </cfRule>
  </conditionalFormatting>
  <conditionalFormatting sqref="R211:S212 Y211:Z212 AF211:AI212 R214:S214 Y214:Z214 AF214:AI214">
    <cfRule type="cellIs" dxfId="4343" priority="1286" operator="between">
      <formula>0.76</formula>
      <formula>0.95</formula>
    </cfRule>
    <cfRule type="cellIs" dxfId="4342" priority="1287" operator="between">
      <formula>0.51</formula>
      <formula>0.75</formula>
    </cfRule>
    <cfRule type="cellIs" dxfId="4341" priority="1288" operator="greaterThan">
      <formula>1</formula>
    </cfRule>
    <cfRule type="cellIs" dxfId="4340" priority="1289" operator="between">
      <formula>0.95</formula>
      <formula>1</formula>
    </cfRule>
    <cfRule type="cellIs" dxfId="4339" priority="1290" stopIfTrue="1" operator="between">
      <formula>0</formula>
      <formula>0.5</formula>
    </cfRule>
  </conditionalFormatting>
  <conditionalFormatting sqref="T211:T212 T214">
    <cfRule type="cellIs" dxfId="4338" priority="1281" operator="between">
      <formula>0.3751</formula>
      <formula>0.475</formula>
    </cfRule>
    <cfRule type="cellIs" dxfId="4337" priority="1282" operator="between">
      <formula>0.2551</formula>
      <formula>0.375</formula>
    </cfRule>
    <cfRule type="cellIs" dxfId="4336" priority="1283" operator="greaterThan">
      <formula>0.505</formula>
    </cfRule>
    <cfRule type="cellIs" dxfId="4335" priority="1284" operator="between">
      <formula>0.48</formula>
      <formula>0.5</formula>
    </cfRule>
    <cfRule type="cellIs" dxfId="4334" priority="1285" stopIfTrue="1" operator="between">
      <formula>0</formula>
      <formula>0.255</formula>
    </cfRule>
  </conditionalFormatting>
  <conditionalFormatting sqref="AA211:AC212 AA214:AC214">
    <cfRule type="cellIs" dxfId="4333" priority="1276" operator="between">
      <formula>0.56251</formula>
      <formula>0.7125</formula>
    </cfRule>
    <cfRule type="cellIs" dxfId="4332" priority="1277" operator="between">
      <formula>0.3751</formula>
      <formula>0.5625</formula>
    </cfRule>
    <cfRule type="cellIs" dxfId="4331" priority="1278" operator="greaterThan">
      <formula>0.751</formula>
    </cfRule>
    <cfRule type="cellIs" dxfId="4330" priority="1279" operator="between">
      <formula>0.71251</formula>
      <formula>0.75</formula>
    </cfRule>
    <cfRule type="cellIs" dxfId="4329" priority="1280" stopIfTrue="1" operator="between">
      <formula>0</formula>
      <formula>0.375</formula>
    </cfRule>
  </conditionalFormatting>
  <conditionalFormatting sqref="U211:V212 U214:V214">
    <cfRule type="cellIs" dxfId="4328" priority="1266" operator="between">
      <formula>0.376</formula>
      <formula>0.475</formula>
    </cfRule>
    <cfRule type="cellIs" dxfId="4327" priority="1267" operator="between">
      <formula>0.2551</formula>
      <formula>0.3751</formula>
    </cfRule>
    <cfRule type="cellIs" dxfId="4326" priority="1268" operator="greaterThan">
      <formula>0.505</formula>
    </cfRule>
    <cfRule type="cellIs" dxfId="4325" priority="1269" operator="between">
      <formula>0.48</formula>
      <formula>0.5</formula>
    </cfRule>
    <cfRule type="cellIs" dxfId="4324" priority="1270" stopIfTrue="1" operator="between">
      <formula>0</formula>
      <formula>0.255</formula>
    </cfRule>
  </conditionalFormatting>
  <conditionalFormatting sqref="AG211:AG212 AG214">
    <cfRule type="cellIs" dxfId="4323" priority="1261" operator="between">
      <formula>0.76</formula>
      <formula>0.95</formula>
    </cfRule>
    <cfRule type="cellIs" dxfId="4322" priority="1262" operator="between">
      <formula>0.51</formula>
      <formula>0.75</formula>
    </cfRule>
    <cfRule type="cellIs" dxfId="4321" priority="1263" operator="greaterThan">
      <formula>1</formula>
    </cfRule>
    <cfRule type="cellIs" dxfId="4320" priority="1264" operator="between">
      <formula>0.95</formula>
      <formula>1</formula>
    </cfRule>
    <cfRule type="cellIs" dxfId="4319" priority="1265" stopIfTrue="1" operator="between">
      <formula>0</formula>
      <formula>0.5</formula>
    </cfRule>
  </conditionalFormatting>
  <conditionalFormatting sqref="R215:S216 Y215:Z216 AF215:AI216">
    <cfRule type="cellIs" dxfId="4318" priority="1229" operator="between">
      <formula>0.76</formula>
      <formula>0.95</formula>
    </cfRule>
    <cfRule type="cellIs" dxfId="4317" priority="1230" operator="between">
      <formula>0.51</formula>
      <formula>0.75</formula>
    </cfRule>
    <cfRule type="cellIs" dxfId="4316" priority="1231" operator="greaterThan">
      <formula>1</formula>
    </cfRule>
    <cfRule type="cellIs" dxfId="4315" priority="1232" operator="between">
      <formula>0.95</formula>
      <formula>1</formula>
    </cfRule>
    <cfRule type="cellIs" dxfId="4314" priority="1233" stopIfTrue="1" operator="between">
      <formula>0</formula>
      <formula>0.5</formula>
    </cfRule>
  </conditionalFormatting>
  <conditionalFormatting sqref="T215:T216">
    <cfRule type="cellIs" dxfId="4313" priority="1224" operator="between">
      <formula>0.3751</formula>
      <formula>0.475</formula>
    </cfRule>
    <cfRule type="cellIs" dxfId="4312" priority="1225" operator="between">
      <formula>0.2551</formula>
      <formula>0.375</formula>
    </cfRule>
    <cfRule type="cellIs" dxfId="4311" priority="1226" operator="greaterThan">
      <formula>0.505</formula>
    </cfRule>
    <cfRule type="cellIs" dxfId="4310" priority="1227" operator="between">
      <formula>0.48</formula>
      <formula>0.5</formula>
    </cfRule>
    <cfRule type="cellIs" dxfId="4309" priority="1228" stopIfTrue="1" operator="between">
      <formula>0</formula>
      <formula>0.255</formula>
    </cfRule>
  </conditionalFormatting>
  <conditionalFormatting sqref="AA215:AC216">
    <cfRule type="cellIs" dxfId="4308" priority="1219" operator="between">
      <formula>0.56251</formula>
      <formula>0.7125</formula>
    </cfRule>
    <cfRule type="cellIs" dxfId="4307" priority="1220" operator="between">
      <formula>0.3751</formula>
      <formula>0.5625</formula>
    </cfRule>
    <cfRule type="cellIs" dxfId="4306" priority="1221" operator="greaterThan">
      <formula>0.751</formula>
    </cfRule>
    <cfRule type="cellIs" dxfId="4305" priority="1222" operator="between">
      <formula>0.71251</formula>
      <formula>0.75</formula>
    </cfRule>
    <cfRule type="cellIs" dxfId="4304" priority="1223" stopIfTrue="1" operator="between">
      <formula>0</formula>
      <formula>0.375</formula>
    </cfRule>
  </conditionalFormatting>
  <conditionalFormatting sqref="U215:V216">
    <cfRule type="cellIs" dxfId="4303" priority="1209" operator="between">
      <formula>0.376</formula>
      <formula>0.475</formula>
    </cfRule>
    <cfRule type="cellIs" dxfId="4302" priority="1210" operator="between">
      <formula>0.2551</formula>
      <formula>0.3751</formula>
    </cfRule>
    <cfRule type="cellIs" dxfId="4301" priority="1211" operator="greaterThan">
      <formula>0.505</formula>
    </cfRule>
    <cfRule type="cellIs" dxfId="4300" priority="1212" operator="between">
      <formula>0.48</formula>
      <formula>0.5</formula>
    </cfRule>
    <cfRule type="cellIs" dxfId="4299" priority="1213" stopIfTrue="1" operator="between">
      <formula>0</formula>
      <formula>0.255</formula>
    </cfRule>
  </conditionalFormatting>
  <conditionalFormatting sqref="AG215:AG216">
    <cfRule type="cellIs" dxfId="4298" priority="1204" operator="between">
      <formula>0.76</formula>
      <formula>0.95</formula>
    </cfRule>
    <cfRule type="cellIs" dxfId="4297" priority="1205" operator="between">
      <formula>0.51</formula>
      <formula>0.75</formula>
    </cfRule>
    <cfRule type="cellIs" dxfId="4296" priority="1206" operator="greaterThan">
      <formula>1</formula>
    </cfRule>
    <cfRule type="cellIs" dxfId="4295" priority="1207" operator="between">
      <formula>0.95</formula>
      <formula>1</formula>
    </cfRule>
    <cfRule type="cellIs" dxfId="4294" priority="1208" stopIfTrue="1" operator="between">
      <formula>0</formula>
      <formula>0.5</formula>
    </cfRule>
  </conditionalFormatting>
  <conditionalFormatting sqref="U217:V218">
    <cfRule type="cellIs" dxfId="4293" priority="1152" operator="between">
      <formula>0.376</formula>
      <formula>0.475</formula>
    </cfRule>
    <cfRule type="cellIs" dxfId="4292" priority="1153" operator="between">
      <formula>0.2551</formula>
      <formula>0.3751</formula>
    </cfRule>
    <cfRule type="cellIs" dxfId="4291" priority="1154" operator="greaterThan">
      <formula>0.505</formula>
    </cfRule>
    <cfRule type="cellIs" dxfId="4290" priority="1155" operator="between">
      <formula>0.48</formula>
      <formula>0.5</formula>
    </cfRule>
    <cfRule type="cellIs" dxfId="4289" priority="1156" stopIfTrue="1" operator="between">
      <formula>0</formula>
      <formula>0.255</formula>
    </cfRule>
  </conditionalFormatting>
  <conditionalFormatting sqref="AG217:AG218">
    <cfRule type="cellIs" dxfId="4288" priority="1147" operator="between">
      <formula>0.76</formula>
      <formula>0.95</formula>
    </cfRule>
    <cfRule type="cellIs" dxfId="4287" priority="1148" operator="between">
      <formula>0.51</formula>
      <formula>0.75</formula>
    </cfRule>
    <cfRule type="cellIs" dxfId="4286" priority="1149" operator="greaterThan">
      <formula>1</formula>
    </cfRule>
    <cfRule type="cellIs" dxfId="4285" priority="1150" operator="between">
      <formula>0.95</formula>
      <formula>1</formula>
    </cfRule>
    <cfRule type="cellIs" dxfId="4284" priority="1151" stopIfTrue="1" operator="between">
      <formula>0</formula>
      <formula>0.5</formula>
    </cfRule>
  </conditionalFormatting>
  <conditionalFormatting sqref="M183:M190">
    <cfRule type="cellIs" dxfId="4283" priority="1105" operator="between">
      <formula>0.1876</formula>
      <formula>0.2375</formula>
    </cfRule>
    <cfRule type="cellIs" dxfId="4282" priority="1106" operator="between">
      <formula>0.1251</formula>
      <formula>0.1875</formula>
    </cfRule>
    <cfRule type="cellIs" dxfId="4281" priority="1107" operator="greaterThan">
      <formula>0.25</formula>
    </cfRule>
    <cfRule type="cellIs" dxfId="4280" priority="1108" operator="between">
      <formula>0.2376</formula>
      <formula>0.25</formula>
    </cfRule>
    <cfRule type="cellIs" dxfId="4279" priority="1109" stopIfTrue="1" operator="between">
      <formula>0</formula>
      <formula>0.125</formula>
    </cfRule>
  </conditionalFormatting>
  <conditionalFormatting sqref="N183:N190">
    <cfRule type="cellIs" dxfId="4278" priority="1100" operator="between">
      <formula>0.1876</formula>
      <formula>0.2375</formula>
    </cfRule>
    <cfRule type="cellIs" dxfId="4277" priority="1101" operator="between">
      <formula>0.1251</formula>
      <formula>0.1875</formula>
    </cfRule>
    <cfRule type="cellIs" dxfId="4276" priority="1102" operator="greaterThan">
      <formula>0.25</formula>
    </cfRule>
    <cfRule type="cellIs" dxfId="4275" priority="1103" operator="between">
      <formula>0.2376</formula>
      <formula>0.25</formula>
    </cfRule>
    <cfRule type="cellIs" dxfId="4274" priority="1104" stopIfTrue="1" operator="between">
      <formula>0</formula>
      <formula>0.125</formula>
    </cfRule>
  </conditionalFormatting>
  <conditionalFormatting sqref="O183:O190">
    <cfRule type="cellIs" dxfId="4273" priority="1095" operator="between">
      <formula>0.1876</formula>
      <formula>0.2375</formula>
    </cfRule>
    <cfRule type="cellIs" dxfId="4272" priority="1096" operator="between">
      <formula>0.1251</formula>
      <formula>0.1875</formula>
    </cfRule>
    <cfRule type="cellIs" dxfId="4271" priority="1097" operator="greaterThan">
      <formula>0.25</formula>
    </cfRule>
    <cfRule type="cellIs" dxfId="4270" priority="1098" operator="between">
      <formula>0.2375</formula>
      <formula>0.25</formula>
    </cfRule>
    <cfRule type="cellIs" dxfId="4269" priority="1099" stopIfTrue="1" operator="between">
      <formula>0</formula>
      <formula>0.125</formula>
    </cfRule>
  </conditionalFormatting>
  <conditionalFormatting sqref="N191">
    <cfRule type="cellIs" dxfId="4268" priority="1090" operator="between">
      <formula>0.1876</formula>
      <formula>0.2375</formula>
    </cfRule>
    <cfRule type="cellIs" dxfId="4267" priority="1091" operator="between">
      <formula>0.1251</formula>
      <formula>0.1875</formula>
    </cfRule>
    <cfRule type="cellIs" dxfId="4266" priority="1092" operator="greaterThan">
      <formula>0.25</formula>
    </cfRule>
    <cfRule type="cellIs" dxfId="4265" priority="1093" operator="between">
      <formula>0.2376</formula>
      <formula>0.25</formula>
    </cfRule>
    <cfRule type="cellIs" dxfId="4264" priority="1094" stopIfTrue="1" operator="between">
      <formula>0</formula>
      <formula>0.125</formula>
    </cfRule>
  </conditionalFormatting>
  <conditionalFormatting sqref="AG28 AI28 Z28">
    <cfRule type="cellIs" dxfId="4263" priority="1085" operator="between">
      <formula>0.76</formula>
      <formula>0.95</formula>
    </cfRule>
    <cfRule type="cellIs" dxfId="4262" priority="1086" operator="between">
      <formula>0.51</formula>
      <formula>0.75</formula>
    </cfRule>
    <cfRule type="cellIs" dxfId="4261" priority="1087" operator="greaterThan">
      <formula>1</formula>
    </cfRule>
    <cfRule type="cellIs" dxfId="4260" priority="1088" operator="between">
      <formula>0.95</formula>
      <formula>1</formula>
    </cfRule>
    <cfRule type="cellIs" dxfId="4259" priority="1089" stopIfTrue="1" operator="between">
      <formula>0</formula>
      <formula>0.5</formula>
    </cfRule>
  </conditionalFormatting>
  <conditionalFormatting sqref="R28:S28">
    <cfRule type="cellIs" dxfId="4258" priority="1080" operator="between">
      <formula>0.76</formula>
      <formula>0.95</formula>
    </cfRule>
    <cfRule type="cellIs" dxfId="4257" priority="1081" operator="between">
      <formula>0.51</formula>
      <formula>0.75</formula>
    </cfRule>
    <cfRule type="cellIs" dxfId="4256" priority="1082" operator="greaterThan">
      <formula>1</formula>
    </cfRule>
    <cfRule type="cellIs" dxfId="4255" priority="1083" operator="between">
      <formula>0.95</formula>
      <formula>1</formula>
    </cfRule>
    <cfRule type="cellIs" dxfId="4254" priority="1084" stopIfTrue="1" operator="between">
      <formula>0</formula>
      <formula>0.5</formula>
    </cfRule>
  </conditionalFormatting>
  <conditionalFormatting sqref="Y28">
    <cfRule type="cellIs" dxfId="4253" priority="1075" operator="between">
      <formula>0.76</formula>
      <formula>0.95</formula>
    </cfRule>
    <cfRule type="cellIs" dxfId="4252" priority="1076" operator="between">
      <formula>0.51</formula>
      <formula>0.75</formula>
    </cfRule>
    <cfRule type="cellIs" dxfId="4251" priority="1077" operator="greaterThan">
      <formula>1</formula>
    </cfRule>
    <cfRule type="cellIs" dxfId="4250" priority="1078" operator="between">
      <formula>0.95</formula>
      <formula>1</formula>
    </cfRule>
    <cfRule type="cellIs" dxfId="4249" priority="1079" stopIfTrue="1" operator="between">
      <formula>0</formula>
      <formula>0.5</formula>
    </cfRule>
  </conditionalFormatting>
  <conditionalFormatting sqref="AF28">
    <cfRule type="cellIs" dxfId="4248" priority="1070" operator="between">
      <formula>0.76</formula>
      <formula>0.95</formula>
    </cfRule>
    <cfRule type="cellIs" dxfId="4247" priority="1071" operator="between">
      <formula>0.51</formula>
      <formula>0.75</formula>
    </cfRule>
    <cfRule type="cellIs" dxfId="4246" priority="1072" operator="greaterThan">
      <formula>1</formula>
    </cfRule>
    <cfRule type="cellIs" dxfId="4245" priority="1073" operator="between">
      <formula>0.95</formula>
      <formula>1</formula>
    </cfRule>
    <cfRule type="cellIs" dxfId="4244" priority="1074" stopIfTrue="1" operator="between">
      <formula>0</formula>
      <formula>0.5</formula>
    </cfRule>
  </conditionalFormatting>
  <conditionalFormatting sqref="T28">
    <cfRule type="cellIs" dxfId="4243" priority="1065" operator="between">
      <formula>0.3751</formula>
      <formula>0.475</formula>
    </cfRule>
    <cfRule type="cellIs" dxfId="4242" priority="1066" operator="between">
      <formula>0.2551</formula>
      <formula>0.375</formula>
    </cfRule>
    <cfRule type="cellIs" dxfId="4241" priority="1067" operator="greaterThan">
      <formula>0.505</formula>
    </cfRule>
    <cfRule type="cellIs" dxfId="4240" priority="1068" operator="between">
      <formula>0.48</formula>
      <formula>0.5</formula>
    </cfRule>
    <cfRule type="cellIs" dxfId="4239" priority="1069" stopIfTrue="1" operator="between">
      <formula>0</formula>
      <formula>0.255</formula>
    </cfRule>
  </conditionalFormatting>
  <conditionalFormatting sqref="AA28:AC28">
    <cfRule type="cellIs" dxfId="4238" priority="1060" operator="between">
      <formula>0.56251</formula>
      <formula>0.7125</formula>
    </cfRule>
    <cfRule type="cellIs" dxfId="4237" priority="1061" operator="between">
      <formula>0.3751</formula>
      <formula>0.5625</formula>
    </cfRule>
    <cfRule type="cellIs" dxfId="4236" priority="1062" operator="greaterThan">
      <formula>0.751</formula>
    </cfRule>
    <cfRule type="cellIs" dxfId="4235" priority="1063" operator="between">
      <formula>0.71251</formula>
      <formula>0.75</formula>
    </cfRule>
    <cfRule type="cellIs" dxfId="4234" priority="1064" stopIfTrue="1" operator="between">
      <formula>0</formula>
      <formula>0.375</formula>
    </cfRule>
  </conditionalFormatting>
  <conditionalFormatting sqref="AH28">
    <cfRule type="cellIs" dxfId="4233" priority="1055" operator="between">
      <formula>0.76</formula>
      <formula>0.95</formula>
    </cfRule>
    <cfRule type="cellIs" dxfId="4232" priority="1056" operator="between">
      <formula>0.51</formula>
      <formula>0.75</formula>
    </cfRule>
    <cfRule type="cellIs" dxfId="4231" priority="1057" operator="greaterThan">
      <formula>1</formula>
    </cfRule>
    <cfRule type="cellIs" dxfId="4230" priority="1058" operator="between">
      <formula>0.95</formula>
      <formula>1</formula>
    </cfRule>
    <cfRule type="cellIs" dxfId="4229" priority="1059" stopIfTrue="1" operator="between">
      <formula>0</formula>
      <formula>0.5</formula>
    </cfRule>
  </conditionalFormatting>
  <conditionalFormatting sqref="U28:V28">
    <cfRule type="cellIs" dxfId="4228" priority="1045" operator="between">
      <formula>0.376</formula>
      <formula>0.475</formula>
    </cfRule>
    <cfRule type="cellIs" dxfId="4227" priority="1046" operator="between">
      <formula>0.2551</formula>
      <formula>0.3751</formula>
    </cfRule>
    <cfRule type="cellIs" dxfId="4226" priority="1047" operator="greaterThan">
      <formula>0.505</formula>
    </cfRule>
    <cfRule type="cellIs" dxfId="4225" priority="1048" operator="between">
      <formula>0.48</formula>
      <formula>0.5</formula>
    </cfRule>
    <cfRule type="cellIs" dxfId="4224" priority="1049" stopIfTrue="1" operator="between">
      <formula>0</formula>
      <formula>0.255</formula>
    </cfRule>
  </conditionalFormatting>
  <conditionalFormatting sqref="Y270 AF270 R270 AH270:AI270">
    <cfRule type="cellIs" dxfId="4223" priority="998" operator="between">
      <formula>0.76</formula>
      <formula>0.95</formula>
    </cfRule>
    <cfRule type="cellIs" dxfId="4222" priority="999" operator="between">
      <formula>0.51</formula>
      <formula>0.75</formula>
    </cfRule>
    <cfRule type="cellIs" dxfId="4221" priority="1000" operator="greaterThan">
      <formula>1</formula>
    </cfRule>
    <cfRule type="cellIs" dxfId="4220" priority="1001" operator="between">
      <formula>0.95</formula>
      <formula>1</formula>
    </cfRule>
    <cfRule type="cellIs" dxfId="4219" priority="1002" stopIfTrue="1" operator="between">
      <formula>0</formula>
      <formula>0.5</formula>
    </cfRule>
  </conditionalFormatting>
  <conditionalFormatting sqref="T270">
    <cfRule type="cellIs" dxfId="4218" priority="993" operator="between">
      <formula>0.3751</formula>
      <formula>0.475</formula>
    </cfRule>
    <cfRule type="cellIs" dxfId="4217" priority="994" operator="between">
      <formula>0.2551</formula>
      <formula>0.375</formula>
    </cfRule>
    <cfRule type="cellIs" dxfId="4216" priority="995" operator="greaterThan">
      <formula>0.505</formula>
    </cfRule>
    <cfRule type="cellIs" dxfId="4215" priority="996" operator="between">
      <formula>0.48</formula>
      <formula>0.5</formula>
    </cfRule>
    <cfRule type="cellIs" dxfId="4214" priority="997" stopIfTrue="1" operator="between">
      <formula>0</formula>
      <formula>0.255</formula>
    </cfRule>
  </conditionalFormatting>
  <conditionalFormatting sqref="AA270:AB270">
    <cfRule type="cellIs" dxfId="4213" priority="988" operator="between">
      <formula>0.56251</formula>
      <formula>0.7125</formula>
    </cfRule>
    <cfRule type="cellIs" dxfId="4212" priority="989" operator="between">
      <formula>0.3751</formula>
      <formula>0.5625</formula>
    </cfRule>
    <cfRule type="cellIs" dxfId="4211" priority="990" operator="greaterThan">
      <formula>0.751</formula>
    </cfRule>
    <cfRule type="cellIs" dxfId="4210" priority="991" operator="between">
      <formula>0.71251</formula>
      <formula>0.75</formula>
    </cfRule>
    <cfRule type="cellIs" dxfId="4209" priority="992" stopIfTrue="1" operator="between">
      <formula>0</formula>
      <formula>0.375</formula>
    </cfRule>
  </conditionalFormatting>
  <conditionalFormatting sqref="U270">
    <cfRule type="cellIs" dxfId="4208" priority="978" operator="between">
      <formula>0.376</formula>
      <formula>0.475</formula>
    </cfRule>
    <cfRule type="cellIs" dxfId="4207" priority="979" operator="between">
      <formula>0.2551</formula>
      <formula>0.3751</formula>
    </cfRule>
    <cfRule type="cellIs" dxfId="4206" priority="980" operator="greaterThan">
      <formula>0.505</formula>
    </cfRule>
    <cfRule type="cellIs" dxfId="4205" priority="981" operator="between">
      <formula>0.48</formula>
      <formula>0.5</formula>
    </cfRule>
    <cfRule type="cellIs" dxfId="4204" priority="982" stopIfTrue="1" operator="between">
      <formula>0</formula>
      <formula>0.255</formula>
    </cfRule>
  </conditionalFormatting>
  <conditionalFormatting sqref="AC270">
    <cfRule type="cellIs" dxfId="4203" priority="973" operator="between">
      <formula>0.56251</formula>
      <formula>0.7125</formula>
    </cfRule>
    <cfRule type="cellIs" dxfId="4202" priority="974" operator="between">
      <formula>0.3751</formula>
      <formula>0.5625</formula>
    </cfRule>
    <cfRule type="cellIs" dxfId="4201" priority="975" operator="greaterThan">
      <formula>0.751</formula>
    </cfRule>
    <cfRule type="cellIs" dxfId="4200" priority="976" operator="between">
      <formula>0.71251</formula>
      <formula>0.75</formula>
    </cfRule>
    <cfRule type="cellIs" dxfId="4199" priority="977" stopIfTrue="1" operator="between">
      <formula>0</formula>
      <formula>0.375</formula>
    </cfRule>
  </conditionalFormatting>
  <conditionalFormatting sqref="V270">
    <cfRule type="cellIs" dxfId="4198" priority="958" operator="between">
      <formula>0.376</formula>
      <formula>0.475</formula>
    </cfRule>
    <cfRule type="cellIs" dxfId="4197" priority="959" operator="between">
      <formula>0.2551</formula>
      <formula>0.3751</formula>
    </cfRule>
    <cfRule type="cellIs" dxfId="4196" priority="960" operator="greaterThan">
      <formula>0.505</formula>
    </cfRule>
    <cfRule type="cellIs" dxfId="4195" priority="961" operator="between">
      <formula>0.48</formula>
      <formula>0.5</formula>
    </cfRule>
    <cfRule type="cellIs" dxfId="4194" priority="962" stopIfTrue="1" operator="between">
      <formula>0</formula>
      <formula>0.255</formula>
    </cfRule>
  </conditionalFormatting>
  <conditionalFormatting sqref="S270">
    <cfRule type="cellIs" dxfId="4193" priority="953" operator="between">
      <formula>0.76</formula>
      <formula>0.95</formula>
    </cfRule>
    <cfRule type="cellIs" dxfId="4192" priority="954" operator="between">
      <formula>0.51</formula>
      <formula>0.75</formula>
    </cfRule>
    <cfRule type="cellIs" dxfId="4191" priority="955" operator="greaterThan">
      <formula>1</formula>
    </cfRule>
    <cfRule type="cellIs" dxfId="4190" priority="956" operator="between">
      <formula>0.95</formula>
      <formula>1</formula>
    </cfRule>
    <cfRule type="cellIs" dxfId="4189" priority="957" stopIfTrue="1" operator="between">
      <formula>0</formula>
      <formula>0.5</formula>
    </cfRule>
  </conditionalFormatting>
  <conditionalFormatting sqref="Z270">
    <cfRule type="cellIs" dxfId="4188" priority="948" operator="between">
      <formula>0.76</formula>
      <formula>0.95</formula>
    </cfRule>
    <cfRule type="cellIs" dxfId="4187" priority="949" operator="between">
      <formula>0.51</formula>
      <formula>0.75</formula>
    </cfRule>
    <cfRule type="cellIs" dxfId="4186" priority="950" operator="greaterThan">
      <formula>1</formula>
    </cfRule>
    <cfRule type="cellIs" dxfId="4185" priority="951" operator="between">
      <formula>0.95</formula>
      <formula>1</formula>
    </cfRule>
    <cfRule type="cellIs" dxfId="4184" priority="952" stopIfTrue="1" operator="between">
      <formula>0</formula>
      <formula>0.5</formula>
    </cfRule>
  </conditionalFormatting>
  <conditionalFormatting sqref="AG270">
    <cfRule type="cellIs" dxfId="4183" priority="943" operator="between">
      <formula>0.76</formula>
      <formula>0.95</formula>
    </cfRule>
    <cfRule type="cellIs" dxfId="4182" priority="944" operator="between">
      <formula>0.51</formula>
      <formula>0.75</formula>
    </cfRule>
    <cfRule type="cellIs" dxfId="4181" priority="945" operator="greaterThan">
      <formula>1</formula>
    </cfRule>
    <cfRule type="cellIs" dxfId="4180" priority="946" operator="between">
      <formula>0.95</formula>
      <formula>1</formula>
    </cfRule>
    <cfRule type="cellIs" dxfId="4179" priority="947" stopIfTrue="1" operator="between">
      <formula>0</formula>
      <formula>0.5</formula>
    </cfRule>
  </conditionalFormatting>
  <conditionalFormatting sqref="R181 Y181 AF181 AH181:AI181">
    <cfRule type="cellIs" dxfId="4178" priority="916" operator="between">
      <formula>0.76</formula>
      <formula>0.95</formula>
    </cfRule>
    <cfRule type="cellIs" dxfId="4177" priority="917" operator="between">
      <formula>0.51</formula>
      <formula>0.75</formula>
    </cfRule>
    <cfRule type="cellIs" dxfId="4176" priority="918" operator="greaterThan">
      <formula>1</formula>
    </cfRule>
    <cfRule type="cellIs" dxfId="4175" priority="919" operator="between">
      <formula>0.95</formula>
      <formula>1</formula>
    </cfRule>
    <cfRule type="cellIs" dxfId="4174" priority="920" stopIfTrue="1" operator="between">
      <formula>0</formula>
      <formula>0.5</formula>
    </cfRule>
  </conditionalFormatting>
  <conditionalFormatting sqref="T181">
    <cfRule type="cellIs" dxfId="4173" priority="911" operator="between">
      <formula>0.3751</formula>
      <formula>0.475</formula>
    </cfRule>
    <cfRule type="cellIs" dxfId="4172" priority="912" operator="between">
      <formula>0.2551</formula>
      <formula>0.375</formula>
    </cfRule>
    <cfRule type="cellIs" dxfId="4171" priority="913" operator="greaterThan">
      <formula>0.505</formula>
    </cfRule>
    <cfRule type="cellIs" dxfId="4170" priority="914" operator="between">
      <formula>0.48</formula>
      <formula>0.5</formula>
    </cfRule>
    <cfRule type="cellIs" dxfId="4169" priority="915" stopIfTrue="1" operator="between">
      <formula>0</formula>
      <formula>0.255</formula>
    </cfRule>
  </conditionalFormatting>
  <conditionalFormatting sqref="AA181:AB181">
    <cfRule type="cellIs" dxfId="4168" priority="906" operator="between">
      <formula>0.56251</formula>
      <formula>0.7125</formula>
    </cfRule>
    <cfRule type="cellIs" dxfId="4167" priority="907" operator="between">
      <formula>0.3751</formula>
      <formula>0.5625</formula>
    </cfRule>
    <cfRule type="cellIs" dxfId="4166" priority="908" operator="greaterThan">
      <formula>0.751</formula>
    </cfRule>
    <cfRule type="cellIs" dxfId="4165" priority="909" operator="between">
      <formula>0.71251</formula>
      <formula>0.75</formula>
    </cfRule>
    <cfRule type="cellIs" dxfId="4164" priority="910" stopIfTrue="1" operator="between">
      <formula>0</formula>
      <formula>0.375</formula>
    </cfRule>
  </conditionalFormatting>
  <conditionalFormatting sqref="U181">
    <cfRule type="cellIs" dxfId="4163" priority="901" operator="between">
      <formula>0.376</formula>
      <formula>0.475</formula>
    </cfRule>
    <cfRule type="cellIs" dxfId="4162" priority="902" operator="between">
      <formula>0.2551</formula>
      <formula>0.3751</formula>
    </cfRule>
    <cfRule type="cellIs" dxfId="4161" priority="903" operator="greaterThan">
      <formula>0.505</formula>
    </cfRule>
    <cfRule type="cellIs" dxfId="4160" priority="904" operator="between">
      <formula>0.48</formula>
      <formula>0.5</formula>
    </cfRule>
    <cfRule type="cellIs" dxfId="4159" priority="905" stopIfTrue="1" operator="between">
      <formula>0</formula>
      <formula>0.255</formula>
    </cfRule>
  </conditionalFormatting>
  <conditionalFormatting sqref="AG181">
    <cfRule type="cellIs" dxfId="4158" priority="893" operator="between">
      <formula>0.76</formula>
      <formula>0.95</formula>
    </cfRule>
    <cfRule type="cellIs" dxfId="4157" priority="894" operator="between">
      <formula>0.51</formula>
      <formula>0.75</formula>
    </cfRule>
    <cfRule type="cellIs" dxfId="4156" priority="895" operator="greaterThan">
      <formula>1</formula>
    </cfRule>
    <cfRule type="cellIs" dxfId="4155" priority="896" operator="between">
      <formula>0.95</formula>
      <formula>1</formula>
    </cfRule>
    <cfRule type="cellIs" dxfId="4154" priority="897" stopIfTrue="1" operator="between">
      <formula>0</formula>
      <formula>0.5</formula>
    </cfRule>
  </conditionalFormatting>
  <conditionalFormatting sqref="Z181">
    <cfRule type="cellIs" dxfId="4153" priority="888" operator="between">
      <formula>0.76</formula>
      <formula>0.95</formula>
    </cfRule>
    <cfRule type="cellIs" dxfId="4152" priority="889" operator="between">
      <formula>0.51</formula>
      <formula>0.75</formula>
    </cfRule>
    <cfRule type="cellIs" dxfId="4151" priority="890" operator="greaterThan">
      <formula>1</formula>
    </cfRule>
    <cfRule type="cellIs" dxfId="4150" priority="891" operator="between">
      <formula>0.95</formula>
      <formula>1</formula>
    </cfRule>
    <cfRule type="cellIs" dxfId="4149" priority="892" stopIfTrue="1" operator="between">
      <formula>0</formula>
      <formula>0.5</formula>
    </cfRule>
  </conditionalFormatting>
  <conditionalFormatting sqref="AC181">
    <cfRule type="cellIs" dxfId="4148" priority="883" operator="between">
      <formula>0.56251</formula>
      <formula>0.7125</formula>
    </cfRule>
    <cfRule type="cellIs" dxfId="4147" priority="884" operator="between">
      <formula>0.3751</formula>
      <formula>0.5625</formula>
    </cfRule>
    <cfRule type="cellIs" dxfId="4146" priority="885" operator="greaterThan">
      <formula>0.751</formula>
    </cfRule>
    <cfRule type="cellIs" dxfId="4145" priority="886" operator="between">
      <formula>0.71251</formula>
      <formula>0.75</formula>
    </cfRule>
    <cfRule type="cellIs" dxfId="4144" priority="887" stopIfTrue="1" operator="between">
      <formula>0</formula>
      <formula>0.375</formula>
    </cfRule>
  </conditionalFormatting>
  <conditionalFormatting sqref="S181">
    <cfRule type="cellIs" dxfId="4143" priority="878" operator="between">
      <formula>0.76</formula>
      <formula>0.95</formula>
    </cfRule>
    <cfRule type="cellIs" dxfId="4142" priority="879" operator="between">
      <formula>0.51</formula>
      <formula>0.75</formula>
    </cfRule>
    <cfRule type="cellIs" dxfId="4141" priority="880" operator="greaterThan">
      <formula>1</formula>
    </cfRule>
    <cfRule type="cellIs" dxfId="4140" priority="881" operator="between">
      <formula>0.95</formula>
      <formula>1</formula>
    </cfRule>
    <cfRule type="cellIs" dxfId="4139" priority="882" stopIfTrue="1" operator="between">
      <formula>0</formula>
      <formula>0.5</formula>
    </cfRule>
  </conditionalFormatting>
  <conditionalFormatting sqref="V181">
    <cfRule type="cellIs" dxfId="4138" priority="873" operator="between">
      <formula>0.376</formula>
      <formula>0.475</formula>
    </cfRule>
    <cfRule type="cellIs" dxfId="4137" priority="874" operator="between">
      <formula>0.2551</formula>
      <formula>0.3751</formula>
    </cfRule>
    <cfRule type="cellIs" dxfId="4136" priority="875" operator="greaterThan">
      <formula>0.505</formula>
    </cfRule>
    <cfRule type="cellIs" dxfId="4135" priority="876" operator="between">
      <formula>0.48</formula>
      <formula>0.5</formula>
    </cfRule>
    <cfRule type="cellIs" dxfId="4134" priority="877" stopIfTrue="1" operator="between">
      <formula>0</formula>
      <formula>0.255</formula>
    </cfRule>
  </conditionalFormatting>
  <conditionalFormatting sqref="M181">
    <cfRule type="cellIs" dxfId="4133" priority="863" operator="between">
      <formula>0.1876</formula>
      <formula>0.2375</formula>
    </cfRule>
    <cfRule type="cellIs" dxfId="4132" priority="864" operator="between">
      <formula>0.1251</formula>
      <formula>0.1875</formula>
    </cfRule>
    <cfRule type="cellIs" dxfId="4131" priority="865" operator="greaterThan">
      <formula>0.25</formula>
    </cfRule>
    <cfRule type="cellIs" dxfId="4130" priority="866" operator="between">
      <formula>0.2376</formula>
      <formula>0.25</formula>
    </cfRule>
    <cfRule type="cellIs" dxfId="4129" priority="867" stopIfTrue="1" operator="between">
      <formula>0</formula>
      <formula>0.125</formula>
    </cfRule>
  </conditionalFormatting>
  <conditionalFormatting sqref="N181">
    <cfRule type="cellIs" dxfId="4128" priority="858" operator="between">
      <formula>0.1876</formula>
      <formula>0.2375</formula>
    </cfRule>
    <cfRule type="cellIs" dxfId="4127" priority="859" operator="between">
      <formula>0.1251</formula>
      <formula>0.1875</formula>
    </cfRule>
    <cfRule type="cellIs" dxfId="4126" priority="860" operator="greaterThan">
      <formula>0.25</formula>
    </cfRule>
    <cfRule type="cellIs" dxfId="4125" priority="861" operator="between">
      <formula>0.2376</formula>
      <formula>0.25</formula>
    </cfRule>
    <cfRule type="cellIs" dxfId="4124" priority="862" stopIfTrue="1" operator="between">
      <formula>0</formula>
      <formula>0.125</formula>
    </cfRule>
  </conditionalFormatting>
  <conditionalFormatting sqref="O181">
    <cfRule type="cellIs" dxfId="4123" priority="853" operator="between">
      <formula>0.1876</formula>
      <formula>0.2375</formula>
    </cfRule>
    <cfRule type="cellIs" dxfId="4122" priority="854" operator="between">
      <formula>0.1251</formula>
      <formula>0.1875</formula>
    </cfRule>
    <cfRule type="cellIs" dxfId="4121" priority="855" operator="greaterThan">
      <formula>0.25</formula>
    </cfRule>
    <cfRule type="cellIs" dxfId="4120" priority="856" operator="between">
      <formula>0.2375</formula>
      <formula>0.25</formula>
    </cfRule>
    <cfRule type="cellIs" dxfId="4119" priority="857" stopIfTrue="1" operator="between">
      <formula>0</formula>
      <formula>0.125</formula>
    </cfRule>
  </conditionalFormatting>
  <conditionalFormatting sqref="R182 Y182 AF182 AH182:AI182">
    <cfRule type="cellIs" dxfId="4118" priority="848" operator="between">
      <formula>0.76</formula>
      <formula>0.95</formula>
    </cfRule>
    <cfRule type="cellIs" dxfId="4117" priority="849" operator="between">
      <formula>0.51</formula>
      <formula>0.75</formula>
    </cfRule>
    <cfRule type="cellIs" dxfId="4116" priority="850" operator="greaterThan">
      <formula>1</formula>
    </cfRule>
    <cfRule type="cellIs" dxfId="4115" priority="851" operator="between">
      <formula>0.95</formula>
      <formula>1</formula>
    </cfRule>
    <cfRule type="cellIs" dxfId="4114" priority="852" stopIfTrue="1" operator="between">
      <formula>0</formula>
      <formula>0.5</formula>
    </cfRule>
  </conditionalFormatting>
  <conditionalFormatting sqref="T182">
    <cfRule type="cellIs" dxfId="4113" priority="843" operator="between">
      <formula>0.3751</formula>
      <formula>0.475</formula>
    </cfRule>
    <cfRule type="cellIs" dxfId="4112" priority="844" operator="between">
      <formula>0.2551</formula>
      <formula>0.375</formula>
    </cfRule>
    <cfRule type="cellIs" dxfId="4111" priority="845" operator="greaterThan">
      <formula>0.505</formula>
    </cfRule>
    <cfRule type="cellIs" dxfId="4110" priority="846" operator="between">
      <formula>0.48</formula>
      <formula>0.5</formula>
    </cfRule>
    <cfRule type="cellIs" dxfId="4109" priority="847" stopIfTrue="1" operator="between">
      <formula>0</formula>
      <formula>0.255</formula>
    </cfRule>
  </conditionalFormatting>
  <conditionalFormatting sqref="AA182:AB182">
    <cfRule type="cellIs" dxfId="4108" priority="838" operator="between">
      <formula>0.56251</formula>
      <formula>0.7125</formula>
    </cfRule>
    <cfRule type="cellIs" dxfId="4107" priority="839" operator="between">
      <formula>0.3751</formula>
      <formula>0.5625</formula>
    </cfRule>
    <cfRule type="cellIs" dxfId="4106" priority="840" operator="greaterThan">
      <formula>0.751</formula>
    </cfRule>
    <cfRule type="cellIs" dxfId="4105" priority="841" operator="between">
      <formula>0.71251</formula>
      <formula>0.75</formula>
    </cfRule>
    <cfRule type="cellIs" dxfId="4104" priority="842" stopIfTrue="1" operator="between">
      <formula>0</formula>
      <formula>0.375</formula>
    </cfRule>
  </conditionalFormatting>
  <conditionalFormatting sqref="U182">
    <cfRule type="cellIs" dxfId="4103" priority="833" operator="between">
      <formula>0.376</formula>
      <formula>0.475</formula>
    </cfRule>
    <cfRule type="cellIs" dxfId="4102" priority="834" operator="between">
      <formula>0.2551</formula>
      <formula>0.3751</formula>
    </cfRule>
    <cfRule type="cellIs" dxfId="4101" priority="835" operator="greaterThan">
      <formula>0.505</formula>
    </cfRule>
    <cfRule type="cellIs" dxfId="4100" priority="836" operator="between">
      <formula>0.48</formula>
      <formula>0.5</formula>
    </cfRule>
    <cfRule type="cellIs" dxfId="4099" priority="837" stopIfTrue="1" operator="between">
      <formula>0</formula>
      <formula>0.255</formula>
    </cfRule>
  </conditionalFormatting>
  <conditionalFormatting sqref="Z182">
    <cfRule type="cellIs" dxfId="4098" priority="820" operator="between">
      <formula>0.76</formula>
      <formula>0.95</formula>
    </cfRule>
    <cfRule type="cellIs" dxfId="4097" priority="821" operator="between">
      <formula>0.51</formula>
      <formula>0.75</formula>
    </cfRule>
    <cfRule type="cellIs" dxfId="4096" priority="822" operator="greaterThan">
      <formula>1</formula>
    </cfRule>
    <cfRule type="cellIs" dxfId="4095" priority="823" operator="between">
      <formula>0.95</formula>
      <formula>1</formula>
    </cfRule>
    <cfRule type="cellIs" dxfId="4094" priority="824" stopIfTrue="1" operator="between">
      <formula>0</formula>
      <formula>0.5</formula>
    </cfRule>
  </conditionalFormatting>
  <conditionalFormatting sqref="AC182">
    <cfRule type="cellIs" dxfId="4093" priority="815" operator="between">
      <formula>0.56251</formula>
      <formula>0.7125</formula>
    </cfRule>
    <cfRule type="cellIs" dxfId="4092" priority="816" operator="between">
      <formula>0.3751</formula>
      <formula>0.5625</formula>
    </cfRule>
    <cfRule type="cellIs" dxfId="4091" priority="817" operator="greaterThan">
      <formula>0.751</formula>
    </cfRule>
    <cfRule type="cellIs" dxfId="4090" priority="818" operator="between">
      <formula>0.71251</formula>
      <formula>0.75</formula>
    </cfRule>
    <cfRule type="cellIs" dxfId="4089" priority="819" stopIfTrue="1" operator="between">
      <formula>0</formula>
      <formula>0.375</formula>
    </cfRule>
  </conditionalFormatting>
  <conditionalFormatting sqref="M182">
    <cfRule type="cellIs" dxfId="4088" priority="795" operator="between">
      <formula>0.1876</formula>
      <formula>0.2375</formula>
    </cfRule>
    <cfRule type="cellIs" dxfId="4087" priority="796" operator="between">
      <formula>0.1251</formula>
      <formula>0.1875</formula>
    </cfRule>
    <cfRule type="cellIs" dxfId="4086" priority="797" operator="greaterThan">
      <formula>0.25</formula>
    </cfRule>
    <cfRule type="cellIs" dxfId="4085" priority="798" operator="between">
      <formula>0.2376</formula>
      <formula>0.25</formula>
    </cfRule>
    <cfRule type="cellIs" dxfId="4084" priority="799" stopIfTrue="1" operator="between">
      <formula>0</formula>
      <formula>0.125</formula>
    </cfRule>
  </conditionalFormatting>
  <conditionalFormatting sqref="N182">
    <cfRule type="cellIs" dxfId="4083" priority="790" operator="between">
      <formula>0.1876</formula>
      <formula>0.2375</formula>
    </cfRule>
    <cfRule type="cellIs" dxfId="4082" priority="791" operator="between">
      <formula>0.1251</formula>
      <formula>0.1875</formula>
    </cfRule>
    <cfRule type="cellIs" dxfId="4081" priority="792" operator="greaterThan">
      <formula>0.25</formula>
    </cfRule>
    <cfRule type="cellIs" dxfId="4080" priority="793" operator="between">
      <formula>0.2376</formula>
      <formula>0.25</formula>
    </cfRule>
    <cfRule type="cellIs" dxfId="4079" priority="794" stopIfTrue="1" operator="between">
      <formula>0</formula>
      <formula>0.125</formula>
    </cfRule>
  </conditionalFormatting>
  <conditionalFormatting sqref="O182">
    <cfRule type="cellIs" dxfId="4078" priority="785" operator="between">
      <formula>0.1876</formula>
      <formula>0.2375</formula>
    </cfRule>
    <cfRule type="cellIs" dxfId="4077" priority="786" operator="between">
      <formula>0.1251</formula>
      <formula>0.1875</formula>
    </cfRule>
    <cfRule type="cellIs" dxfId="4076" priority="787" operator="greaterThan">
      <formula>0.25</formula>
    </cfRule>
    <cfRule type="cellIs" dxfId="4075" priority="788" operator="between">
      <formula>0.2375</formula>
      <formula>0.25</formula>
    </cfRule>
    <cfRule type="cellIs" dxfId="4074" priority="789" stopIfTrue="1" operator="between">
      <formula>0</formula>
      <formula>0.125</formula>
    </cfRule>
  </conditionalFormatting>
  <conditionalFormatting sqref="S182">
    <cfRule type="cellIs" dxfId="4073" priority="780" operator="between">
      <formula>0.76</formula>
      <formula>0.95</formula>
    </cfRule>
    <cfRule type="cellIs" dxfId="4072" priority="781" operator="between">
      <formula>0.51</formula>
      <formula>0.75</formula>
    </cfRule>
    <cfRule type="cellIs" dxfId="4071" priority="782" operator="greaterThan">
      <formula>1</formula>
    </cfRule>
    <cfRule type="cellIs" dxfId="4070" priority="783" operator="between">
      <formula>0.95</formula>
      <formula>1</formula>
    </cfRule>
    <cfRule type="cellIs" dxfId="4069" priority="784" stopIfTrue="1" operator="between">
      <formula>0</formula>
      <formula>0.5</formula>
    </cfRule>
  </conditionalFormatting>
  <conditionalFormatting sqref="V182">
    <cfRule type="cellIs" dxfId="4068" priority="775" operator="between">
      <formula>0.376</formula>
      <formula>0.475</formula>
    </cfRule>
    <cfRule type="cellIs" dxfId="4067" priority="776" operator="between">
      <formula>0.2551</formula>
      <formula>0.3751</formula>
    </cfRule>
    <cfRule type="cellIs" dxfId="4066" priority="777" operator="greaterThan">
      <formula>0.505</formula>
    </cfRule>
    <cfRule type="cellIs" dxfId="4065" priority="778" operator="between">
      <formula>0.48</formula>
      <formula>0.5</formula>
    </cfRule>
    <cfRule type="cellIs" dxfId="4064" priority="779" stopIfTrue="1" operator="between">
      <formula>0</formula>
      <formula>0.255</formula>
    </cfRule>
  </conditionalFormatting>
  <conditionalFormatting sqref="AG182">
    <cfRule type="cellIs" dxfId="4063" priority="770" operator="between">
      <formula>0.76</formula>
      <formula>0.95</formula>
    </cfRule>
    <cfRule type="cellIs" dxfId="4062" priority="771" operator="between">
      <formula>0.51</formula>
      <formula>0.75</formula>
    </cfRule>
    <cfRule type="cellIs" dxfId="4061" priority="772" operator="greaterThan">
      <formula>1</formula>
    </cfRule>
    <cfRule type="cellIs" dxfId="4060" priority="773" operator="between">
      <formula>0.95</formula>
      <formula>1</formula>
    </cfRule>
    <cfRule type="cellIs" dxfId="4059" priority="774" stopIfTrue="1" operator="between">
      <formula>0</formula>
      <formula>0.5</formula>
    </cfRule>
  </conditionalFormatting>
  <conditionalFormatting sqref="O15">
    <cfRule type="cellIs" dxfId="4058" priority="697" operator="between">
      <formula>0.1876</formula>
      <formula>0.2375</formula>
    </cfRule>
    <cfRule type="cellIs" dxfId="4057" priority="698" operator="between">
      <formula>0.1251</formula>
      <formula>0.1875</formula>
    </cfRule>
    <cfRule type="cellIs" dxfId="4056" priority="699" operator="greaterThan">
      <formula>0.25</formula>
    </cfRule>
    <cfRule type="cellIs" dxfId="4055" priority="700" operator="between">
      <formula>0.2376</formula>
      <formula>0.25</formula>
    </cfRule>
    <cfRule type="cellIs" dxfId="4054" priority="701" stopIfTrue="1" operator="between">
      <formula>0</formula>
      <formula>0.125</formula>
    </cfRule>
  </conditionalFormatting>
  <conditionalFormatting sqref="N16">
    <cfRule type="cellIs" dxfId="4053" priority="692" operator="between">
      <formula>0.1876</formula>
      <formula>0.2375</formula>
    </cfRule>
    <cfRule type="cellIs" dxfId="4052" priority="693" operator="between">
      <formula>0.1251</formula>
      <formula>0.1875</formula>
    </cfRule>
    <cfRule type="cellIs" dxfId="4051" priority="694" operator="greaterThan">
      <formula>0.25</formula>
    </cfRule>
    <cfRule type="cellIs" dxfId="4050" priority="695" operator="between">
      <formula>0.2376</formula>
      <formula>0.25</formula>
    </cfRule>
    <cfRule type="cellIs" dxfId="4049" priority="696" stopIfTrue="1" operator="between">
      <formula>0</formula>
      <formula>0.125</formula>
    </cfRule>
  </conditionalFormatting>
  <conditionalFormatting sqref="O16">
    <cfRule type="cellIs" dxfId="4048" priority="687" operator="between">
      <formula>0.1876</formula>
      <formula>0.2375</formula>
    </cfRule>
    <cfRule type="cellIs" dxfId="4047" priority="688" operator="between">
      <formula>0.1251</formula>
      <formula>0.1875</formula>
    </cfRule>
    <cfRule type="cellIs" dxfId="4046" priority="689" operator="greaterThan">
      <formula>0.25</formula>
    </cfRule>
    <cfRule type="cellIs" dxfId="4045" priority="690" operator="between">
      <formula>0.2376</formula>
      <formula>0.25</formula>
    </cfRule>
    <cfRule type="cellIs" dxfId="4044" priority="691" stopIfTrue="1" operator="between">
      <formula>0</formula>
      <formula>0.125</formula>
    </cfRule>
  </conditionalFormatting>
  <conditionalFormatting sqref="N17:N18 N22:N30 N82:N126 N46 N48 N52 N54:N55 N57:N59 N63:N65">
    <cfRule type="cellIs" dxfId="4043" priority="682" operator="between">
      <formula>0.1876</formula>
      <formula>0.2375</formula>
    </cfRule>
    <cfRule type="cellIs" dxfId="4042" priority="683" operator="between">
      <formula>0.1251</formula>
      <formula>0.1875</formula>
    </cfRule>
    <cfRule type="cellIs" dxfId="4041" priority="684" operator="greaterThan">
      <formula>0.25</formula>
    </cfRule>
    <cfRule type="cellIs" dxfId="4040" priority="685" operator="between">
      <formula>0.2376</formula>
      <formula>0.25</formula>
    </cfRule>
    <cfRule type="cellIs" dxfId="4039" priority="686" stopIfTrue="1" operator="between">
      <formula>0</formula>
      <formula>0.125</formula>
    </cfRule>
  </conditionalFormatting>
  <conditionalFormatting sqref="O17:O18 O22:O30 O82:O126 O46 O48 O52 O54:O55 O57:O59 O63:O65">
    <cfRule type="cellIs" dxfId="4038" priority="677" operator="between">
      <formula>0.1876</formula>
      <formula>0.2375</formula>
    </cfRule>
    <cfRule type="cellIs" dxfId="4037" priority="678" operator="between">
      <formula>0.1251</formula>
      <formula>0.1875</formula>
    </cfRule>
    <cfRule type="cellIs" dxfId="4036" priority="679" operator="greaterThan">
      <formula>0.25</formula>
    </cfRule>
    <cfRule type="cellIs" dxfId="4035" priority="680" operator="between">
      <formula>0.2376</formula>
      <formula>0.25</formula>
    </cfRule>
    <cfRule type="cellIs" dxfId="4034" priority="681" stopIfTrue="1" operator="between">
      <formula>0</formula>
      <formula>0.125</formula>
    </cfRule>
  </conditionalFormatting>
  <conditionalFormatting sqref="M16">
    <cfRule type="cellIs" dxfId="4033" priority="672" operator="between">
      <formula>0.1876</formula>
      <formula>0.2375</formula>
    </cfRule>
    <cfRule type="cellIs" dxfId="4032" priority="673" operator="between">
      <formula>0.1251</formula>
      <formula>0.1875</formula>
    </cfRule>
    <cfRule type="cellIs" dxfId="4031" priority="674" operator="greaterThan">
      <formula>0.25</formula>
    </cfRule>
    <cfRule type="cellIs" dxfId="4030" priority="675" operator="between">
      <formula>0.2375</formula>
      <formula>0.25</formula>
    </cfRule>
    <cfRule type="cellIs" dxfId="4029" priority="676" stopIfTrue="1" operator="between">
      <formula>0</formula>
      <formula>0.125</formula>
    </cfRule>
  </conditionalFormatting>
  <conditionalFormatting sqref="M17:M18 M22:M30 M82:M126 M46 M48 M52 M54:M55 M57:M59 M63:M65">
    <cfRule type="cellIs" dxfId="4028" priority="667" operator="between">
      <formula>0.1876</formula>
      <formula>0.2375</formula>
    </cfRule>
    <cfRule type="cellIs" dxfId="4027" priority="668" operator="between">
      <formula>0.1251</formula>
      <formula>0.1875</formula>
    </cfRule>
    <cfRule type="cellIs" dxfId="4026" priority="669" operator="greaterThan">
      <formula>0.25</formula>
    </cfRule>
    <cfRule type="cellIs" dxfId="4025" priority="670" operator="between">
      <formula>0.2375</formula>
      <formula>0.25</formula>
    </cfRule>
    <cfRule type="cellIs" dxfId="4024" priority="671" stopIfTrue="1" operator="between">
      <formula>0</formula>
      <formula>0.125</formula>
    </cfRule>
  </conditionalFormatting>
  <conditionalFormatting sqref="L127">
    <cfRule type="cellIs" dxfId="4023" priority="662" operator="between">
      <formula>0.76</formula>
      <formula>0.95</formula>
    </cfRule>
    <cfRule type="cellIs" dxfId="4022" priority="663" operator="between">
      <formula>0.51</formula>
      <formula>0.75</formula>
    </cfRule>
    <cfRule type="cellIs" dxfId="4021" priority="664" operator="greaterThan">
      <formula>1</formula>
    </cfRule>
    <cfRule type="cellIs" dxfId="4020" priority="665" operator="between">
      <formula>0.96</formula>
      <formula>1</formula>
    </cfRule>
    <cfRule type="cellIs" dxfId="4019" priority="666" stopIfTrue="1" operator="between">
      <formula>0</formula>
      <formula>0.5</formula>
    </cfRule>
  </conditionalFormatting>
  <conditionalFormatting sqref="K16">
    <cfRule type="cellIs" dxfId="4018" priority="657" operator="between">
      <formula>0.76</formula>
      <formula>0.95</formula>
    </cfRule>
    <cfRule type="cellIs" dxfId="4017" priority="658" operator="between">
      <formula>0.51</formula>
      <formula>0.75</formula>
    </cfRule>
    <cfRule type="cellIs" dxfId="4016" priority="659" operator="greaterThan">
      <formula>1</formula>
    </cfRule>
    <cfRule type="cellIs" dxfId="4015" priority="660" operator="between">
      <formula>0.96</formula>
      <formula>1</formula>
    </cfRule>
    <cfRule type="cellIs" dxfId="4014" priority="661" stopIfTrue="1" operator="between">
      <formula>0</formula>
      <formula>0.5</formula>
    </cfRule>
  </conditionalFormatting>
  <conditionalFormatting sqref="L16">
    <cfRule type="cellIs" dxfId="4013" priority="652" operator="between">
      <formula>0.76</formula>
      <formula>0.95</formula>
    </cfRule>
    <cfRule type="cellIs" dxfId="4012" priority="653" operator="between">
      <formula>0.51</formula>
      <formula>0.75</formula>
    </cfRule>
    <cfRule type="cellIs" dxfId="4011" priority="654" operator="greaterThan">
      <formula>1</formula>
    </cfRule>
    <cfRule type="cellIs" dxfId="4010" priority="655" operator="between">
      <formula>0.96</formula>
      <formula>1</formula>
    </cfRule>
    <cfRule type="cellIs" dxfId="4009" priority="656" stopIfTrue="1" operator="between">
      <formula>0</formula>
      <formula>0.5</formula>
    </cfRule>
  </conditionalFormatting>
  <conditionalFormatting sqref="K17:K18 K22:K30 K46 K48 K52 K54:K55 K57:K59 K63:K65 K82:K125">
    <cfRule type="cellIs" dxfId="4008" priority="647" operator="between">
      <formula>0.76</formula>
      <formula>0.95</formula>
    </cfRule>
    <cfRule type="cellIs" dxfId="4007" priority="648" operator="between">
      <formula>0.51</formula>
      <formula>0.75</formula>
    </cfRule>
    <cfRule type="cellIs" dxfId="4006" priority="649" operator="greaterThan">
      <formula>1</formula>
    </cfRule>
    <cfRule type="cellIs" dxfId="4005" priority="650" operator="between">
      <formula>0.96</formula>
      <formula>1</formula>
    </cfRule>
    <cfRule type="cellIs" dxfId="4004" priority="651" stopIfTrue="1" operator="between">
      <formula>0</formula>
      <formula>0.5</formula>
    </cfRule>
  </conditionalFormatting>
  <conditionalFormatting sqref="L17:L18 L22:L30 L46 L48 L52 L54:L55 L57:L59 L63:L65 L82:L125">
    <cfRule type="cellIs" dxfId="4003" priority="642" operator="between">
      <formula>0.76</formula>
      <formula>0.95</formula>
    </cfRule>
    <cfRule type="cellIs" dxfId="4002" priority="643" operator="between">
      <formula>0.51</formula>
      <formula>0.75</formula>
    </cfRule>
    <cfRule type="cellIs" dxfId="4001" priority="644" operator="greaterThan">
      <formula>1</formula>
    </cfRule>
    <cfRule type="cellIs" dxfId="4000" priority="645" operator="between">
      <formula>0.96</formula>
      <formula>1</formula>
    </cfRule>
    <cfRule type="cellIs" dxfId="3999" priority="646" stopIfTrue="1" operator="between">
      <formula>0</formula>
      <formula>0.5</formula>
    </cfRule>
  </conditionalFormatting>
  <conditionalFormatting sqref="L129">
    <cfRule type="cellIs" dxfId="3998" priority="637" operator="between">
      <formula>0.76</formula>
      <formula>0.95</formula>
    </cfRule>
    <cfRule type="cellIs" dxfId="3997" priority="638" operator="between">
      <formula>0.51</formula>
      <formula>0.75</formula>
    </cfRule>
    <cfRule type="cellIs" dxfId="3996" priority="639" operator="greaterThan">
      <formula>1</formula>
    </cfRule>
    <cfRule type="cellIs" dxfId="3995" priority="640" operator="between">
      <formula>0.96</formula>
      <formula>1</formula>
    </cfRule>
    <cfRule type="cellIs" dxfId="3994" priority="641" stopIfTrue="1" operator="between">
      <formula>0</formula>
      <formula>0.5</formula>
    </cfRule>
  </conditionalFormatting>
  <conditionalFormatting sqref="K129">
    <cfRule type="cellIs" dxfId="3993" priority="632" operator="between">
      <formula>0.76</formula>
      <formula>0.95</formula>
    </cfRule>
    <cfRule type="cellIs" dxfId="3992" priority="633" operator="between">
      <formula>0.51</formula>
      <formula>0.75</formula>
    </cfRule>
    <cfRule type="cellIs" dxfId="3991" priority="634" operator="greaterThan">
      <formula>1</formula>
    </cfRule>
    <cfRule type="cellIs" dxfId="3990" priority="635" operator="between">
      <formula>0.96</formula>
      <formula>1</formula>
    </cfRule>
    <cfRule type="cellIs" dxfId="3989" priority="636" stopIfTrue="1" operator="between">
      <formula>0</formula>
      <formula>0.5</formula>
    </cfRule>
  </conditionalFormatting>
  <conditionalFormatting sqref="M193">
    <cfRule type="cellIs" dxfId="3988" priority="617" operator="between">
      <formula>0.1876</formula>
      <formula>0.2375</formula>
    </cfRule>
    <cfRule type="cellIs" dxfId="3987" priority="618" operator="between">
      <formula>0.1251</formula>
      <formula>0.1875</formula>
    </cfRule>
    <cfRule type="cellIs" dxfId="3986" priority="619" operator="greaterThan">
      <formula>0.25</formula>
    </cfRule>
    <cfRule type="cellIs" dxfId="3985" priority="620" operator="between">
      <formula>0.2376</formula>
      <formula>0.25</formula>
    </cfRule>
    <cfRule type="cellIs" dxfId="3984" priority="621" stopIfTrue="1" operator="between">
      <formula>0</formula>
      <formula>0.125</formula>
    </cfRule>
  </conditionalFormatting>
  <conditionalFormatting sqref="N193">
    <cfRule type="cellIs" dxfId="3983" priority="612" operator="between">
      <formula>0.1876</formula>
      <formula>0.2375</formula>
    </cfRule>
    <cfRule type="cellIs" dxfId="3982" priority="613" operator="between">
      <formula>0.1251</formula>
      <formula>0.1875</formula>
    </cfRule>
    <cfRule type="cellIs" dxfId="3981" priority="614" operator="greaterThan">
      <formula>0.25</formula>
    </cfRule>
    <cfRule type="cellIs" dxfId="3980" priority="615" operator="between">
      <formula>0.2376</formula>
      <formula>0.25</formula>
    </cfRule>
    <cfRule type="cellIs" dxfId="3979" priority="616" stopIfTrue="1" operator="between">
      <formula>0</formula>
      <formula>0.125</formula>
    </cfRule>
  </conditionalFormatting>
  <conditionalFormatting sqref="O193">
    <cfRule type="cellIs" dxfId="3978" priority="607" operator="between">
      <formula>0.1876</formula>
      <formula>0.2375</formula>
    </cfRule>
    <cfRule type="cellIs" dxfId="3977" priority="608" operator="between">
      <formula>0.1251</formula>
      <formula>0.1875</formula>
    </cfRule>
    <cfRule type="cellIs" dxfId="3976" priority="609" operator="greaterThan">
      <formula>0.25</formula>
    </cfRule>
    <cfRule type="cellIs" dxfId="3975" priority="610" operator="between">
      <formula>0.2375</formula>
      <formula>0.25</formula>
    </cfRule>
    <cfRule type="cellIs" dxfId="3974" priority="611" stopIfTrue="1" operator="between">
      <formula>0</formula>
      <formula>0.125</formula>
    </cfRule>
  </conditionalFormatting>
  <conditionalFormatting sqref="L193">
    <cfRule type="cellIs" dxfId="3973" priority="602" operator="between">
      <formula>0.76</formula>
      <formula>0.95</formula>
    </cfRule>
    <cfRule type="cellIs" dxfId="3972" priority="603" operator="between">
      <formula>0.51</formula>
      <formula>0.75</formula>
    </cfRule>
    <cfRule type="cellIs" dxfId="3971" priority="604" operator="greaterThan">
      <formula>1</formula>
    </cfRule>
    <cfRule type="cellIs" dxfId="3970" priority="605" operator="between">
      <formula>0.96</formula>
      <formula>1</formula>
    </cfRule>
    <cfRule type="cellIs" dxfId="3969" priority="606" stopIfTrue="1" operator="between">
      <formula>0</formula>
      <formula>0.5</formula>
    </cfRule>
  </conditionalFormatting>
  <conditionalFormatting sqref="K193">
    <cfRule type="cellIs" dxfId="3968" priority="597" operator="between">
      <formula>0.76</formula>
      <formula>0.95</formula>
    </cfRule>
    <cfRule type="cellIs" dxfId="3967" priority="598" operator="between">
      <formula>0.51</formula>
      <formula>0.75</formula>
    </cfRule>
    <cfRule type="cellIs" dxfId="3966" priority="599" operator="greaterThan">
      <formula>1</formula>
    </cfRule>
    <cfRule type="cellIs" dxfId="3965" priority="600" operator="between">
      <formula>0.96</formula>
      <formula>1</formula>
    </cfRule>
    <cfRule type="cellIs" dxfId="3964" priority="601" stopIfTrue="1" operator="between">
      <formula>0</formula>
      <formula>0.5</formula>
    </cfRule>
  </conditionalFormatting>
  <conditionalFormatting sqref="M194">
    <cfRule type="cellIs" dxfId="3963" priority="592" operator="between">
      <formula>0.1876</formula>
      <formula>0.2375</formula>
    </cfRule>
    <cfRule type="cellIs" dxfId="3962" priority="593" operator="between">
      <formula>0.1251</formula>
      <formula>0.1875</formula>
    </cfRule>
    <cfRule type="cellIs" dxfId="3961" priority="594" operator="greaterThan">
      <formula>0.25</formula>
    </cfRule>
    <cfRule type="cellIs" dxfId="3960" priority="595" operator="between">
      <formula>0.2376</formula>
      <formula>0.25</formula>
    </cfRule>
    <cfRule type="cellIs" dxfId="3959" priority="596" stopIfTrue="1" operator="between">
      <formula>0</formula>
      <formula>0.125</formula>
    </cfRule>
  </conditionalFormatting>
  <conditionalFormatting sqref="N194">
    <cfRule type="cellIs" dxfId="3958" priority="587" operator="between">
      <formula>0.1876</formula>
      <formula>0.2375</formula>
    </cfRule>
    <cfRule type="cellIs" dxfId="3957" priority="588" operator="between">
      <formula>0.1251</formula>
      <formula>0.1875</formula>
    </cfRule>
    <cfRule type="cellIs" dxfId="3956" priority="589" operator="greaterThan">
      <formula>0.25</formula>
    </cfRule>
    <cfRule type="cellIs" dxfId="3955" priority="590" operator="between">
      <formula>0.2376</formula>
      <formula>0.25</formula>
    </cfRule>
    <cfRule type="cellIs" dxfId="3954" priority="591" stopIfTrue="1" operator="between">
      <formula>0</formula>
      <formula>0.125</formula>
    </cfRule>
  </conditionalFormatting>
  <conditionalFormatting sqref="O194">
    <cfRule type="cellIs" dxfId="3953" priority="582" operator="between">
      <formula>0.1876</formula>
      <formula>0.2375</formula>
    </cfRule>
    <cfRule type="cellIs" dxfId="3952" priority="583" operator="between">
      <formula>0.1251</formula>
      <formula>0.1875</formula>
    </cfRule>
    <cfRule type="cellIs" dxfId="3951" priority="584" operator="greaterThan">
      <formula>0.25</formula>
    </cfRule>
    <cfRule type="cellIs" dxfId="3950" priority="585" operator="between">
      <formula>0.2375</formula>
      <formula>0.25</formula>
    </cfRule>
    <cfRule type="cellIs" dxfId="3949" priority="586" stopIfTrue="1" operator="between">
      <formula>0</formula>
      <formula>0.125</formula>
    </cfRule>
  </conditionalFormatting>
  <conditionalFormatting sqref="L194">
    <cfRule type="cellIs" dxfId="3948" priority="577" operator="between">
      <formula>0.76</formula>
      <formula>0.95</formula>
    </cfRule>
    <cfRule type="cellIs" dxfId="3947" priority="578" operator="between">
      <formula>0.51</formula>
      <formula>0.75</formula>
    </cfRule>
    <cfRule type="cellIs" dxfId="3946" priority="579" operator="greaterThan">
      <formula>1</formula>
    </cfRule>
    <cfRule type="cellIs" dxfId="3945" priority="580" operator="between">
      <formula>0.96</formula>
      <formula>1</formula>
    </cfRule>
    <cfRule type="cellIs" dxfId="3944" priority="581" stopIfTrue="1" operator="between">
      <formula>0</formula>
      <formula>0.5</formula>
    </cfRule>
  </conditionalFormatting>
  <conditionalFormatting sqref="K194">
    <cfRule type="cellIs" dxfId="3943" priority="572" operator="between">
      <formula>0.76</formula>
      <formula>0.95</formula>
    </cfRule>
    <cfRule type="cellIs" dxfId="3942" priority="573" operator="between">
      <formula>0.51</formula>
      <formula>0.75</formula>
    </cfRule>
    <cfRule type="cellIs" dxfId="3941" priority="574" operator="greaterThan">
      <formula>1</formula>
    </cfRule>
    <cfRule type="cellIs" dxfId="3940" priority="575" operator="between">
      <formula>0.96</formula>
      <formula>1</formula>
    </cfRule>
    <cfRule type="cellIs" dxfId="3939" priority="576" stopIfTrue="1" operator="between">
      <formula>0</formula>
      <formula>0.5</formula>
    </cfRule>
  </conditionalFormatting>
  <conditionalFormatting sqref="N288:O288">
    <cfRule type="cellIs" dxfId="3938" priority="542" operator="between">
      <formula>0.1876</formula>
      <formula>0.2375</formula>
    </cfRule>
    <cfRule type="cellIs" dxfId="3937" priority="543" operator="between">
      <formula>0.1251</formula>
      <formula>0.1875</formula>
    </cfRule>
    <cfRule type="cellIs" dxfId="3936" priority="544" operator="greaterThan">
      <formula>0.25</formula>
    </cfRule>
    <cfRule type="cellIs" dxfId="3935" priority="545" operator="between">
      <formula>0.2376</formula>
      <formula>0.25</formula>
    </cfRule>
    <cfRule type="cellIs" dxfId="3934" priority="546" stopIfTrue="1" operator="between">
      <formula>0</formula>
      <formula>0.125</formula>
    </cfRule>
  </conditionalFormatting>
  <conditionalFormatting sqref="M289">
    <cfRule type="cellIs" dxfId="3933" priority="537" operator="between">
      <formula>0.1876</formula>
      <formula>0.2375</formula>
    </cfRule>
    <cfRule type="cellIs" dxfId="3932" priority="538" operator="between">
      <formula>0.1251</formula>
      <formula>0.1875</formula>
    </cfRule>
    <cfRule type="cellIs" dxfId="3931" priority="539" operator="greaterThan">
      <formula>0.25</formula>
    </cfRule>
    <cfRule type="cellIs" dxfId="3930" priority="540" operator="between">
      <formula>0.2376</formula>
      <formula>0.25</formula>
    </cfRule>
    <cfRule type="cellIs" dxfId="3929" priority="541" stopIfTrue="1" operator="between">
      <formula>0</formula>
      <formula>0.125</formula>
    </cfRule>
  </conditionalFormatting>
  <conditionalFormatting sqref="N289">
    <cfRule type="cellIs" dxfId="3928" priority="532" operator="between">
      <formula>0.1876</formula>
      <formula>0.2375</formula>
    </cfRule>
    <cfRule type="cellIs" dxfId="3927" priority="533" operator="between">
      <formula>0.1251</formula>
      <formula>0.1875</formula>
    </cfRule>
    <cfRule type="cellIs" dxfId="3926" priority="534" operator="greaterThan">
      <formula>0.25</formula>
    </cfRule>
    <cfRule type="cellIs" dxfId="3925" priority="535" operator="between">
      <formula>0.2376</formula>
      <formula>0.25</formula>
    </cfRule>
    <cfRule type="cellIs" dxfId="3924" priority="536" stopIfTrue="1" operator="between">
      <formula>0</formula>
      <formula>0.125</formula>
    </cfRule>
  </conditionalFormatting>
  <conditionalFormatting sqref="O289">
    <cfRule type="cellIs" dxfId="3923" priority="527" operator="between">
      <formula>0.1876</formula>
      <formula>0.2375</formula>
    </cfRule>
    <cfRule type="cellIs" dxfId="3922" priority="528" operator="between">
      <formula>0.1251</formula>
      <formula>0.1875</formula>
    </cfRule>
    <cfRule type="cellIs" dxfId="3921" priority="529" operator="greaterThan">
      <formula>0.25</formula>
    </cfRule>
    <cfRule type="cellIs" dxfId="3920" priority="530" operator="between">
      <formula>0.2375</formula>
      <formula>0.25</formula>
    </cfRule>
    <cfRule type="cellIs" dxfId="3919" priority="531" stopIfTrue="1" operator="between">
      <formula>0</formula>
      <formula>0.125</formula>
    </cfRule>
  </conditionalFormatting>
  <conditionalFormatting sqref="L289">
    <cfRule type="cellIs" dxfId="3918" priority="522" operator="between">
      <formula>0.76</formula>
      <formula>0.95</formula>
    </cfRule>
    <cfRule type="cellIs" dxfId="3917" priority="523" operator="between">
      <formula>0.51</formula>
      <formula>0.75</formula>
    </cfRule>
    <cfRule type="cellIs" dxfId="3916" priority="524" operator="greaterThan">
      <formula>1</formula>
    </cfRule>
    <cfRule type="cellIs" dxfId="3915" priority="525" operator="between">
      <formula>0.96</formula>
      <formula>1</formula>
    </cfRule>
    <cfRule type="cellIs" dxfId="3914" priority="526" stopIfTrue="1" operator="between">
      <formula>0</formula>
      <formula>0.5</formula>
    </cfRule>
  </conditionalFormatting>
  <conditionalFormatting sqref="K289">
    <cfRule type="cellIs" dxfId="3913" priority="517" operator="between">
      <formula>0.76</formula>
      <formula>0.95</formula>
    </cfRule>
    <cfRule type="cellIs" dxfId="3912" priority="518" operator="between">
      <formula>0.51</formula>
      <formula>0.75</formula>
    </cfRule>
    <cfRule type="cellIs" dxfId="3911" priority="519" operator="greaterThan">
      <formula>1</formula>
    </cfRule>
    <cfRule type="cellIs" dxfId="3910" priority="520" operator="between">
      <formula>0.96</formula>
      <formula>1</formula>
    </cfRule>
    <cfRule type="cellIs" dxfId="3909" priority="521" stopIfTrue="1" operator="between">
      <formula>0</formula>
      <formula>0.5</formula>
    </cfRule>
  </conditionalFormatting>
  <conditionalFormatting sqref="M290">
    <cfRule type="cellIs" dxfId="3908" priority="512" operator="between">
      <formula>0.1876</formula>
      <formula>0.2375</formula>
    </cfRule>
    <cfRule type="cellIs" dxfId="3907" priority="513" operator="between">
      <formula>0.1251</formula>
      <formula>0.1875</formula>
    </cfRule>
    <cfRule type="cellIs" dxfId="3906" priority="514" operator="greaterThan">
      <formula>0.25</formula>
    </cfRule>
    <cfRule type="cellIs" dxfId="3905" priority="515" operator="between">
      <formula>0.2376</formula>
      <formula>0.25</formula>
    </cfRule>
    <cfRule type="cellIs" dxfId="3904" priority="516" stopIfTrue="1" operator="between">
      <formula>0</formula>
      <formula>0.125</formula>
    </cfRule>
  </conditionalFormatting>
  <conditionalFormatting sqref="N290">
    <cfRule type="cellIs" dxfId="3903" priority="507" operator="between">
      <formula>0.1876</formula>
      <formula>0.2375</formula>
    </cfRule>
    <cfRule type="cellIs" dxfId="3902" priority="508" operator="between">
      <formula>0.1251</formula>
      <formula>0.1875</formula>
    </cfRule>
    <cfRule type="cellIs" dxfId="3901" priority="509" operator="greaterThan">
      <formula>0.25</formula>
    </cfRule>
    <cfRule type="cellIs" dxfId="3900" priority="510" operator="between">
      <formula>0.2376</formula>
      <formula>0.25</formula>
    </cfRule>
    <cfRule type="cellIs" dxfId="3899" priority="511" stopIfTrue="1" operator="between">
      <formula>0</formula>
      <formula>0.125</formula>
    </cfRule>
  </conditionalFormatting>
  <conditionalFormatting sqref="O290">
    <cfRule type="cellIs" dxfId="3898" priority="502" operator="between">
      <formula>0.1876</formula>
      <formula>0.2375</formula>
    </cfRule>
    <cfRule type="cellIs" dxfId="3897" priority="503" operator="between">
      <formula>0.1251</formula>
      <formula>0.1875</formula>
    </cfRule>
    <cfRule type="cellIs" dxfId="3896" priority="504" operator="greaterThan">
      <formula>0.25</formula>
    </cfRule>
    <cfRule type="cellIs" dxfId="3895" priority="505" operator="between">
      <formula>0.2375</formula>
      <formula>0.25</formula>
    </cfRule>
    <cfRule type="cellIs" dxfId="3894" priority="506" stopIfTrue="1" operator="between">
      <formula>0</formula>
      <formula>0.125</formula>
    </cfRule>
  </conditionalFormatting>
  <conditionalFormatting sqref="L290">
    <cfRule type="cellIs" dxfId="3893" priority="497" operator="between">
      <formula>0.76</formula>
      <formula>0.95</formula>
    </cfRule>
    <cfRule type="cellIs" dxfId="3892" priority="498" operator="between">
      <formula>0.51</formula>
      <formula>0.75</formula>
    </cfRule>
    <cfRule type="cellIs" dxfId="3891" priority="499" operator="greaterThan">
      <formula>1</formula>
    </cfRule>
    <cfRule type="cellIs" dxfId="3890" priority="500" operator="between">
      <formula>0.96</formula>
      <formula>1</formula>
    </cfRule>
    <cfRule type="cellIs" dxfId="3889" priority="501" stopIfTrue="1" operator="between">
      <formula>0</formula>
      <formula>0.5</formula>
    </cfRule>
  </conditionalFormatting>
  <conditionalFormatting sqref="K290">
    <cfRule type="cellIs" dxfId="3888" priority="492" operator="between">
      <formula>0.76</formula>
      <formula>0.95</formula>
    </cfRule>
    <cfRule type="cellIs" dxfId="3887" priority="493" operator="between">
      <formula>0.51</formula>
      <formula>0.75</formula>
    </cfRule>
    <cfRule type="cellIs" dxfId="3886" priority="494" operator="greaterThan">
      <formula>1</formula>
    </cfRule>
    <cfRule type="cellIs" dxfId="3885" priority="495" operator="between">
      <formula>0.96</formula>
      <formula>1</formula>
    </cfRule>
    <cfRule type="cellIs" dxfId="3884" priority="496" stopIfTrue="1" operator="between">
      <formula>0</formula>
      <formula>0.5</formula>
    </cfRule>
  </conditionalFormatting>
  <conditionalFormatting sqref="M291:M337 M339:M341">
    <cfRule type="cellIs" dxfId="3883" priority="487" operator="between">
      <formula>0.1876</formula>
      <formula>0.2375</formula>
    </cfRule>
    <cfRule type="cellIs" dxfId="3882" priority="488" operator="between">
      <formula>0.1251</formula>
      <formula>0.1875</formula>
    </cfRule>
    <cfRule type="cellIs" dxfId="3881" priority="489" operator="greaterThan">
      <formula>0.25</formula>
    </cfRule>
    <cfRule type="cellIs" dxfId="3880" priority="490" operator="between">
      <formula>0.2376</formula>
      <formula>0.25</formula>
    </cfRule>
    <cfRule type="cellIs" dxfId="3879" priority="491" stopIfTrue="1" operator="between">
      <formula>0</formula>
      <formula>0.125</formula>
    </cfRule>
  </conditionalFormatting>
  <conditionalFormatting sqref="N291:N337 N339:N341">
    <cfRule type="cellIs" dxfId="3878" priority="482" operator="between">
      <formula>0.1876</formula>
      <formula>0.2375</formula>
    </cfRule>
    <cfRule type="cellIs" dxfId="3877" priority="483" operator="between">
      <formula>0.1251</formula>
      <formula>0.1875</formula>
    </cfRule>
    <cfRule type="cellIs" dxfId="3876" priority="484" operator="greaterThan">
      <formula>0.25</formula>
    </cfRule>
    <cfRule type="cellIs" dxfId="3875" priority="485" operator="between">
      <formula>0.2376</formula>
      <formula>0.25</formula>
    </cfRule>
    <cfRule type="cellIs" dxfId="3874" priority="486" stopIfTrue="1" operator="between">
      <formula>0</formula>
      <formula>0.125</formula>
    </cfRule>
  </conditionalFormatting>
  <conditionalFormatting sqref="O292:O337 O339:O341">
    <cfRule type="cellIs" dxfId="3873" priority="477" operator="between">
      <formula>0.1876</formula>
      <formula>0.2375</formula>
    </cfRule>
    <cfRule type="cellIs" dxfId="3872" priority="478" operator="between">
      <formula>0.1251</formula>
      <formula>0.1875</formula>
    </cfRule>
    <cfRule type="cellIs" dxfId="3871" priority="479" operator="greaterThan">
      <formula>0.25</formula>
    </cfRule>
    <cfRule type="cellIs" dxfId="3870" priority="480" operator="between">
      <formula>0.2375</formula>
      <formula>0.25</formula>
    </cfRule>
    <cfRule type="cellIs" dxfId="3869" priority="481" stopIfTrue="1" operator="between">
      <formula>0</formula>
      <formula>0.125</formula>
    </cfRule>
  </conditionalFormatting>
  <conditionalFormatting sqref="L292:L337 L339:L341">
    <cfRule type="cellIs" dxfId="3868" priority="472" operator="between">
      <formula>0.76</formula>
      <formula>0.95</formula>
    </cfRule>
    <cfRule type="cellIs" dxfId="3867" priority="473" operator="between">
      <formula>0.51</formula>
      <formula>0.75</formula>
    </cfRule>
    <cfRule type="cellIs" dxfId="3866" priority="474" operator="greaterThan">
      <formula>1</formula>
    </cfRule>
    <cfRule type="cellIs" dxfId="3865" priority="475" operator="between">
      <formula>0.96</formula>
      <formula>1</formula>
    </cfRule>
    <cfRule type="cellIs" dxfId="3864" priority="476" stopIfTrue="1" operator="between">
      <formula>0</formula>
      <formula>0.5</formula>
    </cfRule>
  </conditionalFormatting>
  <conditionalFormatting sqref="K291:K337 K339:K341">
    <cfRule type="cellIs" dxfId="3863" priority="467" operator="between">
      <formula>0.76</formula>
      <formula>0.95</formula>
    </cfRule>
    <cfRule type="cellIs" dxfId="3862" priority="468" operator="between">
      <formula>0.51</formula>
      <formula>0.75</formula>
    </cfRule>
    <cfRule type="cellIs" dxfId="3861" priority="469" operator="greaterThan">
      <formula>1</formula>
    </cfRule>
    <cfRule type="cellIs" dxfId="3860" priority="470" operator="between">
      <formula>0.96</formula>
      <formula>1</formula>
    </cfRule>
    <cfRule type="cellIs" dxfId="3859" priority="471" stopIfTrue="1" operator="between">
      <formula>0</formula>
      <formula>0.5</formula>
    </cfRule>
  </conditionalFormatting>
  <conditionalFormatting sqref="N342:O342">
    <cfRule type="cellIs" dxfId="3858" priority="462" operator="between">
      <formula>0.1876</formula>
      <formula>0.2375</formula>
    </cfRule>
    <cfRule type="cellIs" dxfId="3857" priority="463" operator="between">
      <formula>0.1251</formula>
      <formula>0.1875</formula>
    </cfRule>
    <cfRule type="cellIs" dxfId="3856" priority="464" operator="greaterThan">
      <formula>0.25</formula>
    </cfRule>
    <cfRule type="cellIs" dxfId="3855" priority="465" operator="between">
      <formula>0.2376</formula>
      <formula>0.25</formula>
    </cfRule>
    <cfRule type="cellIs" dxfId="3854" priority="466" stopIfTrue="1" operator="between">
      <formula>0</formula>
      <formula>0.25</formula>
    </cfRule>
  </conditionalFormatting>
  <conditionalFormatting sqref="L343:L345">
    <cfRule type="cellIs" dxfId="3853" priority="457" operator="between">
      <formula>0.76</formula>
      <formula>0.95</formula>
    </cfRule>
    <cfRule type="cellIs" dxfId="3852" priority="458" operator="between">
      <formula>0.51</formula>
      <formula>0.75</formula>
    </cfRule>
    <cfRule type="cellIs" dxfId="3851" priority="459" operator="greaterThan">
      <formula>1</formula>
    </cfRule>
    <cfRule type="cellIs" dxfId="3850" priority="460" operator="between">
      <formula>0.96</formula>
      <formula>1</formula>
    </cfRule>
    <cfRule type="cellIs" dxfId="3849" priority="461" stopIfTrue="1" operator="between">
      <formula>0</formula>
      <formula>0.5</formula>
    </cfRule>
  </conditionalFormatting>
  <conditionalFormatting sqref="K343:K345">
    <cfRule type="cellIs" dxfId="3848" priority="452" operator="between">
      <formula>0.76</formula>
      <formula>0.95</formula>
    </cfRule>
    <cfRule type="cellIs" dxfId="3847" priority="453" operator="between">
      <formula>0.51</formula>
      <formula>0.75</formula>
    </cfRule>
    <cfRule type="cellIs" dxfId="3846" priority="454" operator="greaterThan">
      <formula>1</formula>
    </cfRule>
    <cfRule type="cellIs" dxfId="3845" priority="455" operator="between">
      <formula>0.96</formula>
      <formula>1</formula>
    </cfRule>
    <cfRule type="cellIs" dxfId="3844" priority="456" stopIfTrue="1" operator="between">
      <formula>0</formula>
      <formula>0.5</formula>
    </cfRule>
  </conditionalFormatting>
  <conditionalFormatting sqref="M343:M345">
    <cfRule type="cellIs" dxfId="3843" priority="447" operator="between">
      <formula>0.1876</formula>
      <formula>0.2375</formula>
    </cfRule>
    <cfRule type="cellIs" dxfId="3842" priority="448" operator="between">
      <formula>0.1251</formula>
      <formula>0.1875</formula>
    </cfRule>
    <cfRule type="cellIs" dxfId="3841" priority="449" operator="greaterThan">
      <formula>0.25</formula>
    </cfRule>
    <cfRule type="cellIs" dxfId="3840" priority="450" operator="between">
      <formula>0.2376</formula>
      <formula>0.25</formula>
    </cfRule>
    <cfRule type="cellIs" dxfId="3839" priority="451" stopIfTrue="1" operator="between">
      <formula>0</formula>
      <formula>0.25</formula>
    </cfRule>
  </conditionalFormatting>
  <conditionalFormatting sqref="N343:O344">
    <cfRule type="cellIs" dxfId="3838" priority="442" operator="between">
      <formula>0.1876</formula>
      <formula>0.2375</formula>
    </cfRule>
    <cfRule type="cellIs" dxfId="3837" priority="443" operator="between">
      <formula>0.1251</formula>
      <formula>0.1875</formula>
    </cfRule>
    <cfRule type="cellIs" dxfId="3836" priority="444" operator="greaterThan">
      <formula>0.25</formula>
    </cfRule>
    <cfRule type="cellIs" dxfId="3835" priority="445" operator="between">
      <formula>0.2376</formula>
      <formula>0.25</formula>
    </cfRule>
    <cfRule type="cellIs" dxfId="3834" priority="446" stopIfTrue="1" operator="between">
      <formula>0</formula>
      <formula>0.25</formula>
    </cfRule>
  </conditionalFormatting>
  <conditionalFormatting sqref="N345:O345">
    <cfRule type="cellIs" dxfId="3833" priority="422" operator="between">
      <formula>0.1876</formula>
      <formula>0.2375</formula>
    </cfRule>
    <cfRule type="cellIs" dxfId="3832" priority="423" operator="between">
      <formula>0.1251</formula>
      <formula>0.1875</formula>
    </cfRule>
    <cfRule type="cellIs" dxfId="3831" priority="424" operator="greaterThan">
      <formula>0.25</formula>
    </cfRule>
    <cfRule type="cellIs" dxfId="3830" priority="425" operator="between">
      <formula>0.2376</formula>
      <formula>0.25</formula>
    </cfRule>
    <cfRule type="cellIs" dxfId="3829" priority="426" stopIfTrue="1" operator="between">
      <formula>0</formula>
      <formula>0.25</formula>
    </cfRule>
  </conditionalFormatting>
  <conditionalFormatting sqref="L291">
    <cfRule type="cellIs" dxfId="3828" priority="417" operator="between">
      <formula>0.76</formula>
      <formula>0.95</formula>
    </cfRule>
    <cfRule type="cellIs" dxfId="3827" priority="418" operator="between">
      <formula>0.51</formula>
      <formula>0.75</formula>
    </cfRule>
    <cfRule type="cellIs" dxfId="3826" priority="419" operator="greaterThan">
      <formula>1</formula>
    </cfRule>
    <cfRule type="cellIs" dxfId="3825" priority="420" operator="between">
      <formula>0.96</formula>
      <formula>1</formula>
    </cfRule>
    <cfRule type="cellIs" dxfId="3824" priority="421" stopIfTrue="1" operator="between">
      <formula>0</formula>
      <formula>0.5</formula>
    </cfRule>
  </conditionalFormatting>
  <conditionalFormatting sqref="O291">
    <cfRule type="cellIs" dxfId="3823" priority="412" operator="between">
      <formula>0.1876</formula>
      <formula>0.2375</formula>
    </cfRule>
    <cfRule type="cellIs" dxfId="3822" priority="413" operator="between">
      <formula>0.1251</formula>
      <formula>0.1875</formula>
    </cfRule>
    <cfRule type="cellIs" dxfId="3821" priority="414" operator="greaterThan">
      <formula>0.25</formula>
    </cfRule>
    <cfRule type="cellIs" dxfId="3820" priority="415" operator="between">
      <formula>0.2375</formula>
      <formula>0.25</formula>
    </cfRule>
    <cfRule type="cellIs" dxfId="3819" priority="416" stopIfTrue="1" operator="between">
      <formula>0</formula>
      <formula>0.125</formula>
    </cfRule>
  </conditionalFormatting>
  <conditionalFormatting sqref="K266:L266">
    <cfRule type="cellIs" dxfId="3818" priority="407" operator="between">
      <formula>0.76</formula>
      <formula>0.95</formula>
    </cfRule>
    <cfRule type="cellIs" dxfId="3817" priority="408" operator="between">
      <formula>0.51</formula>
      <formula>0.75</formula>
    </cfRule>
    <cfRule type="cellIs" dxfId="3816" priority="409" operator="greaterThan">
      <formula>1</formula>
    </cfRule>
    <cfRule type="cellIs" dxfId="3815" priority="410" operator="between">
      <formula>0.96</formula>
      <formula>1</formula>
    </cfRule>
    <cfRule type="cellIs" dxfId="3814" priority="411" stopIfTrue="1" operator="between">
      <formula>0</formula>
      <formula>0.5</formula>
    </cfRule>
  </conditionalFormatting>
  <conditionalFormatting sqref="O266">
    <cfRule type="cellIs" dxfId="3813" priority="402" operator="between">
      <formula>0.1876</formula>
      <formula>0.2375</formula>
    </cfRule>
    <cfRule type="cellIs" dxfId="3812" priority="403" operator="between">
      <formula>0.1251</formula>
      <formula>0.1875</formula>
    </cfRule>
    <cfRule type="cellIs" dxfId="3811" priority="404" operator="greaterThan">
      <formula>0.25</formula>
    </cfRule>
    <cfRule type="cellIs" dxfId="3810" priority="405" operator="between">
      <formula>0.2375</formula>
      <formula>0.25</formula>
    </cfRule>
    <cfRule type="cellIs" dxfId="3809" priority="406" stopIfTrue="1" operator="between">
      <formula>0</formula>
      <formula>0.125</formula>
    </cfRule>
  </conditionalFormatting>
  <conditionalFormatting sqref="M266:N266">
    <cfRule type="cellIs" dxfId="3808" priority="397" operator="between">
      <formula>0.1876</formula>
      <formula>0.2375</formula>
    </cfRule>
    <cfRule type="cellIs" dxfId="3807" priority="398" operator="between">
      <formula>0.1251</formula>
      <formula>0.1875</formula>
    </cfRule>
    <cfRule type="cellIs" dxfId="3806" priority="399" operator="greaterThan">
      <formula>0.25</formula>
    </cfRule>
    <cfRule type="cellIs" dxfId="3805" priority="400" operator="between">
      <formula>0.2376</formula>
      <formula>0.25</formula>
    </cfRule>
    <cfRule type="cellIs" dxfId="3804" priority="401" stopIfTrue="1" operator="between">
      <formula>0</formula>
      <formula>0.125</formula>
    </cfRule>
  </conditionalFormatting>
  <conditionalFormatting sqref="Y266 AF266 R266 AH266:AI266">
    <cfRule type="cellIs" dxfId="3803" priority="392" operator="between">
      <formula>0.76</formula>
      <formula>0.95</formula>
    </cfRule>
    <cfRule type="cellIs" dxfId="3802" priority="393" operator="between">
      <formula>0.51</formula>
      <formula>0.75</formula>
    </cfRule>
    <cfRule type="cellIs" dxfId="3801" priority="394" operator="greaterThan">
      <formula>1</formula>
    </cfRule>
    <cfRule type="cellIs" dxfId="3800" priority="395" operator="between">
      <formula>0.95</formula>
      <formula>1</formula>
    </cfRule>
    <cfRule type="cellIs" dxfId="3799" priority="396" stopIfTrue="1" operator="between">
      <formula>0</formula>
      <formula>0.5</formula>
    </cfRule>
  </conditionalFormatting>
  <conditionalFormatting sqref="T266">
    <cfRule type="cellIs" dxfId="3798" priority="387" operator="between">
      <formula>0.3751</formula>
      <formula>0.475</formula>
    </cfRule>
    <cfRule type="cellIs" dxfId="3797" priority="388" operator="between">
      <formula>0.2551</formula>
      <formula>0.375</formula>
    </cfRule>
    <cfRule type="cellIs" dxfId="3796" priority="389" operator="greaterThan">
      <formula>0.505</formula>
    </cfRule>
    <cfRule type="cellIs" dxfId="3795" priority="390" operator="between">
      <formula>0.48</formula>
      <formula>0.5</formula>
    </cfRule>
    <cfRule type="cellIs" dxfId="3794" priority="391" stopIfTrue="1" operator="between">
      <formula>0</formula>
      <formula>0.255</formula>
    </cfRule>
  </conditionalFormatting>
  <conditionalFormatting sqref="AA266:AB266">
    <cfRule type="cellIs" dxfId="3793" priority="382" operator="between">
      <formula>0.56251</formula>
      <formula>0.7125</formula>
    </cfRule>
    <cfRule type="cellIs" dxfId="3792" priority="383" operator="between">
      <formula>0.3751</formula>
      <formula>0.5625</formula>
    </cfRule>
    <cfRule type="cellIs" dxfId="3791" priority="384" operator="greaterThan">
      <formula>0.751</formula>
    </cfRule>
    <cfRule type="cellIs" dxfId="3790" priority="385" operator="between">
      <formula>0.71251</formula>
      <formula>0.75</formula>
    </cfRule>
    <cfRule type="cellIs" dxfId="3789" priority="386" stopIfTrue="1" operator="between">
      <formula>0</formula>
      <formula>0.375</formula>
    </cfRule>
  </conditionalFormatting>
  <conditionalFormatting sqref="U266">
    <cfRule type="cellIs" dxfId="3788" priority="377" operator="between">
      <formula>0.376</formula>
      <formula>0.475</formula>
    </cfRule>
    <cfRule type="cellIs" dxfId="3787" priority="378" operator="between">
      <formula>0.2551</formula>
      <formula>0.3751</formula>
    </cfRule>
    <cfRule type="cellIs" dxfId="3786" priority="379" operator="greaterThan">
      <formula>0.505</formula>
    </cfRule>
    <cfRule type="cellIs" dxfId="3785" priority="380" operator="between">
      <formula>0.48</formula>
      <formula>0.5</formula>
    </cfRule>
    <cfRule type="cellIs" dxfId="3784" priority="381" stopIfTrue="1" operator="between">
      <formula>0</formula>
      <formula>0.255</formula>
    </cfRule>
  </conditionalFormatting>
  <conditionalFormatting sqref="AC266">
    <cfRule type="cellIs" dxfId="3783" priority="372" operator="between">
      <formula>0.56251</formula>
      <formula>0.7125</formula>
    </cfRule>
    <cfRule type="cellIs" dxfId="3782" priority="373" operator="between">
      <formula>0.3751</formula>
      <formula>0.5625</formula>
    </cfRule>
    <cfRule type="cellIs" dxfId="3781" priority="374" operator="greaterThan">
      <formula>0.751</formula>
    </cfRule>
    <cfRule type="cellIs" dxfId="3780" priority="375" operator="between">
      <formula>0.71251</formula>
      <formula>0.75</formula>
    </cfRule>
    <cfRule type="cellIs" dxfId="3779" priority="376" stopIfTrue="1" operator="between">
      <formula>0</formula>
      <formula>0.375</formula>
    </cfRule>
  </conditionalFormatting>
  <conditionalFormatting sqref="V266">
    <cfRule type="cellIs" dxfId="3778" priority="367" operator="between">
      <formula>0.376</formula>
      <formula>0.475</formula>
    </cfRule>
    <cfRule type="cellIs" dxfId="3777" priority="368" operator="between">
      <formula>0.2551</formula>
      <formula>0.3751</formula>
    </cfRule>
    <cfRule type="cellIs" dxfId="3776" priority="369" operator="greaterThan">
      <formula>0.505</formula>
    </cfRule>
    <cfRule type="cellIs" dxfId="3775" priority="370" operator="between">
      <formula>0.48</formula>
      <formula>0.5</formula>
    </cfRule>
    <cfRule type="cellIs" dxfId="3774" priority="371" stopIfTrue="1" operator="between">
      <formula>0</formula>
      <formula>0.255</formula>
    </cfRule>
  </conditionalFormatting>
  <conditionalFormatting sqref="S266">
    <cfRule type="cellIs" dxfId="3773" priority="362" operator="between">
      <formula>0.76</formula>
      <formula>0.95</formula>
    </cfRule>
    <cfRule type="cellIs" dxfId="3772" priority="363" operator="between">
      <formula>0.51</formula>
      <formula>0.75</formula>
    </cfRule>
    <cfRule type="cellIs" dxfId="3771" priority="364" operator="greaterThan">
      <formula>1</formula>
    </cfRule>
    <cfRule type="cellIs" dxfId="3770" priority="365" operator="between">
      <formula>0.95</formula>
      <formula>1</formula>
    </cfRule>
    <cfRule type="cellIs" dxfId="3769" priority="366" stopIfTrue="1" operator="between">
      <formula>0</formula>
      <formula>0.5</formula>
    </cfRule>
  </conditionalFormatting>
  <conditionalFormatting sqref="Z266">
    <cfRule type="cellIs" dxfId="3768" priority="357" operator="between">
      <formula>0.76</formula>
      <formula>0.95</formula>
    </cfRule>
    <cfRule type="cellIs" dxfId="3767" priority="358" operator="between">
      <formula>0.51</formula>
      <formula>0.75</formula>
    </cfRule>
    <cfRule type="cellIs" dxfId="3766" priority="359" operator="greaterThan">
      <formula>1</formula>
    </cfRule>
    <cfRule type="cellIs" dxfId="3765" priority="360" operator="between">
      <formula>0.95</formula>
      <formula>1</formula>
    </cfRule>
    <cfRule type="cellIs" dxfId="3764" priority="361" stopIfTrue="1" operator="between">
      <formula>0</formula>
      <formula>0.5</formula>
    </cfRule>
  </conditionalFormatting>
  <conditionalFormatting sqref="AG266">
    <cfRule type="cellIs" dxfId="3763" priority="352" operator="between">
      <formula>0.76</formula>
      <formula>0.95</formula>
    </cfRule>
    <cfRule type="cellIs" dxfId="3762" priority="353" operator="between">
      <formula>0.51</formula>
      <formula>0.75</formula>
    </cfRule>
    <cfRule type="cellIs" dxfId="3761" priority="354" operator="greaterThan">
      <formula>1</formula>
    </cfRule>
    <cfRule type="cellIs" dxfId="3760" priority="355" operator="between">
      <formula>0.95</formula>
      <formula>1</formula>
    </cfRule>
    <cfRule type="cellIs" dxfId="3759" priority="356" stopIfTrue="1" operator="between">
      <formula>0</formula>
      <formula>0.5</formula>
    </cfRule>
  </conditionalFormatting>
  <conditionalFormatting sqref="K170:L170">
    <cfRule type="cellIs" dxfId="3758" priority="335" operator="between">
      <formula>0.76</formula>
      <formula>0.95</formula>
    </cfRule>
    <cfRule type="cellIs" dxfId="3757" priority="336" operator="between">
      <formula>0.51</formula>
      <formula>0.75</formula>
    </cfRule>
    <cfRule type="cellIs" dxfId="3756" priority="337" operator="greaterThan">
      <formula>1</formula>
    </cfRule>
    <cfRule type="cellIs" dxfId="3755" priority="338" operator="between">
      <formula>0.96</formula>
      <formula>1</formula>
    </cfRule>
    <cfRule type="cellIs" dxfId="3754" priority="339" stopIfTrue="1" operator="between">
      <formula>0</formula>
      <formula>0.5</formula>
    </cfRule>
  </conditionalFormatting>
  <conditionalFormatting sqref="R170 Y170 AF170 AH170:AI170">
    <cfRule type="cellIs" dxfId="3753" priority="330" operator="between">
      <formula>0.76</formula>
      <formula>0.95</formula>
    </cfRule>
    <cfRule type="cellIs" dxfId="3752" priority="331" operator="between">
      <formula>0.51</formula>
      <formula>0.75</formula>
    </cfRule>
    <cfRule type="cellIs" dxfId="3751" priority="332" operator="greaterThan">
      <formula>1</formula>
    </cfRule>
    <cfRule type="cellIs" dxfId="3750" priority="333" operator="between">
      <formula>0.95</formula>
      <formula>1</formula>
    </cfRule>
    <cfRule type="cellIs" dxfId="3749" priority="334" stopIfTrue="1" operator="between">
      <formula>0</formula>
      <formula>0.5</formula>
    </cfRule>
  </conditionalFormatting>
  <conditionalFormatting sqref="T170">
    <cfRule type="cellIs" dxfId="3748" priority="325" operator="between">
      <formula>0.3751</formula>
      <formula>0.475</formula>
    </cfRule>
    <cfRule type="cellIs" dxfId="3747" priority="326" operator="between">
      <formula>0.2551</formula>
      <formula>0.375</formula>
    </cfRule>
    <cfRule type="cellIs" dxfId="3746" priority="327" operator="greaterThan">
      <formula>0.505</formula>
    </cfRule>
    <cfRule type="cellIs" dxfId="3745" priority="328" operator="between">
      <formula>0.48</formula>
      <formula>0.5</formula>
    </cfRule>
    <cfRule type="cellIs" dxfId="3744" priority="329" stopIfTrue="1" operator="between">
      <formula>0</formula>
      <formula>0.255</formula>
    </cfRule>
  </conditionalFormatting>
  <conditionalFormatting sqref="AA170:AB170">
    <cfRule type="cellIs" dxfId="3743" priority="320" operator="between">
      <formula>0.56251</formula>
      <formula>0.7125</formula>
    </cfRule>
    <cfRule type="cellIs" dxfId="3742" priority="321" operator="between">
      <formula>0.3751</formula>
      <formula>0.5625</formula>
    </cfRule>
    <cfRule type="cellIs" dxfId="3741" priority="322" operator="greaterThan">
      <formula>0.751</formula>
    </cfRule>
    <cfRule type="cellIs" dxfId="3740" priority="323" operator="between">
      <formula>0.71251</formula>
      <formula>0.75</formula>
    </cfRule>
    <cfRule type="cellIs" dxfId="3739" priority="324" stopIfTrue="1" operator="between">
      <formula>0</formula>
      <formula>0.375</formula>
    </cfRule>
  </conditionalFormatting>
  <conditionalFormatting sqref="U170">
    <cfRule type="cellIs" dxfId="3738" priority="315" operator="between">
      <formula>0.376</formula>
      <formula>0.475</formula>
    </cfRule>
    <cfRule type="cellIs" dxfId="3737" priority="316" operator="between">
      <formula>0.2551</formula>
      <formula>0.3751</formula>
    </cfRule>
    <cfRule type="cellIs" dxfId="3736" priority="317" operator="greaterThan">
      <formula>0.505</formula>
    </cfRule>
    <cfRule type="cellIs" dxfId="3735" priority="318" operator="between">
      <formula>0.48</formula>
      <formula>0.5</formula>
    </cfRule>
    <cfRule type="cellIs" dxfId="3734" priority="319" stopIfTrue="1" operator="between">
      <formula>0</formula>
      <formula>0.255</formula>
    </cfRule>
  </conditionalFormatting>
  <conditionalFormatting sqref="AG170">
    <cfRule type="cellIs" dxfId="3733" priority="307" operator="between">
      <formula>0.76</formula>
      <formula>0.95</formula>
    </cfRule>
    <cfRule type="cellIs" dxfId="3732" priority="308" operator="between">
      <formula>0.51</formula>
      <formula>0.75</formula>
    </cfRule>
    <cfRule type="cellIs" dxfId="3731" priority="309" operator="greaterThan">
      <formula>1</formula>
    </cfRule>
    <cfRule type="cellIs" dxfId="3730" priority="310" operator="between">
      <formula>0.95</formula>
      <formula>1</formula>
    </cfRule>
    <cfRule type="cellIs" dxfId="3729" priority="311" stopIfTrue="1" operator="between">
      <formula>0</formula>
      <formula>0.5</formula>
    </cfRule>
  </conditionalFormatting>
  <conditionalFormatting sqref="Z170">
    <cfRule type="cellIs" dxfId="3728" priority="302" operator="between">
      <formula>0.76</formula>
      <formula>0.95</formula>
    </cfRule>
    <cfRule type="cellIs" dxfId="3727" priority="303" operator="between">
      <formula>0.51</formula>
      <formula>0.75</formula>
    </cfRule>
    <cfRule type="cellIs" dxfId="3726" priority="304" operator="greaterThan">
      <formula>1</formula>
    </cfRule>
    <cfRule type="cellIs" dxfId="3725" priority="305" operator="between">
      <formula>0.95</formula>
      <formula>1</formula>
    </cfRule>
    <cfRule type="cellIs" dxfId="3724" priority="306" stopIfTrue="1" operator="between">
      <formula>0</formula>
      <formula>0.5</formula>
    </cfRule>
  </conditionalFormatting>
  <conditionalFormatting sqref="AC170">
    <cfRule type="cellIs" dxfId="3723" priority="297" operator="between">
      <formula>0.56251</formula>
      <formula>0.7125</formula>
    </cfRule>
    <cfRule type="cellIs" dxfId="3722" priority="298" operator="between">
      <formula>0.3751</formula>
      <formula>0.5625</formula>
    </cfRule>
    <cfRule type="cellIs" dxfId="3721" priority="299" operator="greaterThan">
      <formula>0.751</formula>
    </cfRule>
    <cfRule type="cellIs" dxfId="3720" priority="300" operator="between">
      <formula>0.71251</formula>
      <formula>0.75</formula>
    </cfRule>
    <cfRule type="cellIs" dxfId="3719" priority="301" stopIfTrue="1" operator="between">
      <formula>0</formula>
      <formula>0.375</formula>
    </cfRule>
  </conditionalFormatting>
  <conditionalFormatting sqref="S170">
    <cfRule type="cellIs" dxfId="3718" priority="292" operator="between">
      <formula>0.76</formula>
      <formula>0.95</formula>
    </cfRule>
    <cfRule type="cellIs" dxfId="3717" priority="293" operator="between">
      <formula>0.51</formula>
      <formula>0.75</formula>
    </cfRule>
    <cfRule type="cellIs" dxfId="3716" priority="294" operator="greaterThan">
      <formula>1</formula>
    </cfRule>
    <cfRule type="cellIs" dxfId="3715" priority="295" operator="between">
      <formula>0.95</formula>
      <formula>1</formula>
    </cfRule>
    <cfRule type="cellIs" dxfId="3714" priority="296" stopIfTrue="1" operator="between">
      <formula>0</formula>
      <formula>0.5</formula>
    </cfRule>
  </conditionalFormatting>
  <conditionalFormatting sqref="V170">
    <cfRule type="cellIs" dxfId="3713" priority="287" operator="between">
      <formula>0.376</formula>
      <formula>0.475</formula>
    </cfRule>
    <cfRule type="cellIs" dxfId="3712" priority="288" operator="between">
      <formula>0.2551</formula>
      <formula>0.3751</formula>
    </cfRule>
    <cfRule type="cellIs" dxfId="3711" priority="289" operator="greaterThan">
      <formula>0.505</formula>
    </cfRule>
    <cfRule type="cellIs" dxfId="3710" priority="290" operator="between">
      <formula>0.48</formula>
      <formula>0.5</formula>
    </cfRule>
    <cfRule type="cellIs" dxfId="3709" priority="291" stopIfTrue="1" operator="between">
      <formula>0</formula>
      <formula>0.255</formula>
    </cfRule>
  </conditionalFormatting>
  <conditionalFormatting sqref="M170">
    <cfRule type="cellIs" dxfId="3708" priority="282" operator="between">
      <formula>0.1876</formula>
      <formula>0.2375</formula>
    </cfRule>
    <cfRule type="cellIs" dxfId="3707" priority="283" operator="between">
      <formula>0.1251</formula>
      <formula>0.1875</formula>
    </cfRule>
    <cfRule type="cellIs" dxfId="3706" priority="284" operator="greaterThan">
      <formula>0.25</formula>
    </cfRule>
    <cfRule type="cellIs" dxfId="3705" priority="285" operator="between">
      <formula>0.2376</formula>
      <formula>0.25</formula>
    </cfRule>
    <cfRule type="cellIs" dxfId="3704" priority="286" stopIfTrue="1" operator="between">
      <formula>0</formula>
      <formula>0.125</formula>
    </cfRule>
  </conditionalFormatting>
  <conditionalFormatting sqref="N170">
    <cfRule type="cellIs" dxfId="3703" priority="277" operator="between">
      <formula>0.1876</formula>
      <formula>0.2375</formula>
    </cfRule>
    <cfRule type="cellIs" dxfId="3702" priority="278" operator="between">
      <formula>0.1251</formula>
      <formula>0.1875</formula>
    </cfRule>
    <cfRule type="cellIs" dxfId="3701" priority="279" operator="greaterThan">
      <formula>0.25</formula>
    </cfRule>
    <cfRule type="cellIs" dxfId="3700" priority="280" operator="between">
      <formula>0.2376</formula>
      <formula>0.25</formula>
    </cfRule>
    <cfRule type="cellIs" dxfId="3699" priority="281" stopIfTrue="1" operator="between">
      <formula>0</formula>
      <formula>0.125</formula>
    </cfRule>
  </conditionalFormatting>
  <conditionalFormatting sqref="O170">
    <cfRule type="cellIs" dxfId="3698" priority="272" operator="between">
      <formula>0.1876</formula>
      <formula>0.2375</formula>
    </cfRule>
    <cfRule type="cellIs" dxfId="3697" priority="273" operator="between">
      <formula>0.1251</formula>
      <formula>0.1875</formula>
    </cfRule>
    <cfRule type="cellIs" dxfId="3696" priority="274" operator="greaterThan">
      <formula>0.25</formula>
    </cfRule>
    <cfRule type="cellIs" dxfId="3695" priority="275" operator="between">
      <formula>0.2375</formula>
      <formula>0.25</formula>
    </cfRule>
    <cfRule type="cellIs" dxfId="3694" priority="276" stopIfTrue="1" operator="between">
      <formula>0</formula>
      <formula>0.125</formula>
    </cfRule>
  </conditionalFormatting>
  <conditionalFormatting sqref="M171">
    <cfRule type="cellIs" dxfId="3693" priority="151" operator="between">
      <formula>0.1876</formula>
      <formula>0.2375</formula>
    </cfRule>
    <cfRule type="cellIs" dxfId="3692" priority="152" operator="between">
      <formula>0.1251</formula>
      <formula>0.1875</formula>
    </cfRule>
    <cfRule type="cellIs" dxfId="3691" priority="153" operator="greaterThan">
      <formula>0.25</formula>
    </cfRule>
    <cfRule type="cellIs" dxfId="3690" priority="154" operator="between">
      <formula>0.2376</formula>
      <formula>0.25</formula>
    </cfRule>
    <cfRule type="cellIs" dxfId="3689" priority="155" stopIfTrue="1" operator="between">
      <formula>0</formula>
      <formula>0.125</formula>
    </cfRule>
  </conditionalFormatting>
  <conditionalFormatting sqref="N171">
    <cfRule type="cellIs" dxfId="3688" priority="146" operator="between">
      <formula>0.1876</formula>
      <formula>0.2375</formula>
    </cfRule>
    <cfRule type="cellIs" dxfId="3687" priority="147" operator="between">
      <formula>0.1251</formula>
      <formula>0.1875</formula>
    </cfRule>
    <cfRule type="cellIs" dxfId="3686" priority="148" operator="greaterThan">
      <formula>0.25</formula>
    </cfRule>
    <cfRule type="cellIs" dxfId="3685" priority="149" operator="between">
      <formula>0.2376</formula>
      <formula>0.25</formula>
    </cfRule>
    <cfRule type="cellIs" dxfId="3684" priority="150" stopIfTrue="1" operator="between">
      <formula>0</formula>
      <formula>0.125</formula>
    </cfRule>
  </conditionalFormatting>
  <conditionalFormatting sqref="O171">
    <cfRule type="cellIs" dxfId="3683" priority="141" operator="between">
      <formula>0.1876</formula>
      <formula>0.2375</formula>
    </cfRule>
    <cfRule type="cellIs" dxfId="3682" priority="142" operator="between">
      <formula>0.1251</formula>
      <formula>0.1875</formula>
    </cfRule>
    <cfRule type="cellIs" dxfId="3681" priority="143" operator="greaterThan">
      <formula>0.25</formula>
    </cfRule>
    <cfRule type="cellIs" dxfId="3680" priority="144" operator="between">
      <formula>0.2375</formula>
      <formula>0.25</formula>
    </cfRule>
    <cfRule type="cellIs" dxfId="3679" priority="145" stopIfTrue="1" operator="between">
      <formula>0</formula>
      <formula>0.125</formula>
    </cfRule>
  </conditionalFormatting>
  <conditionalFormatting sqref="S171">
    <cfRule type="cellIs" dxfId="3678" priority="136" operator="between">
      <formula>0.76</formula>
      <formula>0.95</formula>
    </cfRule>
    <cfRule type="cellIs" dxfId="3677" priority="137" operator="between">
      <formula>0.51</formula>
      <formula>0.75</formula>
    </cfRule>
    <cfRule type="cellIs" dxfId="3676" priority="138" operator="greaterThan">
      <formula>1</formula>
    </cfRule>
    <cfRule type="cellIs" dxfId="3675" priority="139" operator="between">
      <formula>0.95</formula>
      <formula>1</formula>
    </cfRule>
    <cfRule type="cellIs" dxfId="3674" priority="140" stopIfTrue="1" operator="between">
      <formula>0</formula>
      <formula>0.5</formula>
    </cfRule>
  </conditionalFormatting>
  <conditionalFormatting sqref="V171">
    <cfRule type="cellIs" dxfId="3673" priority="131" operator="between">
      <formula>0.376</formula>
      <formula>0.475</formula>
    </cfRule>
    <cfRule type="cellIs" dxfId="3672" priority="132" operator="between">
      <formula>0.2551</formula>
      <formula>0.3751</formula>
    </cfRule>
    <cfRule type="cellIs" dxfId="3671" priority="133" operator="greaterThan">
      <formula>0.505</formula>
    </cfRule>
    <cfRule type="cellIs" dxfId="3670" priority="134" operator="between">
      <formula>0.48</formula>
      <formula>0.5</formula>
    </cfRule>
    <cfRule type="cellIs" dxfId="3669" priority="135" stopIfTrue="1" operator="between">
      <formula>0</formula>
      <formula>0.255</formula>
    </cfRule>
  </conditionalFormatting>
  <conditionalFormatting sqref="AG171">
    <cfRule type="cellIs" dxfId="3668" priority="126" operator="between">
      <formula>0.76</formula>
      <formula>0.95</formula>
    </cfRule>
    <cfRule type="cellIs" dxfId="3667" priority="127" operator="between">
      <formula>0.51</formula>
      <formula>0.75</formula>
    </cfRule>
    <cfRule type="cellIs" dxfId="3666" priority="128" operator="greaterThan">
      <formula>1</formula>
    </cfRule>
    <cfRule type="cellIs" dxfId="3665" priority="129" operator="between">
      <formula>0.95</formula>
      <formula>1</formula>
    </cfRule>
    <cfRule type="cellIs" dxfId="3664" priority="130" stopIfTrue="1" operator="between">
      <formula>0</formula>
      <formula>0.5</formula>
    </cfRule>
  </conditionalFormatting>
  <conditionalFormatting sqref="K171:L171">
    <cfRule type="cellIs" dxfId="3663" priority="204" operator="between">
      <formula>0.76</formula>
      <formula>0.95</formula>
    </cfRule>
    <cfRule type="cellIs" dxfId="3662" priority="205" operator="between">
      <formula>0.51</formula>
      <formula>0.75</formula>
    </cfRule>
    <cfRule type="cellIs" dxfId="3661" priority="206" operator="greaterThan">
      <formula>1</formula>
    </cfRule>
    <cfRule type="cellIs" dxfId="3660" priority="207" operator="between">
      <formula>0.96</formula>
      <formula>1</formula>
    </cfRule>
    <cfRule type="cellIs" dxfId="3659" priority="208" stopIfTrue="1" operator="between">
      <formula>0</formula>
      <formula>0.5</formula>
    </cfRule>
  </conditionalFormatting>
  <conditionalFormatting sqref="R171 Y171 AF171 AH171:AI171">
    <cfRule type="cellIs" dxfId="3658" priority="199" operator="between">
      <formula>0.76</formula>
      <formula>0.95</formula>
    </cfRule>
    <cfRule type="cellIs" dxfId="3657" priority="200" operator="between">
      <formula>0.51</formula>
      <formula>0.75</formula>
    </cfRule>
    <cfRule type="cellIs" dxfId="3656" priority="201" operator="greaterThan">
      <formula>1</formula>
    </cfRule>
    <cfRule type="cellIs" dxfId="3655" priority="202" operator="between">
      <formula>0.95</formula>
      <formula>1</formula>
    </cfRule>
    <cfRule type="cellIs" dxfId="3654" priority="203" stopIfTrue="1" operator="between">
      <formula>0</formula>
      <formula>0.5</formula>
    </cfRule>
  </conditionalFormatting>
  <conditionalFormatting sqref="T171">
    <cfRule type="cellIs" dxfId="3653" priority="194" operator="between">
      <formula>0.3751</formula>
      <formula>0.475</formula>
    </cfRule>
    <cfRule type="cellIs" dxfId="3652" priority="195" operator="between">
      <formula>0.2551</formula>
      <formula>0.375</formula>
    </cfRule>
    <cfRule type="cellIs" dxfId="3651" priority="196" operator="greaterThan">
      <formula>0.505</formula>
    </cfRule>
    <cfRule type="cellIs" dxfId="3650" priority="197" operator="between">
      <formula>0.48</formula>
      <formula>0.5</formula>
    </cfRule>
    <cfRule type="cellIs" dxfId="3649" priority="198" stopIfTrue="1" operator="between">
      <formula>0</formula>
      <formula>0.255</formula>
    </cfRule>
  </conditionalFormatting>
  <conditionalFormatting sqref="AA171:AB171">
    <cfRule type="cellIs" dxfId="3648" priority="189" operator="between">
      <formula>0.56251</formula>
      <formula>0.7125</formula>
    </cfRule>
    <cfRule type="cellIs" dxfId="3647" priority="190" operator="between">
      <formula>0.3751</formula>
      <formula>0.5625</formula>
    </cfRule>
    <cfRule type="cellIs" dxfId="3646" priority="191" operator="greaterThan">
      <formula>0.751</formula>
    </cfRule>
    <cfRule type="cellIs" dxfId="3645" priority="192" operator="between">
      <formula>0.71251</formula>
      <formula>0.75</formula>
    </cfRule>
    <cfRule type="cellIs" dxfId="3644" priority="193" stopIfTrue="1" operator="between">
      <formula>0</formula>
      <formula>0.375</formula>
    </cfRule>
  </conditionalFormatting>
  <conditionalFormatting sqref="U171">
    <cfRule type="cellIs" dxfId="3643" priority="184" operator="between">
      <formula>0.376</formula>
      <formula>0.475</formula>
    </cfRule>
    <cfRule type="cellIs" dxfId="3642" priority="185" operator="between">
      <formula>0.2551</formula>
      <formula>0.3751</formula>
    </cfRule>
    <cfRule type="cellIs" dxfId="3641" priority="186" operator="greaterThan">
      <formula>0.505</formula>
    </cfRule>
    <cfRule type="cellIs" dxfId="3640" priority="187" operator="between">
      <formula>0.48</formula>
      <formula>0.5</formula>
    </cfRule>
    <cfRule type="cellIs" dxfId="3639" priority="188" stopIfTrue="1" operator="between">
      <formula>0</formula>
      <formula>0.255</formula>
    </cfRule>
  </conditionalFormatting>
  <conditionalFormatting sqref="Z171">
    <cfRule type="cellIs" dxfId="3638" priority="171" operator="between">
      <formula>0.76</formula>
      <formula>0.95</formula>
    </cfRule>
    <cfRule type="cellIs" dxfId="3637" priority="172" operator="between">
      <formula>0.51</formula>
      <formula>0.75</formula>
    </cfRule>
    <cfRule type="cellIs" dxfId="3636" priority="173" operator="greaterThan">
      <formula>1</formula>
    </cfRule>
    <cfRule type="cellIs" dxfId="3635" priority="174" operator="between">
      <formula>0.95</formula>
      <formula>1</formula>
    </cfRule>
    <cfRule type="cellIs" dxfId="3634" priority="175" stopIfTrue="1" operator="between">
      <formula>0</formula>
      <formula>0.5</formula>
    </cfRule>
  </conditionalFormatting>
  <conditionalFormatting sqref="AC171">
    <cfRule type="cellIs" dxfId="3633" priority="166" operator="between">
      <formula>0.56251</formula>
      <formula>0.7125</formula>
    </cfRule>
    <cfRule type="cellIs" dxfId="3632" priority="167" operator="between">
      <formula>0.3751</formula>
      <formula>0.5625</formula>
    </cfRule>
    <cfRule type="cellIs" dxfId="3631" priority="168" operator="greaterThan">
      <formula>0.751</formula>
    </cfRule>
    <cfRule type="cellIs" dxfId="3630" priority="169" operator="between">
      <formula>0.71251</formula>
      <formula>0.75</formula>
    </cfRule>
    <cfRule type="cellIs" dxfId="3629" priority="170" stopIfTrue="1" operator="between">
      <formula>0</formula>
      <formula>0.375</formula>
    </cfRule>
  </conditionalFormatting>
  <conditionalFormatting sqref="AI338">
    <cfRule type="cellIs" dxfId="3628" priority="121" operator="between">
      <formula>0.76</formula>
      <formula>0.95</formula>
    </cfRule>
    <cfRule type="cellIs" dxfId="3627" priority="122" operator="between">
      <formula>0.51</formula>
      <formula>0.75</formula>
    </cfRule>
    <cfRule type="cellIs" dxfId="3626" priority="123" operator="greaterThan">
      <formula>1</formula>
    </cfRule>
    <cfRule type="cellIs" dxfId="3625" priority="124" operator="between">
      <formula>0.95</formula>
      <formula>1</formula>
    </cfRule>
    <cfRule type="cellIs" dxfId="3624" priority="125" stopIfTrue="1" operator="between">
      <formula>0</formula>
      <formula>0.5</formula>
    </cfRule>
  </conditionalFormatting>
  <conditionalFormatting sqref="R338">
    <cfRule type="cellIs" dxfId="3623" priority="116" operator="between">
      <formula>0.76</formula>
      <formula>0.95</formula>
    </cfRule>
    <cfRule type="cellIs" dxfId="3622" priority="117" operator="between">
      <formula>0.51</formula>
      <formula>0.75</formula>
    </cfRule>
    <cfRule type="cellIs" dxfId="3621" priority="118" operator="greaterThan">
      <formula>1</formula>
    </cfRule>
    <cfRule type="cellIs" dxfId="3620" priority="119" operator="between">
      <formula>0.95</formula>
      <formula>1</formula>
    </cfRule>
    <cfRule type="cellIs" dxfId="3619" priority="120" stopIfTrue="1" operator="between">
      <formula>0</formula>
      <formula>0.5</formula>
    </cfRule>
  </conditionalFormatting>
  <conditionalFormatting sqref="Y338">
    <cfRule type="cellIs" dxfId="3618" priority="111" operator="between">
      <formula>0.76</formula>
      <formula>0.95</formula>
    </cfRule>
    <cfRule type="cellIs" dxfId="3617" priority="112" operator="between">
      <formula>0.51</formula>
      <formula>0.75</formula>
    </cfRule>
    <cfRule type="cellIs" dxfId="3616" priority="113" operator="greaterThan">
      <formula>1</formula>
    </cfRule>
    <cfRule type="cellIs" dxfId="3615" priority="114" operator="between">
      <formula>0.95</formula>
      <formula>1</formula>
    </cfRule>
    <cfRule type="cellIs" dxfId="3614" priority="115" stopIfTrue="1" operator="between">
      <formula>0</formula>
      <formula>0.5</formula>
    </cfRule>
  </conditionalFormatting>
  <conditionalFormatting sqref="AF338">
    <cfRule type="cellIs" dxfId="3613" priority="106" operator="between">
      <formula>0.76</formula>
      <formula>0.95</formula>
    </cfRule>
    <cfRule type="cellIs" dxfId="3612" priority="107" operator="between">
      <formula>0.51</formula>
      <formula>0.75</formula>
    </cfRule>
    <cfRule type="cellIs" dxfId="3611" priority="108" operator="greaterThan">
      <formula>1</formula>
    </cfRule>
    <cfRule type="cellIs" dxfId="3610" priority="109" operator="between">
      <formula>0.95</formula>
      <formula>1</formula>
    </cfRule>
    <cfRule type="cellIs" dxfId="3609" priority="110" stopIfTrue="1" operator="between">
      <formula>0</formula>
      <formula>0.5</formula>
    </cfRule>
  </conditionalFormatting>
  <conditionalFormatting sqref="AH338">
    <cfRule type="cellIs" dxfId="3608" priority="101" operator="between">
      <formula>0.76</formula>
      <formula>0.95</formula>
    </cfRule>
    <cfRule type="cellIs" dxfId="3607" priority="102" operator="between">
      <formula>0.51</formula>
      <formula>0.75</formula>
    </cfRule>
    <cfRule type="cellIs" dxfId="3606" priority="103" operator="greaterThan">
      <formula>1</formula>
    </cfRule>
    <cfRule type="cellIs" dxfId="3605" priority="104" operator="between">
      <formula>0.95</formula>
      <formula>1</formula>
    </cfRule>
    <cfRule type="cellIs" dxfId="3604" priority="105" stopIfTrue="1" operator="between">
      <formula>0</formula>
      <formula>0.5</formula>
    </cfRule>
  </conditionalFormatting>
  <conditionalFormatting sqref="T338">
    <cfRule type="cellIs" dxfId="3603" priority="96" operator="between">
      <formula>0.3751</formula>
      <formula>0.475</formula>
    </cfRule>
    <cfRule type="cellIs" dxfId="3602" priority="97" operator="between">
      <formula>0.2551</formula>
      <formula>0.375</formula>
    </cfRule>
    <cfRule type="cellIs" dxfId="3601" priority="98" operator="greaterThan">
      <formula>0.505</formula>
    </cfRule>
    <cfRule type="cellIs" dxfId="3600" priority="99" operator="between">
      <formula>0.48</formula>
      <formula>0.5</formula>
    </cfRule>
    <cfRule type="cellIs" dxfId="3599" priority="100" stopIfTrue="1" operator="between">
      <formula>0</formula>
      <formula>0.255</formula>
    </cfRule>
  </conditionalFormatting>
  <conditionalFormatting sqref="U338">
    <cfRule type="cellIs" dxfId="3598" priority="91" operator="between">
      <formula>0.376</formula>
      <formula>0.475</formula>
    </cfRule>
    <cfRule type="cellIs" dxfId="3597" priority="92" operator="between">
      <formula>0.2551</formula>
      <formula>0.3751</formula>
    </cfRule>
    <cfRule type="cellIs" dxfId="3596" priority="93" operator="greaterThan">
      <formula>0.505</formula>
    </cfRule>
    <cfRule type="cellIs" dxfId="3595" priority="94" operator="between">
      <formula>0.48</formula>
      <formula>0.5</formula>
    </cfRule>
    <cfRule type="cellIs" dxfId="3594" priority="95" stopIfTrue="1" operator="between">
      <formula>0</formula>
      <formula>0.255</formula>
    </cfRule>
  </conditionalFormatting>
  <conditionalFormatting sqref="AA338">
    <cfRule type="cellIs" dxfId="3593" priority="86" operator="between">
      <formula>0.56251</formula>
      <formula>0.7125</formula>
    </cfRule>
    <cfRule type="cellIs" dxfId="3592" priority="87" operator="between">
      <formula>0.3751</formula>
      <formula>0.5625</formula>
    </cfRule>
    <cfRule type="cellIs" dxfId="3591" priority="88" operator="greaterThan">
      <formula>0.751</formula>
    </cfRule>
    <cfRule type="cellIs" dxfId="3590" priority="89" operator="between">
      <formula>0.71251</formula>
      <formula>0.75</formula>
    </cfRule>
    <cfRule type="cellIs" dxfId="3589" priority="90" stopIfTrue="1" operator="between">
      <formula>0</formula>
      <formula>0.375</formula>
    </cfRule>
  </conditionalFormatting>
  <conditionalFormatting sqref="AB338">
    <cfRule type="cellIs" dxfId="3588" priority="81" operator="between">
      <formula>0.56251</formula>
      <formula>0.7125</formula>
    </cfRule>
    <cfRule type="cellIs" dxfId="3587" priority="82" operator="between">
      <formula>0.3751</formula>
      <formula>0.5625</formula>
    </cfRule>
    <cfRule type="cellIs" dxfId="3586" priority="83" operator="greaterThan">
      <formula>0.751</formula>
    </cfRule>
    <cfRule type="cellIs" dxfId="3585" priority="84" operator="between">
      <formula>0.71251</formula>
      <formula>0.75</formula>
    </cfRule>
    <cfRule type="cellIs" dxfId="3584" priority="85" stopIfTrue="1" operator="between">
      <formula>0</formula>
      <formula>0.375</formula>
    </cfRule>
  </conditionalFormatting>
  <conditionalFormatting sqref="S338">
    <cfRule type="cellIs" dxfId="3583" priority="71" operator="between">
      <formula>0.76</formula>
      <formula>0.95</formula>
    </cfRule>
    <cfRule type="cellIs" dxfId="3582" priority="72" operator="between">
      <formula>0.51</formula>
      <formula>0.75</formula>
    </cfRule>
    <cfRule type="cellIs" dxfId="3581" priority="73" operator="greaterThan">
      <formula>1</formula>
    </cfRule>
    <cfRule type="cellIs" dxfId="3580" priority="74" operator="between">
      <formula>0.95</formula>
      <formula>1</formula>
    </cfRule>
    <cfRule type="cellIs" dxfId="3579" priority="75" stopIfTrue="1" operator="between">
      <formula>0</formula>
      <formula>0.5</formula>
    </cfRule>
  </conditionalFormatting>
  <conditionalFormatting sqref="AG338">
    <cfRule type="cellIs" dxfId="3578" priority="76" operator="between">
      <formula>0.76</formula>
      <formula>0.95</formula>
    </cfRule>
    <cfRule type="cellIs" dxfId="3577" priority="77" operator="between">
      <formula>0.51</formula>
      <formula>0.75</formula>
    </cfRule>
    <cfRule type="cellIs" dxfId="3576" priority="78" operator="greaterThan">
      <formula>1</formula>
    </cfRule>
    <cfRule type="cellIs" dxfId="3575" priority="79" operator="between">
      <formula>0.95</formula>
      <formula>1</formula>
    </cfRule>
    <cfRule type="cellIs" dxfId="3574" priority="80" stopIfTrue="1" operator="between">
      <formula>0</formula>
      <formula>0.5</formula>
    </cfRule>
  </conditionalFormatting>
  <conditionalFormatting sqref="V338">
    <cfRule type="cellIs" dxfId="3573" priority="66" operator="between">
      <formula>0.376</formula>
      <formula>0.475</formula>
    </cfRule>
    <cfRule type="cellIs" dxfId="3572" priority="67" operator="between">
      <formula>0.2551</formula>
      <formula>0.3751</formula>
    </cfRule>
    <cfRule type="cellIs" dxfId="3571" priority="68" operator="greaterThan">
      <formula>0.505</formula>
    </cfRule>
    <cfRule type="cellIs" dxfId="3570" priority="69" operator="between">
      <formula>0.48</formula>
      <formula>0.5</formula>
    </cfRule>
    <cfRule type="cellIs" dxfId="3569" priority="70" stopIfTrue="1" operator="between">
      <formula>0</formula>
      <formula>0.255</formula>
    </cfRule>
  </conditionalFormatting>
  <conditionalFormatting sqref="Z338">
    <cfRule type="cellIs" dxfId="3568" priority="61" operator="between">
      <formula>0.76</formula>
      <formula>0.95</formula>
    </cfRule>
    <cfRule type="cellIs" dxfId="3567" priority="62" operator="between">
      <formula>0.51</formula>
      <formula>0.75</formula>
    </cfRule>
    <cfRule type="cellIs" dxfId="3566" priority="63" operator="greaterThan">
      <formula>1</formula>
    </cfRule>
    <cfRule type="cellIs" dxfId="3565" priority="64" operator="between">
      <formula>0.95</formula>
      <formula>1</formula>
    </cfRule>
    <cfRule type="cellIs" dxfId="3564" priority="65" stopIfTrue="1" operator="between">
      <formula>0</formula>
      <formula>0.5</formula>
    </cfRule>
  </conditionalFormatting>
  <conditionalFormatting sqref="AC338">
    <cfRule type="cellIs" dxfId="3563" priority="56" operator="between">
      <formula>0.56251</formula>
      <formula>0.7125</formula>
    </cfRule>
    <cfRule type="cellIs" dxfId="3562" priority="57" operator="between">
      <formula>0.3751</formula>
      <formula>0.5625</formula>
    </cfRule>
    <cfRule type="cellIs" dxfId="3561" priority="58" operator="greaterThan">
      <formula>0.751</formula>
    </cfRule>
    <cfRule type="cellIs" dxfId="3560" priority="59" operator="between">
      <formula>0.71251</formula>
      <formula>0.75</formula>
    </cfRule>
    <cfRule type="cellIs" dxfId="3559" priority="60" stopIfTrue="1" operator="between">
      <formula>0</formula>
      <formula>0.375</formula>
    </cfRule>
  </conditionalFormatting>
  <conditionalFormatting sqref="M338">
    <cfRule type="cellIs" dxfId="3558" priority="39" operator="between">
      <formula>0.1876</formula>
      <formula>0.2375</formula>
    </cfRule>
    <cfRule type="cellIs" dxfId="3557" priority="40" operator="between">
      <formula>0.1251</formula>
      <formula>0.1875</formula>
    </cfRule>
    <cfRule type="cellIs" dxfId="3556" priority="41" operator="greaterThan">
      <formula>0.25</formula>
    </cfRule>
    <cfRule type="cellIs" dxfId="3555" priority="42" operator="between">
      <formula>0.2376</formula>
      <formula>0.25</formula>
    </cfRule>
    <cfRule type="cellIs" dxfId="3554" priority="43" stopIfTrue="1" operator="between">
      <formula>0</formula>
      <formula>0.125</formula>
    </cfRule>
  </conditionalFormatting>
  <conditionalFormatting sqref="N338">
    <cfRule type="cellIs" dxfId="3553" priority="34" operator="between">
      <formula>0.1876</formula>
      <formula>0.2375</formula>
    </cfRule>
    <cfRule type="cellIs" dxfId="3552" priority="35" operator="between">
      <formula>0.1251</formula>
      <formula>0.1875</formula>
    </cfRule>
    <cfRule type="cellIs" dxfId="3551" priority="36" operator="greaterThan">
      <formula>0.25</formula>
    </cfRule>
    <cfRule type="cellIs" dxfId="3550" priority="37" operator="between">
      <formula>0.2376</formula>
      <formula>0.25</formula>
    </cfRule>
    <cfRule type="cellIs" dxfId="3549" priority="38" stopIfTrue="1" operator="between">
      <formula>0</formula>
      <formula>0.125</formula>
    </cfRule>
  </conditionalFormatting>
  <conditionalFormatting sqref="O338">
    <cfRule type="cellIs" dxfId="3548" priority="29" operator="between">
      <formula>0.1876</formula>
      <formula>0.2375</formula>
    </cfRule>
    <cfRule type="cellIs" dxfId="3547" priority="30" operator="between">
      <formula>0.1251</formula>
      <formula>0.1875</formula>
    </cfRule>
    <cfRule type="cellIs" dxfId="3546" priority="31" operator="greaterThan">
      <formula>0.25</formula>
    </cfRule>
    <cfRule type="cellIs" dxfId="3545" priority="32" operator="between">
      <formula>0.2375</formula>
      <formula>0.25</formula>
    </cfRule>
    <cfRule type="cellIs" dxfId="3544" priority="33" stopIfTrue="1" operator="between">
      <formula>0</formula>
      <formula>0.125</formula>
    </cfRule>
  </conditionalFormatting>
  <conditionalFormatting sqref="L338">
    <cfRule type="cellIs" dxfId="3543" priority="24" operator="between">
      <formula>0.76</formula>
      <formula>0.95</formula>
    </cfRule>
    <cfRule type="cellIs" dxfId="3542" priority="25" operator="between">
      <formula>0.51</formula>
      <formula>0.75</formula>
    </cfRule>
    <cfRule type="cellIs" dxfId="3541" priority="26" operator="greaterThan">
      <formula>1</formula>
    </cfRule>
    <cfRule type="cellIs" dxfId="3540" priority="27" operator="between">
      <formula>0.96</formula>
      <formula>1</formula>
    </cfRule>
    <cfRule type="cellIs" dxfId="3539" priority="28" stopIfTrue="1" operator="between">
      <formula>0</formula>
      <formula>0.5</formula>
    </cfRule>
  </conditionalFormatting>
  <conditionalFormatting sqref="K338">
    <cfRule type="cellIs" dxfId="3538" priority="19" operator="between">
      <formula>0.76</formula>
      <formula>0.95</formula>
    </cfRule>
    <cfRule type="cellIs" dxfId="3537" priority="20" operator="between">
      <formula>0.51</formula>
      <formula>0.75</formula>
    </cfRule>
    <cfRule type="cellIs" dxfId="3536" priority="21" operator="greaterThan">
      <formula>1</formula>
    </cfRule>
    <cfRule type="cellIs" dxfId="3535" priority="22" operator="between">
      <formula>0.96</formula>
      <formula>1</formula>
    </cfRule>
    <cfRule type="cellIs" dxfId="3534" priority="23" stopIfTrue="1" operator="between">
      <formula>0</formula>
      <formula>0.5</formula>
    </cfRule>
  </conditionalFormatting>
  <conditionalFormatting sqref="K36:L38">
    <cfRule type="cellIs" dxfId="3533" priority="14" operator="between">
      <formula>0.76</formula>
      <formula>0.95</formula>
    </cfRule>
    <cfRule type="cellIs" dxfId="3532" priority="15" operator="between">
      <formula>0.51</formula>
      <formula>0.75</formula>
    </cfRule>
    <cfRule type="cellIs" dxfId="3531" priority="16" operator="greaterThan">
      <formula>1</formula>
    </cfRule>
    <cfRule type="cellIs" dxfId="3530" priority="17" operator="between">
      <formula>0.96</formula>
      <formula>1</formula>
    </cfRule>
    <cfRule type="cellIs" dxfId="3529" priority="18" stopIfTrue="1" operator="between">
      <formula>0</formula>
      <formula>0.5</formula>
    </cfRule>
  </conditionalFormatting>
  <conditionalFormatting sqref="M36:M38">
    <cfRule type="cellIs" dxfId="3528" priority="9" operator="between">
      <formula>0.1876</formula>
      <formula>0.2375</formula>
    </cfRule>
    <cfRule type="cellIs" dxfId="3527" priority="10" operator="between">
      <formula>0.1251</formula>
      <formula>0.1875</formula>
    </cfRule>
    <cfRule type="cellIs" dxfId="3526" priority="11" operator="greaterThan">
      <formula>0.25</formula>
    </cfRule>
    <cfRule type="cellIs" dxfId="3525" priority="12" operator="between">
      <formula>0.2375</formula>
      <formula>0.25</formula>
    </cfRule>
    <cfRule type="cellIs" dxfId="3524" priority="13" stopIfTrue="1" operator="between">
      <formula>0</formula>
      <formula>0.125</formula>
    </cfRule>
  </conditionalFormatting>
  <conditionalFormatting sqref="N36:O38">
    <cfRule type="cellIs" dxfId="3523" priority="4" operator="between">
      <formula>0.1876</formula>
      <formula>0.2375</formula>
    </cfRule>
    <cfRule type="cellIs" dxfId="3522" priority="5" operator="between">
      <formula>0.1251</formula>
      <formula>0.1875</formula>
    </cfRule>
    <cfRule type="cellIs" dxfId="3521" priority="6" operator="greaterThan">
      <formula>0.25</formula>
    </cfRule>
    <cfRule type="cellIs" dxfId="3520" priority="7" operator="between">
      <formula>0.2376</formula>
      <formula>0.25</formula>
    </cfRule>
    <cfRule type="cellIs" dxfId="3519" priority="8" stopIfTrue="1" operator="between">
      <formula>0</formula>
      <formula>0.125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23" id="{CB4887D6-A6EF-43BF-AAB5-CA2D4CE99947}">
            <xm:f>AND(IF(J34&gt;'F:\Users\norela.briceno\Documents\Plan de acción\Plan Accion 2018\[Plan Accion Integrado ADRES Vigencia 2018 con Cuadro de Mando V6..xlsx]Plan de Accion 2018'!#REF!,J34&lt;&gt;¨N/A¨))</xm:f>
            <x14:dxf>
              <fill>
                <patternFill>
                  <bgColor theme="1" tint="0.499984740745262"/>
                </patternFill>
              </fill>
            </x14:dxf>
          </x14:cfRule>
          <x14:cfRule type="expression" priority="15324" stopIfTrue="1" id="{A3174C5E-FE52-434E-8C63-478D70C7AC10}">
            <xm:f>AND(IF(J34='F:\Users\norela.briceno\Documents\Plan de acción\Plan Accion 2018\[Plan Accion Integrado ADRES Vigencia 2018 con Cuadro de Mando V6..xlsx]Plan de Accion 2018'!#REF!,J34&lt;&gt;"N/A"))</xm:f>
            <x14:dxf>
              <fill>
                <patternFill>
                  <bgColor rgb="FF00B050"/>
                </patternFill>
              </fill>
            </x14:dxf>
          </x14:cfRule>
          <x14:cfRule type="expression" priority="15325" stopIfTrue="1" id="{4E2C1DE6-E61E-4368-A799-08FEFDD385A2}">
            <xm:f>AND(IF(J34&lt;'F:\Users\norela.briceno\Documents\Plan de acción\Plan Accion 2018\[Plan Accion Integrado ADRES Vigencia 2018 con Cuadro de Mando V6..xlsx]Plan de Accion 2018'!#REF!,J34&lt;&gt;"N/A"))</xm:f>
            <x14:dxf>
              <fill>
                <patternFill>
                  <bgColor indexed="10"/>
                </patternFill>
              </fill>
            </x14:dxf>
          </x14:cfRule>
          <xm:sqref>J202:J204 Q202:Q204 AE202:AE203 X203:X204 J222:J223 Q222:Q223 X222:X223 AE222:AE223 J149 Q149 AE149 X149 J34 J58 Q34 Q58 X34 X58 AE34 AE58 J228 Q228 X228 AE228 J153:J158 Q153:Q158 X153:X158 AE153:AE158 J206 Q206 X206</xm:sqref>
        </x14:conditionalFormatting>
        <x14:conditionalFormatting xmlns:xm="http://schemas.microsoft.com/office/excel/2006/main">
          <x14:cfRule type="expression" priority="14600" id="{238B3783-6103-4ED3-9181-4762EA6122FC}">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4601" stopIfTrue="1" id="{765A827D-A878-4B88-B8D3-300B6356F1B7}">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4602" stopIfTrue="1" id="{E60F6696-C8E7-4FD4-A968-3B4595025553}">
            <xm:f>AND(IF(J42&lt;'F:\Users\norela.briceno\Documents\Plan de acción\Plan Accion 2018\[Plan Accion Integrado ADRES Vigencia 2018 con Cuadro de Mando V6..xlsx]Plan de Accion 2018'!#REF!,J42&lt;&gt;"N/A"))</xm:f>
            <x14:dxf>
              <fill>
                <patternFill>
                  <bgColor indexed="10"/>
                </patternFill>
              </fill>
            </x14:dxf>
          </x14:cfRule>
          <xm:sqref>X149 X153:X158 AE206 J209:J210 Q209:Q210 X209:X210 AE209:AE210 J42:J43 Q42:Q43 X42:X43 AE42:AE43</xm:sqref>
        </x14:conditionalFormatting>
        <x14:conditionalFormatting xmlns:xm="http://schemas.microsoft.com/office/excel/2006/main">
          <x14:cfRule type="expression" priority="14597" id="{8C5B9726-0070-466E-9293-4FB0D4BFAECA}">
            <xm:f>AND(IF(AE149&gt;'F:\Users\norela.briceno\Documents\Plan de acción\Plan Accion 2018\[Plan Accion Integrado ADRES Vigencia 2018 con Cuadro de Mando V6..xlsx]Plan de Accion 2018'!#REF!,AE149&lt;&gt;¨N/A¨))</xm:f>
            <x14:dxf>
              <fill>
                <patternFill>
                  <bgColor theme="1" tint="0.499984740745262"/>
                </patternFill>
              </fill>
            </x14:dxf>
          </x14:cfRule>
          <x14:cfRule type="expression" priority="14598" stopIfTrue="1" id="{8B1C504B-F313-4E8E-964B-05A47B8417D5}">
            <xm:f>AND(IF(AE149='F:\Users\norela.briceno\Documents\Plan de acción\Plan Accion 2018\[Plan Accion Integrado ADRES Vigencia 2018 con Cuadro de Mando V6..xlsx]Plan de Accion 2018'!#REF!,AE149&lt;&gt;"N/A"))</xm:f>
            <x14:dxf>
              <fill>
                <patternFill>
                  <bgColor rgb="FF00B050"/>
                </patternFill>
              </fill>
            </x14:dxf>
          </x14:cfRule>
          <x14:cfRule type="expression" priority="14599" stopIfTrue="1" id="{3B5BD079-0278-402E-A7F8-D19A31DC38E3}">
            <xm:f>AND(IF(AE149&lt;'F:\Users\norela.briceno\Documents\Plan de acción\Plan Accion 2018\[Plan Accion Integrado ADRES Vigencia 2018 con Cuadro de Mando V6..xlsx]Plan de Accion 2018'!#REF!,AE149&lt;&gt;"N/A"))</xm:f>
            <x14:dxf>
              <fill>
                <patternFill>
                  <bgColor indexed="10"/>
                </patternFill>
              </fill>
            </x14:dxf>
          </x14:cfRule>
          <xm:sqref>AE153:AE158 AE149</xm:sqref>
        </x14:conditionalFormatting>
        <x14:conditionalFormatting xmlns:xm="http://schemas.microsoft.com/office/excel/2006/main">
          <x14:cfRule type="expression" priority="14606" id="{8DE4B417-6BFE-4282-AA67-86C278E5EE0D}">
            <xm:f>AND(IF(J149&gt;'F:\Users\norela.briceno\Documents\Plan de acción\Plan Accion 2018\[Plan Accion Integrado ADRES Vigencia 2018 con Cuadro de Mando V6..xlsx]Plan de Accion 2018'!#REF!,J149&lt;&gt;¨N/A¨))</xm:f>
            <x14:dxf>
              <fill>
                <patternFill>
                  <bgColor theme="1" tint="0.499984740745262"/>
                </patternFill>
              </fill>
            </x14:dxf>
          </x14:cfRule>
          <x14:cfRule type="expression" priority="14607" stopIfTrue="1" id="{89CC5DDF-3891-4955-8E6A-A940D65A42C3}">
            <xm:f>AND(IF(J149='F:\Users\norela.briceno\Documents\Plan de acción\Plan Accion 2018\[Plan Accion Integrado ADRES Vigencia 2018 con Cuadro de Mando V6..xlsx]Plan de Accion 2018'!#REF!,J149&lt;&gt;"N/A"))</xm:f>
            <x14:dxf>
              <fill>
                <patternFill>
                  <bgColor rgb="FF00B050"/>
                </patternFill>
              </fill>
            </x14:dxf>
          </x14:cfRule>
          <x14:cfRule type="expression" priority="14608" stopIfTrue="1" id="{E4CD26FB-B628-4FD4-BDEB-705D2991134E}">
            <xm:f>AND(IF(J149&lt;'F:\Users\norela.briceno\Documents\Plan de acción\Plan Accion 2018\[Plan Accion Integrado ADRES Vigencia 2018 con Cuadro de Mando V6..xlsx]Plan de Accion 2018'!#REF!,J149&lt;&gt;"N/A"))</xm:f>
            <x14:dxf>
              <fill>
                <patternFill>
                  <bgColor indexed="10"/>
                </patternFill>
              </fill>
            </x14:dxf>
          </x14:cfRule>
          <xm:sqref>J149 J153:J158</xm:sqref>
        </x14:conditionalFormatting>
        <x14:conditionalFormatting xmlns:xm="http://schemas.microsoft.com/office/excel/2006/main">
          <x14:cfRule type="expression" priority="14603" id="{3CB57BE2-E2B5-4D48-AC5E-FC33E65149E8}">
            <xm:f>AND(IF(Q149&gt;'F:\Users\norela.briceno\Documents\Plan de acción\Plan Accion 2018\[Plan Accion Integrado ADRES Vigencia 2018 con Cuadro de Mando V6..xlsx]Plan de Accion 2018'!#REF!,Q149&lt;&gt;¨N/A¨))</xm:f>
            <x14:dxf>
              <fill>
                <patternFill>
                  <bgColor theme="1" tint="0.499984740745262"/>
                </patternFill>
              </fill>
            </x14:dxf>
          </x14:cfRule>
          <x14:cfRule type="expression" priority="14604" stopIfTrue="1" id="{5D809DD5-28E9-43E1-860D-517172810AD1}">
            <xm:f>AND(IF(Q149='F:\Users\norela.briceno\Documents\Plan de acción\Plan Accion 2018\[Plan Accion Integrado ADRES Vigencia 2018 con Cuadro de Mando V6..xlsx]Plan de Accion 2018'!#REF!,Q149&lt;&gt;"N/A"))</xm:f>
            <x14:dxf>
              <fill>
                <patternFill>
                  <bgColor rgb="FF00B050"/>
                </patternFill>
              </fill>
            </x14:dxf>
          </x14:cfRule>
          <x14:cfRule type="expression" priority="14605" stopIfTrue="1" id="{0496DF38-4D8E-4675-ABBE-6EFB34E98ACB}">
            <xm:f>AND(IF(Q149&lt;'F:\Users\norela.briceno\Documents\Plan de acción\Plan Accion 2018\[Plan Accion Integrado ADRES Vigencia 2018 con Cuadro de Mando V6..xlsx]Plan de Accion 2018'!#REF!,Q149&lt;&gt;"N/A"))</xm:f>
            <x14:dxf>
              <fill>
                <patternFill>
                  <bgColor indexed="10"/>
                </patternFill>
              </fill>
            </x14:dxf>
          </x14:cfRule>
          <xm:sqref>Q153:Q158 Q149</xm:sqref>
        </x14:conditionalFormatting>
        <x14:conditionalFormatting xmlns:xm="http://schemas.microsoft.com/office/excel/2006/main">
          <x14:cfRule type="expression" priority="14546" id="{E471CD12-695A-4F08-9F8B-3703C9CCBC36}">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4547" stopIfTrue="1" id="{1B1985F8-D030-4EFE-AB33-6C3BE4FEC3DA}">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4548" stopIfTrue="1" id="{5F4C45A7-C314-4DA2-AC3C-8BDC44921CC4}">
            <xm:f>AND(IF(J128&lt;'F:\Users\norela.briceno\Documents\Plan de acción\Plan Accion 2018\[Plan Accion Integrado ADRES Vigencia 2018 con Cuadro de Mando V6..xlsx]Plan de Accion 2018'!#REF!,J128&lt;&gt;"N/A"))</xm:f>
            <x14:dxf>
              <fill>
                <patternFill>
                  <bgColor indexed="10"/>
                </patternFill>
              </fill>
            </x14:dxf>
          </x14:cfRule>
          <xm:sqref>J128</xm:sqref>
        </x14:conditionalFormatting>
        <x14:conditionalFormatting xmlns:xm="http://schemas.microsoft.com/office/excel/2006/main">
          <x14:cfRule type="expression" priority="14543" id="{8B98781D-034E-4F7D-B550-F42C8779B77D}">
            <xm:f>AND(IF(Q128&gt;'F:\Users\norela.briceno\Documents\Plan de acción\Plan Accion 2018\[Plan Accion Integrado ADRES Vigencia 2018 con Cuadro de Mando V6..xlsx]Plan de Accion 2018'!#REF!,Q128&lt;&gt;¨N/A¨))</xm:f>
            <x14:dxf>
              <fill>
                <patternFill>
                  <bgColor theme="1" tint="0.499984740745262"/>
                </patternFill>
              </fill>
            </x14:dxf>
          </x14:cfRule>
          <x14:cfRule type="expression" priority="14544" stopIfTrue="1" id="{C457E890-9F29-4262-AE21-5B89F8513DF5}">
            <xm:f>AND(IF(Q128='F:\Users\norela.briceno\Documents\Plan de acción\Plan Accion 2018\[Plan Accion Integrado ADRES Vigencia 2018 con Cuadro de Mando V6..xlsx]Plan de Accion 2018'!#REF!,Q128&lt;&gt;"N/A"))</xm:f>
            <x14:dxf>
              <fill>
                <patternFill>
                  <bgColor rgb="FF00B050"/>
                </patternFill>
              </fill>
            </x14:dxf>
          </x14:cfRule>
          <x14:cfRule type="expression" priority="14545" stopIfTrue="1" id="{DFC1EC4A-7557-40E1-8DE9-173AE3B3960B}">
            <xm:f>AND(IF(Q128&lt;'F:\Users\norela.briceno\Documents\Plan de acción\Plan Accion 2018\[Plan Accion Integrado ADRES Vigencia 2018 con Cuadro de Mando V6..xlsx]Plan de Accion 2018'!#REF!,Q128&lt;&gt;"N/A"))</xm:f>
            <x14:dxf>
              <fill>
                <patternFill>
                  <bgColor indexed="10"/>
                </patternFill>
              </fill>
            </x14:dxf>
          </x14:cfRule>
          <xm:sqref>Q128</xm:sqref>
        </x14:conditionalFormatting>
        <x14:conditionalFormatting xmlns:xm="http://schemas.microsoft.com/office/excel/2006/main">
          <x14:cfRule type="expression" priority="14540" id="{1EF93314-CAEF-429E-8A0B-69EA046C7AF2}">
            <xm:f>AND(IF(X128&gt;'F:\Users\norela.briceno\Documents\Plan de acción\Plan Accion 2018\[Plan Accion Integrado ADRES Vigencia 2018 con Cuadro de Mando V6..xlsx]Plan de Accion 2018'!#REF!,X128&lt;&gt;¨N/A¨))</xm:f>
            <x14:dxf>
              <fill>
                <patternFill>
                  <bgColor theme="1" tint="0.499984740745262"/>
                </patternFill>
              </fill>
            </x14:dxf>
          </x14:cfRule>
          <x14:cfRule type="expression" priority="14541" stopIfTrue="1" id="{397F626E-6C48-46E1-8B28-A4135333FA5E}">
            <xm:f>AND(IF(X128='F:\Users\norela.briceno\Documents\Plan de acción\Plan Accion 2018\[Plan Accion Integrado ADRES Vigencia 2018 con Cuadro de Mando V6..xlsx]Plan de Accion 2018'!#REF!,X128&lt;&gt;"N/A"))</xm:f>
            <x14:dxf>
              <fill>
                <patternFill>
                  <bgColor rgb="FF00B050"/>
                </patternFill>
              </fill>
            </x14:dxf>
          </x14:cfRule>
          <x14:cfRule type="expression" priority="14542" stopIfTrue="1" id="{2C042469-6C41-4FEE-9121-02CA36FA2497}">
            <xm:f>AND(IF(X128&lt;'F:\Users\norela.briceno\Documents\Plan de acción\Plan Accion 2018\[Plan Accion Integrado ADRES Vigencia 2018 con Cuadro de Mando V6..xlsx]Plan de Accion 2018'!#REF!,X128&lt;&gt;"N/A"))</xm:f>
            <x14:dxf>
              <fill>
                <patternFill>
                  <bgColor indexed="10"/>
                </patternFill>
              </fill>
            </x14:dxf>
          </x14:cfRule>
          <xm:sqref>X128</xm:sqref>
        </x14:conditionalFormatting>
        <x14:conditionalFormatting xmlns:xm="http://schemas.microsoft.com/office/excel/2006/main">
          <x14:cfRule type="expression" priority="14537" id="{5522EEE5-FBCB-408D-B972-C8E2C079E5BB}">
            <xm:f>AND(IF(AE128&gt;'F:\Users\norela.briceno\Documents\Plan de acción\Plan Accion 2018\[Plan Accion Integrado ADRES Vigencia 2018 con Cuadro de Mando V6..xlsx]Plan de Accion 2018'!#REF!,AE128&lt;&gt;¨N/A¨))</xm:f>
            <x14:dxf>
              <fill>
                <patternFill>
                  <bgColor theme="1" tint="0.499984740745262"/>
                </patternFill>
              </fill>
            </x14:dxf>
          </x14:cfRule>
          <x14:cfRule type="expression" priority="14538" stopIfTrue="1" id="{A90BC711-5B97-4888-8171-0C75892D8434}">
            <xm:f>AND(IF(AE128='F:\Users\norela.briceno\Documents\Plan de acción\Plan Accion 2018\[Plan Accion Integrado ADRES Vigencia 2018 con Cuadro de Mando V6..xlsx]Plan de Accion 2018'!#REF!,AE128&lt;&gt;"N/A"))</xm:f>
            <x14:dxf>
              <fill>
                <patternFill>
                  <bgColor rgb="FF00B050"/>
                </patternFill>
              </fill>
            </x14:dxf>
          </x14:cfRule>
          <x14:cfRule type="expression" priority="14539" stopIfTrue="1" id="{F18C59F5-C66C-43EC-8337-36A6D1671257}">
            <xm:f>AND(IF(AE128&lt;'F:\Users\norela.briceno\Documents\Plan de acción\Plan Accion 2018\[Plan Accion Integrado ADRES Vigencia 2018 con Cuadro de Mando V6..xlsx]Plan de Accion 2018'!#REF!,AE128&lt;&gt;"N/A"))</xm:f>
            <x14:dxf>
              <fill>
                <patternFill>
                  <bgColor indexed="10"/>
                </patternFill>
              </fill>
            </x14:dxf>
          </x14:cfRule>
          <xm:sqref>AE128</xm:sqref>
        </x14:conditionalFormatting>
        <x14:conditionalFormatting xmlns:xm="http://schemas.microsoft.com/office/excel/2006/main">
          <x14:cfRule type="expression" priority="14342" id="{A76A96A1-074D-4FD6-B707-5417A53692B6}">
            <xm:f>AND(IF(J15&gt;'F:\Users\norela.briceno\Documents\Plan de acción\Plan Accion 2018\[Plan Accion Integrado ADRES Vigencia 2018 con Cuadro de Mando V6..xlsx]Plan de Accion 2018'!#REF!,J15&lt;&gt;¨N/A¨))</xm:f>
            <x14:dxf>
              <fill>
                <patternFill>
                  <bgColor theme="1" tint="0.499984740745262"/>
                </patternFill>
              </fill>
            </x14:dxf>
          </x14:cfRule>
          <x14:cfRule type="expression" priority="14343" stopIfTrue="1" id="{A930D46B-F6EB-4EC2-8421-776EBD26E866}">
            <xm:f>AND(IF(J15='F:\Users\norela.briceno\Documents\Plan de acción\Plan Accion 2018\[Plan Accion Integrado ADRES Vigencia 2018 con Cuadro de Mando V6..xlsx]Plan de Accion 2018'!#REF!,J15&lt;&gt;"N/A"))</xm:f>
            <x14:dxf>
              <fill>
                <patternFill>
                  <bgColor rgb="FF00B050"/>
                </patternFill>
              </fill>
            </x14:dxf>
          </x14:cfRule>
          <x14:cfRule type="expression" priority="14344" stopIfTrue="1" id="{88D6F8D5-A0EB-40B4-A93A-8C81270BD4C8}">
            <xm:f>AND(IF(J15&lt;'F:\Users\norela.briceno\Documents\Plan de acción\Plan Accion 2018\[Plan Accion Integrado ADRES Vigencia 2018 con Cuadro de Mando V6..xlsx]Plan de Accion 2018'!#REF!,J15&lt;&gt;"N/A"))</xm:f>
            <x14:dxf>
              <fill>
                <patternFill>
                  <bgColor indexed="10"/>
                </patternFill>
              </fill>
            </x14:dxf>
          </x14:cfRule>
          <xm:sqref>J15</xm:sqref>
        </x14:conditionalFormatting>
        <x14:conditionalFormatting xmlns:xm="http://schemas.microsoft.com/office/excel/2006/main">
          <x14:cfRule type="expression" priority="14339" id="{E3613E92-DBDC-4DAD-86AE-85FEF3ED5788}">
            <xm:f>AND(IF(Q15&gt;'F:\Users\norela.briceno\Documents\Plan de acción\Plan Accion 2018\[Plan Accion Integrado ADRES Vigencia 2018 con Cuadro de Mando V6..xlsx]Plan de Accion 2018'!#REF!,Q15&lt;&gt;¨N/A¨))</xm:f>
            <x14:dxf>
              <fill>
                <patternFill>
                  <bgColor theme="1" tint="0.499984740745262"/>
                </patternFill>
              </fill>
            </x14:dxf>
          </x14:cfRule>
          <x14:cfRule type="expression" priority="14340" stopIfTrue="1" id="{F997E3A5-78F2-4B20-A79A-EA9DF3464568}">
            <xm:f>AND(IF(Q15='F:\Users\norela.briceno\Documents\Plan de acción\Plan Accion 2018\[Plan Accion Integrado ADRES Vigencia 2018 con Cuadro de Mando V6..xlsx]Plan de Accion 2018'!#REF!,Q15&lt;&gt;"N/A"))</xm:f>
            <x14:dxf>
              <fill>
                <patternFill>
                  <bgColor rgb="FF00B050"/>
                </patternFill>
              </fill>
            </x14:dxf>
          </x14:cfRule>
          <x14:cfRule type="expression" priority="14341" stopIfTrue="1" id="{91F3D87B-B530-4886-B503-DC2E7B3B62BB}">
            <xm:f>AND(IF(Q15&lt;'F:\Users\norela.briceno\Documents\Plan de acción\Plan Accion 2018\[Plan Accion Integrado ADRES Vigencia 2018 con Cuadro de Mando V6..xlsx]Plan de Accion 2018'!#REF!,Q15&lt;&gt;"N/A"))</xm:f>
            <x14:dxf>
              <fill>
                <patternFill>
                  <bgColor indexed="10"/>
                </patternFill>
              </fill>
            </x14:dxf>
          </x14:cfRule>
          <xm:sqref>Q15</xm:sqref>
        </x14:conditionalFormatting>
        <x14:conditionalFormatting xmlns:xm="http://schemas.microsoft.com/office/excel/2006/main">
          <x14:cfRule type="expression" priority="14336" id="{3A2EA81F-1760-4498-80FA-9E3A950EC6A4}">
            <xm:f>AND(IF(X15&gt;'F:\Users\norela.briceno\Documents\Plan de acción\Plan Accion 2018\[Plan Accion Integrado ADRES Vigencia 2018 con Cuadro de Mando V6..xlsx]Plan de Accion 2018'!#REF!,X15&lt;&gt;¨N/A¨))</xm:f>
            <x14:dxf>
              <fill>
                <patternFill>
                  <bgColor theme="1" tint="0.499984740745262"/>
                </patternFill>
              </fill>
            </x14:dxf>
          </x14:cfRule>
          <x14:cfRule type="expression" priority="14337" stopIfTrue="1" id="{BE4169A2-5AB4-4F71-936B-C4CA74EE957A}">
            <xm:f>AND(IF(X15='F:\Users\norela.briceno\Documents\Plan de acción\Plan Accion 2018\[Plan Accion Integrado ADRES Vigencia 2018 con Cuadro de Mando V6..xlsx]Plan de Accion 2018'!#REF!,X15&lt;&gt;"N/A"))</xm:f>
            <x14:dxf>
              <fill>
                <patternFill>
                  <bgColor rgb="FF00B050"/>
                </patternFill>
              </fill>
            </x14:dxf>
          </x14:cfRule>
          <x14:cfRule type="expression" priority="14338" stopIfTrue="1" id="{B045C553-E520-44AE-8D8F-D10E703F04C4}">
            <xm:f>AND(IF(X15&lt;'F:\Users\norela.briceno\Documents\Plan de acción\Plan Accion 2018\[Plan Accion Integrado ADRES Vigencia 2018 con Cuadro de Mando V6..xlsx]Plan de Accion 2018'!#REF!,X15&lt;&gt;"N/A"))</xm:f>
            <x14:dxf>
              <fill>
                <patternFill>
                  <bgColor indexed="10"/>
                </patternFill>
              </fill>
            </x14:dxf>
          </x14:cfRule>
          <xm:sqref>X15</xm:sqref>
        </x14:conditionalFormatting>
        <x14:conditionalFormatting xmlns:xm="http://schemas.microsoft.com/office/excel/2006/main">
          <x14:cfRule type="expression" priority="14333" id="{59F3D3A3-D472-4A31-820F-E8DEBB62B043}">
            <xm:f>AND(IF(AE15&gt;'F:\Users\norela.briceno\Documents\Plan de acción\Plan Accion 2018\[Plan Accion Integrado ADRES Vigencia 2018 con Cuadro de Mando V6..xlsx]Plan de Accion 2018'!#REF!,AE15&lt;&gt;¨N/A¨))</xm:f>
            <x14:dxf>
              <fill>
                <patternFill>
                  <bgColor theme="1" tint="0.499984740745262"/>
                </patternFill>
              </fill>
            </x14:dxf>
          </x14:cfRule>
          <x14:cfRule type="expression" priority="14334" stopIfTrue="1" id="{FCAFE97D-4633-49C3-9EA0-270941E0418E}">
            <xm:f>AND(IF(AE15='F:\Users\norela.briceno\Documents\Plan de acción\Plan Accion 2018\[Plan Accion Integrado ADRES Vigencia 2018 con Cuadro de Mando V6..xlsx]Plan de Accion 2018'!#REF!,AE15&lt;&gt;"N/A"))</xm:f>
            <x14:dxf>
              <fill>
                <patternFill>
                  <bgColor rgb="FF00B050"/>
                </patternFill>
              </fill>
            </x14:dxf>
          </x14:cfRule>
          <x14:cfRule type="expression" priority="14335" stopIfTrue="1" id="{B9515E36-97CB-4975-BBAB-0536E1E16A1B}">
            <xm:f>AND(IF(AE15&lt;'F:\Users\norela.briceno\Documents\Plan de acción\Plan Accion 2018\[Plan Accion Integrado ADRES Vigencia 2018 con Cuadro de Mando V6..xlsx]Plan de Accion 2018'!#REF!,AE15&lt;&gt;"N/A"))</xm:f>
            <x14:dxf>
              <fill>
                <patternFill>
                  <bgColor indexed="10"/>
                </patternFill>
              </fill>
            </x14:dxf>
          </x14:cfRule>
          <xm:sqref>AE15</xm:sqref>
        </x14:conditionalFormatting>
        <x14:conditionalFormatting xmlns:xm="http://schemas.microsoft.com/office/excel/2006/main">
          <x14:cfRule type="expression" priority="14216" id="{9C196013-05AA-43F2-9E0E-6D95119C222C}">
            <xm:f>AND(IF(J193&gt;'F:\Users\norela.briceno\Documents\Plan de acción\Plan Accion 2018\[Plan Accion Integrado ADRES Vigencia 2018 con Cuadro de Mando V6..xlsx]Plan de Accion 2018'!#REF!,J193&lt;&gt;¨N/A¨))</xm:f>
            <x14:dxf>
              <fill>
                <patternFill>
                  <bgColor theme="1" tint="0.499984740745262"/>
                </patternFill>
              </fill>
            </x14:dxf>
          </x14:cfRule>
          <x14:cfRule type="expression" priority="14217" stopIfTrue="1" id="{63764F5A-9338-4711-A8BA-D3DD5FB05B46}">
            <xm:f>AND(IF(J193='F:\Users\norela.briceno\Documents\Plan de acción\Plan Accion 2018\[Plan Accion Integrado ADRES Vigencia 2018 con Cuadro de Mando V6..xlsx]Plan de Accion 2018'!#REF!,J193&lt;&gt;"N/A"))</xm:f>
            <x14:dxf>
              <fill>
                <patternFill>
                  <bgColor rgb="FF00B050"/>
                </patternFill>
              </fill>
            </x14:dxf>
          </x14:cfRule>
          <x14:cfRule type="expression" priority="14218" stopIfTrue="1" id="{851B5CE6-E0A8-400C-AEC8-A237D6E30E63}">
            <xm:f>AND(IF(J193&lt;'F:\Users\norela.briceno\Documents\Plan de acción\Plan Accion 2018\[Plan Accion Integrado ADRES Vigencia 2018 con Cuadro de Mando V6..xlsx]Plan de Accion 2018'!#REF!,J193&lt;&gt;"N/A"))</xm:f>
            <x14:dxf>
              <fill>
                <patternFill>
                  <bgColor indexed="10"/>
                </patternFill>
              </fill>
            </x14:dxf>
          </x14:cfRule>
          <xm:sqref>J193</xm:sqref>
        </x14:conditionalFormatting>
        <x14:conditionalFormatting xmlns:xm="http://schemas.microsoft.com/office/excel/2006/main">
          <x14:cfRule type="expression" priority="14213" id="{341FC693-1156-4021-943E-2961160B3823}">
            <xm:f>AND(IF(Q193&gt;'F:\Users\norela.briceno\Documents\Plan de acción\Plan Accion 2018\[Plan Accion Integrado ADRES Vigencia 2018 con Cuadro de Mando V6..xlsx]Plan de Accion 2018'!#REF!,Q193&lt;&gt;¨N/A¨))</xm:f>
            <x14:dxf>
              <fill>
                <patternFill>
                  <bgColor theme="1" tint="0.499984740745262"/>
                </patternFill>
              </fill>
            </x14:dxf>
          </x14:cfRule>
          <x14:cfRule type="expression" priority="14214" stopIfTrue="1" id="{B9B2E985-FA3E-4116-8433-380602BA9D49}">
            <xm:f>AND(IF(Q193='F:\Users\norela.briceno\Documents\Plan de acción\Plan Accion 2018\[Plan Accion Integrado ADRES Vigencia 2018 con Cuadro de Mando V6..xlsx]Plan de Accion 2018'!#REF!,Q193&lt;&gt;"N/A"))</xm:f>
            <x14:dxf>
              <fill>
                <patternFill>
                  <bgColor rgb="FF00B050"/>
                </patternFill>
              </fill>
            </x14:dxf>
          </x14:cfRule>
          <x14:cfRule type="expression" priority="14215" stopIfTrue="1" id="{21A8C6DB-9543-4D82-AA26-26F7177372D1}">
            <xm:f>AND(IF(Q193&lt;'F:\Users\norela.briceno\Documents\Plan de acción\Plan Accion 2018\[Plan Accion Integrado ADRES Vigencia 2018 con Cuadro de Mando V6..xlsx]Plan de Accion 2018'!#REF!,Q193&lt;&gt;"N/A"))</xm:f>
            <x14:dxf>
              <fill>
                <patternFill>
                  <bgColor indexed="10"/>
                </patternFill>
              </fill>
            </x14:dxf>
          </x14:cfRule>
          <xm:sqref>Q193</xm:sqref>
        </x14:conditionalFormatting>
        <x14:conditionalFormatting xmlns:xm="http://schemas.microsoft.com/office/excel/2006/main">
          <x14:cfRule type="expression" priority="14210" id="{76BC88ED-09F8-4FA0-8D71-6FAB92EC5CF6}">
            <xm:f>AND(IF(X193&gt;'F:\Users\norela.briceno\Documents\Plan de acción\Plan Accion 2018\[Plan Accion Integrado ADRES Vigencia 2018 con Cuadro de Mando V6..xlsx]Plan de Accion 2018'!#REF!,X193&lt;&gt;¨N/A¨))</xm:f>
            <x14:dxf>
              <fill>
                <patternFill>
                  <bgColor theme="1" tint="0.499984740745262"/>
                </patternFill>
              </fill>
            </x14:dxf>
          </x14:cfRule>
          <x14:cfRule type="expression" priority="14211" stopIfTrue="1" id="{B373D37E-134E-48A1-9765-70B7A5089DD3}">
            <xm:f>AND(IF(X193='F:\Users\norela.briceno\Documents\Plan de acción\Plan Accion 2018\[Plan Accion Integrado ADRES Vigencia 2018 con Cuadro de Mando V6..xlsx]Plan de Accion 2018'!#REF!,X193&lt;&gt;"N/A"))</xm:f>
            <x14:dxf>
              <fill>
                <patternFill>
                  <bgColor rgb="FF00B050"/>
                </patternFill>
              </fill>
            </x14:dxf>
          </x14:cfRule>
          <x14:cfRule type="expression" priority="14212" stopIfTrue="1" id="{C23F2251-5E65-4272-BFFB-3EB819B9A7B6}">
            <xm:f>AND(IF(X193&lt;'F:\Users\norela.briceno\Documents\Plan de acción\Plan Accion 2018\[Plan Accion Integrado ADRES Vigencia 2018 con Cuadro de Mando V6..xlsx]Plan de Accion 2018'!#REF!,X193&lt;&gt;"N/A"))</xm:f>
            <x14:dxf>
              <fill>
                <patternFill>
                  <bgColor indexed="10"/>
                </patternFill>
              </fill>
            </x14:dxf>
          </x14:cfRule>
          <xm:sqref>X193</xm:sqref>
        </x14:conditionalFormatting>
        <x14:conditionalFormatting xmlns:xm="http://schemas.microsoft.com/office/excel/2006/main">
          <x14:cfRule type="expression" priority="14207" id="{C8A0AF81-B406-4001-B0F9-84C45F987ACC}">
            <xm:f>AND(IF(AE193&gt;'F:\Users\norela.briceno\Documents\Plan de acción\Plan Accion 2018\[Plan Accion Integrado ADRES Vigencia 2018 con Cuadro de Mando V6..xlsx]Plan de Accion 2018'!#REF!,AE193&lt;&gt;¨N/A¨))</xm:f>
            <x14:dxf>
              <fill>
                <patternFill>
                  <bgColor theme="1" tint="0.499984740745262"/>
                </patternFill>
              </fill>
            </x14:dxf>
          </x14:cfRule>
          <x14:cfRule type="expression" priority="14208" stopIfTrue="1" id="{A89D0368-94AE-4C3D-A834-842860137D7C}">
            <xm:f>AND(IF(AE193='F:\Users\norela.briceno\Documents\Plan de acción\Plan Accion 2018\[Plan Accion Integrado ADRES Vigencia 2018 con Cuadro de Mando V6..xlsx]Plan de Accion 2018'!#REF!,AE193&lt;&gt;"N/A"))</xm:f>
            <x14:dxf>
              <fill>
                <patternFill>
                  <bgColor rgb="FF00B050"/>
                </patternFill>
              </fill>
            </x14:dxf>
          </x14:cfRule>
          <x14:cfRule type="expression" priority="14209" stopIfTrue="1" id="{7A602386-689F-4A45-AF0A-8271AFC80BB5}">
            <xm:f>AND(IF(AE193&lt;'F:\Users\norela.briceno\Documents\Plan de acción\Plan Accion 2018\[Plan Accion Integrado ADRES Vigencia 2018 con Cuadro de Mando V6..xlsx]Plan de Accion 2018'!#REF!,AE193&lt;&gt;"N/A"))</xm:f>
            <x14:dxf>
              <fill>
                <patternFill>
                  <bgColor indexed="10"/>
                </patternFill>
              </fill>
            </x14:dxf>
          </x14:cfRule>
          <xm:sqref>AE193</xm:sqref>
        </x14:conditionalFormatting>
        <x14:conditionalFormatting xmlns:xm="http://schemas.microsoft.com/office/excel/2006/main">
          <x14:cfRule type="expression" priority="14139" id="{0D4417A6-400F-414B-AF05-A05F03FD012D}">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4140" stopIfTrue="1" id="{C7ECAE34-A11F-4E2E-A007-01D7E18B19B8}">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4141" stopIfTrue="1" id="{F4F94C31-E482-412C-8F5A-EB9144BC2AAF}">
            <xm:f>AND(IF(J129&lt;'F:\Users\norela.briceno\Documents\Plan de acción\Plan Accion 2018\[Plan Accion Integrado ADRES Vigencia 2018 con Cuadro de Mando V6..xlsx]Plan de Accion 2018'!#REF!,J129&lt;&gt;"N/A"))</xm:f>
            <x14:dxf>
              <fill>
                <patternFill>
                  <bgColor indexed="10"/>
                </patternFill>
              </fill>
            </x14:dxf>
          </x14:cfRule>
          <xm:sqref>J129</xm:sqref>
        </x14:conditionalFormatting>
        <x14:conditionalFormatting xmlns:xm="http://schemas.microsoft.com/office/excel/2006/main">
          <x14:cfRule type="expression" priority="14136" id="{CADA4FEF-25E8-4E24-8676-86544C72E810}">
            <xm:f>AND(IF(Q129&gt;'F:\Users\norela.briceno\Documents\Plan de acción\Plan Accion 2018\[Plan Accion Integrado ADRES Vigencia 2018 con Cuadro de Mando V6..xlsx]Plan de Accion 2018'!#REF!,Q129&lt;&gt;¨N/A¨))</xm:f>
            <x14:dxf>
              <fill>
                <patternFill>
                  <bgColor theme="1" tint="0.499984740745262"/>
                </patternFill>
              </fill>
            </x14:dxf>
          </x14:cfRule>
          <x14:cfRule type="expression" priority="14137" stopIfTrue="1" id="{28E8BD35-B36C-4F0D-A360-0D02D95F1B70}">
            <xm:f>AND(IF(Q129='F:\Users\norela.briceno\Documents\Plan de acción\Plan Accion 2018\[Plan Accion Integrado ADRES Vigencia 2018 con Cuadro de Mando V6..xlsx]Plan de Accion 2018'!#REF!,Q129&lt;&gt;"N/A"))</xm:f>
            <x14:dxf>
              <fill>
                <patternFill>
                  <bgColor rgb="FF00B050"/>
                </patternFill>
              </fill>
            </x14:dxf>
          </x14:cfRule>
          <x14:cfRule type="expression" priority="14138" stopIfTrue="1" id="{D64F186C-9B47-4C0B-A8DE-63494E1FD7C2}">
            <xm:f>AND(IF(Q129&lt;'F:\Users\norela.briceno\Documents\Plan de acción\Plan Accion 2018\[Plan Accion Integrado ADRES Vigencia 2018 con Cuadro de Mando V6..xlsx]Plan de Accion 2018'!#REF!,Q129&lt;&gt;"N/A"))</xm:f>
            <x14:dxf>
              <fill>
                <patternFill>
                  <bgColor indexed="10"/>
                </patternFill>
              </fill>
            </x14:dxf>
          </x14:cfRule>
          <xm:sqref>Q129</xm:sqref>
        </x14:conditionalFormatting>
        <x14:conditionalFormatting xmlns:xm="http://schemas.microsoft.com/office/excel/2006/main">
          <x14:cfRule type="expression" priority="14133" id="{916BAD03-218B-4F7F-B26D-FBB96C6BC100}">
            <xm:f>AND(IF(X129&gt;'F:\Users\norela.briceno\Documents\Plan de acción\Plan Accion 2018\[Plan Accion Integrado ADRES Vigencia 2018 con Cuadro de Mando V6..xlsx]Plan de Accion 2018'!#REF!,X129&lt;&gt;¨N/A¨))</xm:f>
            <x14:dxf>
              <fill>
                <patternFill>
                  <bgColor theme="1" tint="0.499984740745262"/>
                </patternFill>
              </fill>
            </x14:dxf>
          </x14:cfRule>
          <x14:cfRule type="expression" priority="14134" stopIfTrue="1" id="{B2C86A9C-5C41-4F62-993C-DC1850EA9160}">
            <xm:f>AND(IF(X129='F:\Users\norela.briceno\Documents\Plan de acción\Plan Accion 2018\[Plan Accion Integrado ADRES Vigencia 2018 con Cuadro de Mando V6..xlsx]Plan de Accion 2018'!#REF!,X129&lt;&gt;"N/A"))</xm:f>
            <x14:dxf>
              <fill>
                <patternFill>
                  <bgColor rgb="FF00B050"/>
                </patternFill>
              </fill>
            </x14:dxf>
          </x14:cfRule>
          <x14:cfRule type="expression" priority="14135" stopIfTrue="1" id="{9E9B88CC-13D9-49FC-BCA5-FDB64E41CFDC}">
            <xm:f>AND(IF(X129&lt;'F:\Users\norela.briceno\Documents\Plan de acción\Plan Accion 2018\[Plan Accion Integrado ADRES Vigencia 2018 con Cuadro de Mando V6..xlsx]Plan de Accion 2018'!#REF!,X129&lt;&gt;"N/A"))</xm:f>
            <x14:dxf>
              <fill>
                <patternFill>
                  <bgColor indexed="10"/>
                </patternFill>
              </fill>
            </x14:dxf>
          </x14:cfRule>
          <xm:sqref>X129</xm:sqref>
        </x14:conditionalFormatting>
        <x14:conditionalFormatting xmlns:xm="http://schemas.microsoft.com/office/excel/2006/main">
          <x14:cfRule type="expression" priority="14130" id="{BC80802F-3823-4966-A485-F89AC784156B}">
            <xm:f>AND(IF(AE129&gt;'F:\Users\norela.briceno\Documents\Plan de acción\Plan Accion 2018\[Plan Accion Integrado ADRES Vigencia 2018 con Cuadro de Mando V6..xlsx]Plan de Accion 2018'!#REF!,AE129&lt;&gt;¨N/A¨))</xm:f>
            <x14:dxf>
              <fill>
                <patternFill>
                  <bgColor theme="1" tint="0.499984740745262"/>
                </patternFill>
              </fill>
            </x14:dxf>
          </x14:cfRule>
          <x14:cfRule type="expression" priority="14131" stopIfTrue="1" id="{79D950C5-B447-4581-A6B3-6FB2DCC01E85}">
            <xm:f>AND(IF(AE129='F:\Users\norela.briceno\Documents\Plan de acción\Plan Accion 2018\[Plan Accion Integrado ADRES Vigencia 2018 con Cuadro de Mando V6..xlsx]Plan de Accion 2018'!#REF!,AE129&lt;&gt;"N/A"))</xm:f>
            <x14:dxf>
              <fill>
                <patternFill>
                  <bgColor rgb="FF00B050"/>
                </patternFill>
              </fill>
            </x14:dxf>
          </x14:cfRule>
          <x14:cfRule type="expression" priority="14132" stopIfTrue="1" id="{FB9041D3-8102-4278-B37C-D4B90A483650}">
            <xm:f>AND(IF(AE129&lt;'F:\Users\norela.briceno\Documents\Plan de acción\Plan Accion 2018\[Plan Accion Integrado ADRES Vigencia 2018 con Cuadro de Mando V6..xlsx]Plan de Accion 2018'!#REF!,AE129&lt;&gt;"N/A"))</xm:f>
            <x14:dxf>
              <fill>
                <patternFill>
                  <bgColor indexed="10"/>
                </patternFill>
              </fill>
            </x14:dxf>
          </x14:cfRule>
          <xm:sqref>AE129</xm:sqref>
        </x14:conditionalFormatting>
        <x14:conditionalFormatting xmlns:xm="http://schemas.microsoft.com/office/excel/2006/main">
          <x14:cfRule type="expression" priority="14067" id="{99854DEE-9BE1-418C-BEEC-ABD8E74BC0A8}">
            <xm:f>AND(IF(J16&gt;'F:\Users\norela.briceno\Documents\Plan de acción\Plan Accion 2018\[Plan Accion Integrado ADRES Vigencia 2018 con Cuadro de Mando V6..xlsx]Plan de Accion 2018'!#REF!,J16&lt;&gt;¨N/A¨))</xm:f>
            <x14:dxf>
              <fill>
                <patternFill>
                  <bgColor theme="1" tint="0.499984740745262"/>
                </patternFill>
              </fill>
            </x14:dxf>
          </x14:cfRule>
          <x14:cfRule type="expression" priority="14068" stopIfTrue="1" id="{8473E4AB-E760-45F8-96C3-A789C342D9A1}">
            <xm:f>AND(IF(J16='F:\Users\norela.briceno\Documents\Plan de acción\Plan Accion 2018\[Plan Accion Integrado ADRES Vigencia 2018 con Cuadro de Mando V6..xlsx]Plan de Accion 2018'!#REF!,J16&lt;&gt;"N/A"))</xm:f>
            <x14:dxf>
              <fill>
                <patternFill>
                  <bgColor rgb="FF00B050"/>
                </patternFill>
              </fill>
            </x14:dxf>
          </x14:cfRule>
          <x14:cfRule type="expression" priority="14069" stopIfTrue="1" id="{FF96EAE9-FE28-4F8A-B86D-0B1420CD8152}">
            <xm:f>AND(IF(J16&lt;'F:\Users\norela.briceno\Documents\Plan de acción\Plan Accion 2018\[Plan Accion Integrado ADRES Vigencia 2018 con Cuadro de Mando V6..xlsx]Plan de Accion 2018'!#REF!,J16&lt;&gt;"N/A"))</xm:f>
            <x14:dxf>
              <fill>
                <patternFill>
                  <bgColor indexed="10"/>
                </patternFill>
              </fill>
            </x14:dxf>
          </x14:cfRule>
          <xm:sqref>J16</xm:sqref>
        </x14:conditionalFormatting>
        <x14:conditionalFormatting xmlns:xm="http://schemas.microsoft.com/office/excel/2006/main">
          <x14:cfRule type="expression" priority="14064" id="{0920F57E-FDBE-4024-9918-F942310F049E}">
            <xm:f>AND(IF(Q16&gt;'F:\Users\norela.briceno\Documents\Plan de acción\Plan Accion 2018\[Plan Accion Integrado ADRES Vigencia 2018 con Cuadro de Mando V6..xlsx]Plan de Accion 2018'!#REF!,Q16&lt;&gt;¨N/A¨))</xm:f>
            <x14:dxf>
              <fill>
                <patternFill>
                  <bgColor theme="1" tint="0.499984740745262"/>
                </patternFill>
              </fill>
            </x14:dxf>
          </x14:cfRule>
          <x14:cfRule type="expression" priority="14065" stopIfTrue="1" id="{92292430-3A0C-42B5-AA89-4926E03305FC}">
            <xm:f>AND(IF(Q16='F:\Users\norela.briceno\Documents\Plan de acción\Plan Accion 2018\[Plan Accion Integrado ADRES Vigencia 2018 con Cuadro de Mando V6..xlsx]Plan de Accion 2018'!#REF!,Q16&lt;&gt;"N/A"))</xm:f>
            <x14:dxf>
              <fill>
                <patternFill>
                  <bgColor rgb="FF00B050"/>
                </patternFill>
              </fill>
            </x14:dxf>
          </x14:cfRule>
          <x14:cfRule type="expression" priority="14066" stopIfTrue="1" id="{4FBC6495-1CE7-49AB-A85D-63DB927B53CC}">
            <xm:f>AND(IF(Q16&lt;'F:\Users\norela.briceno\Documents\Plan de acción\Plan Accion 2018\[Plan Accion Integrado ADRES Vigencia 2018 con Cuadro de Mando V6..xlsx]Plan de Accion 2018'!#REF!,Q16&lt;&gt;"N/A"))</xm:f>
            <x14:dxf>
              <fill>
                <patternFill>
                  <bgColor indexed="10"/>
                </patternFill>
              </fill>
            </x14:dxf>
          </x14:cfRule>
          <xm:sqref>Q16</xm:sqref>
        </x14:conditionalFormatting>
        <x14:conditionalFormatting xmlns:xm="http://schemas.microsoft.com/office/excel/2006/main">
          <x14:cfRule type="expression" priority="14061" id="{8BBC86EE-C001-4CF6-9D76-0975D5C64E8A}">
            <xm:f>AND(IF(X16&gt;'F:\Users\norela.briceno\Documents\Plan de acción\Plan Accion 2018\[Plan Accion Integrado ADRES Vigencia 2018 con Cuadro de Mando V6..xlsx]Plan de Accion 2018'!#REF!,X16&lt;&gt;¨N/A¨))</xm:f>
            <x14:dxf>
              <fill>
                <patternFill>
                  <bgColor theme="1" tint="0.499984740745262"/>
                </patternFill>
              </fill>
            </x14:dxf>
          </x14:cfRule>
          <x14:cfRule type="expression" priority="14062" stopIfTrue="1" id="{C556C1AF-023C-4FD2-B742-CC16CAD7F003}">
            <xm:f>AND(IF(X16='F:\Users\norela.briceno\Documents\Plan de acción\Plan Accion 2018\[Plan Accion Integrado ADRES Vigencia 2018 con Cuadro de Mando V6..xlsx]Plan de Accion 2018'!#REF!,X16&lt;&gt;"N/A"))</xm:f>
            <x14:dxf>
              <fill>
                <patternFill>
                  <bgColor rgb="FF00B050"/>
                </patternFill>
              </fill>
            </x14:dxf>
          </x14:cfRule>
          <x14:cfRule type="expression" priority="14063" stopIfTrue="1" id="{F79E56D3-D65D-4E48-952B-DA1F8CCE5930}">
            <xm:f>AND(IF(X16&lt;'F:\Users\norela.briceno\Documents\Plan de acción\Plan Accion 2018\[Plan Accion Integrado ADRES Vigencia 2018 con Cuadro de Mando V6..xlsx]Plan de Accion 2018'!#REF!,X16&lt;&gt;"N/A"))</xm:f>
            <x14:dxf>
              <fill>
                <patternFill>
                  <bgColor indexed="10"/>
                </patternFill>
              </fill>
            </x14:dxf>
          </x14:cfRule>
          <xm:sqref>X16</xm:sqref>
        </x14:conditionalFormatting>
        <x14:conditionalFormatting xmlns:xm="http://schemas.microsoft.com/office/excel/2006/main">
          <x14:cfRule type="expression" priority="14058" id="{BD8421E1-B7F0-432F-ACD8-80450F7C851D}">
            <xm:f>AND(IF(AE16&gt;'F:\Users\norela.briceno\Documents\Plan de acción\Plan Accion 2018\[Plan Accion Integrado ADRES Vigencia 2018 con Cuadro de Mando V6..xlsx]Plan de Accion 2018'!#REF!,AE16&lt;&gt;¨N/A¨))</xm:f>
            <x14:dxf>
              <fill>
                <patternFill>
                  <bgColor theme="1" tint="0.499984740745262"/>
                </patternFill>
              </fill>
            </x14:dxf>
          </x14:cfRule>
          <x14:cfRule type="expression" priority="14059" stopIfTrue="1" id="{8630BA2F-9CE6-4F41-AD6B-79640EC2438F}">
            <xm:f>AND(IF(AE16='F:\Users\norela.briceno\Documents\Plan de acción\Plan Accion 2018\[Plan Accion Integrado ADRES Vigencia 2018 con Cuadro de Mando V6..xlsx]Plan de Accion 2018'!#REF!,AE16&lt;&gt;"N/A"))</xm:f>
            <x14:dxf>
              <fill>
                <patternFill>
                  <bgColor rgb="FF00B050"/>
                </patternFill>
              </fill>
            </x14:dxf>
          </x14:cfRule>
          <x14:cfRule type="expression" priority="14060" stopIfTrue="1" id="{DF854B6D-9264-4781-B19E-68063D9404FF}">
            <xm:f>AND(IF(AE16&lt;'F:\Users\norela.briceno\Documents\Plan de acción\Plan Accion 2018\[Plan Accion Integrado ADRES Vigencia 2018 con Cuadro de Mando V6..xlsx]Plan de Accion 2018'!#REF!,AE16&lt;&gt;"N/A"))</xm:f>
            <x14:dxf>
              <fill>
                <patternFill>
                  <bgColor indexed="10"/>
                </patternFill>
              </fill>
            </x14:dxf>
          </x14:cfRule>
          <xm:sqref>AE16</xm:sqref>
        </x14:conditionalFormatting>
        <x14:conditionalFormatting xmlns:xm="http://schemas.microsoft.com/office/excel/2006/main">
          <x14:cfRule type="expression" priority="13995" id="{035F452A-6469-485D-9862-866907A56138}">
            <xm:f>AND(IF(J17&gt;'F:\Users\norela.briceno\Documents\Plan de acción\Plan Accion 2018\[Plan Accion Integrado ADRES Vigencia 2018 con Cuadro de Mando V6..xlsx]Plan de Accion 2018'!#REF!,J17&lt;&gt;¨N/A¨))</xm:f>
            <x14:dxf>
              <fill>
                <patternFill>
                  <bgColor theme="1" tint="0.499984740745262"/>
                </patternFill>
              </fill>
            </x14:dxf>
          </x14:cfRule>
          <x14:cfRule type="expression" priority="13996" stopIfTrue="1" id="{B803E3EC-7A81-4C3D-9D94-3CDD3160CF18}">
            <xm:f>AND(IF(J17='F:\Users\norela.briceno\Documents\Plan de acción\Plan Accion 2018\[Plan Accion Integrado ADRES Vigencia 2018 con Cuadro de Mando V6..xlsx]Plan de Accion 2018'!#REF!,J17&lt;&gt;"N/A"))</xm:f>
            <x14:dxf>
              <fill>
                <patternFill>
                  <bgColor rgb="FF00B050"/>
                </patternFill>
              </fill>
            </x14:dxf>
          </x14:cfRule>
          <x14:cfRule type="expression" priority="13997" stopIfTrue="1" id="{BC86B1A6-5290-4FF7-A67D-188405680412}">
            <xm:f>AND(IF(J17&lt;'F:\Users\norela.briceno\Documents\Plan de acción\Plan Accion 2018\[Plan Accion Integrado ADRES Vigencia 2018 con Cuadro de Mando V6..xlsx]Plan de Accion 2018'!#REF!,J17&lt;&gt;"N/A"))</xm:f>
            <x14:dxf>
              <fill>
                <patternFill>
                  <bgColor indexed="10"/>
                </patternFill>
              </fill>
            </x14:dxf>
          </x14:cfRule>
          <xm:sqref>J17</xm:sqref>
        </x14:conditionalFormatting>
        <x14:conditionalFormatting xmlns:xm="http://schemas.microsoft.com/office/excel/2006/main">
          <x14:cfRule type="expression" priority="13992" id="{34534D16-7603-4EC7-9D18-C75E9076C38E}">
            <xm:f>AND(IF(Q17&gt;'F:\Users\norela.briceno\Documents\Plan de acción\Plan Accion 2018\[Plan Accion Integrado ADRES Vigencia 2018 con Cuadro de Mando V6..xlsx]Plan de Accion 2018'!#REF!,Q17&lt;&gt;¨N/A¨))</xm:f>
            <x14:dxf>
              <fill>
                <patternFill>
                  <bgColor theme="1" tint="0.499984740745262"/>
                </patternFill>
              </fill>
            </x14:dxf>
          </x14:cfRule>
          <x14:cfRule type="expression" priority="13993" stopIfTrue="1" id="{A51D5237-B4BF-44F3-A3E5-81475C180B06}">
            <xm:f>AND(IF(Q17='F:\Users\norela.briceno\Documents\Plan de acción\Plan Accion 2018\[Plan Accion Integrado ADRES Vigencia 2018 con Cuadro de Mando V6..xlsx]Plan de Accion 2018'!#REF!,Q17&lt;&gt;"N/A"))</xm:f>
            <x14:dxf>
              <fill>
                <patternFill>
                  <bgColor rgb="FF00B050"/>
                </patternFill>
              </fill>
            </x14:dxf>
          </x14:cfRule>
          <x14:cfRule type="expression" priority="13994" stopIfTrue="1" id="{C4FAB129-DD31-40A5-A52B-92D30AB6884E}">
            <xm:f>AND(IF(Q17&lt;'F:\Users\norela.briceno\Documents\Plan de acción\Plan Accion 2018\[Plan Accion Integrado ADRES Vigencia 2018 con Cuadro de Mando V6..xlsx]Plan de Accion 2018'!#REF!,Q17&lt;&gt;"N/A"))</xm:f>
            <x14:dxf>
              <fill>
                <patternFill>
                  <bgColor indexed="10"/>
                </patternFill>
              </fill>
            </x14:dxf>
          </x14:cfRule>
          <xm:sqref>Q17</xm:sqref>
        </x14:conditionalFormatting>
        <x14:conditionalFormatting xmlns:xm="http://schemas.microsoft.com/office/excel/2006/main">
          <x14:cfRule type="expression" priority="13989" id="{A5A6C217-718B-4F41-B797-6B4ECCD05933}">
            <xm:f>AND(IF(X17&gt;'F:\Users\norela.briceno\Documents\Plan de acción\Plan Accion 2018\[Plan Accion Integrado ADRES Vigencia 2018 con Cuadro de Mando V6..xlsx]Plan de Accion 2018'!#REF!,X17&lt;&gt;¨N/A¨))</xm:f>
            <x14:dxf>
              <fill>
                <patternFill>
                  <bgColor theme="1" tint="0.499984740745262"/>
                </patternFill>
              </fill>
            </x14:dxf>
          </x14:cfRule>
          <x14:cfRule type="expression" priority="13990" stopIfTrue="1" id="{78B5B082-11CA-4F52-BC72-7FEECFB30D8D}">
            <xm:f>AND(IF(X17='F:\Users\norela.briceno\Documents\Plan de acción\Plan Accion 2018\[Plan Accion Integrado ADRES Vigencia 2018 con Cuadro de Mando V6..xlsx]Plan de Accion 2018'!#REF!,X17&lt;&gt;"N/A"))</xm:f>
            <x14:dxf>
              <fill>
                <patternFill>
                  <bgColor rgb="FF00B050"/>
                </patternFill>
              </fill>
            </x14:dxf>
          </x14:cfRule>
          <x14:cfRule type="expression" priority="13991" stopIfTrue="1" id="{53D6E753-6DD2-41D0-8B37-6DFEF418198F}">
            <xm:f>AND(IF(X17&lt;'F:\Users\norela.briceno\Documents\Plan de acción\Plan Accion 2018\[Plan Accion Integrado ADRES Vigencia 2018 con Cuadro de Mando V6..xlsx]Plan de Accion 2018'!#REF!,X17&lt;&gt;"N/A"))</xm:f>
            <x14:dxf>
              <fill>
                <patternFill>
                  <bgColor indexed="10"/>
                </patternFill>
              </fill>
            </x14:dxf>
          </x14:cfRule>
          <xm:sqref>X17</xm:sqref>
        </x14:conditionalFormatting>
        <x14:conditionalFormatting xmlns:xm="http://schemas.microsoft.com/office/excel/2006/main">
          <x14:cfRule type="expression" priority="13986" id="{9F62F810-CB76-446D-968B-CBF623889FFE}">
            <xm:f>AND(IF(AE17&gt;'F:\Users\norela.briceno\Documents\Plan de acción\Plan Accion 2018\[Plan Accion Integrado ADRES Vigencia 2018 con Cuadro de Mando V6..xlsx]Plan de Accion 2018'!#REF!,AE17&lt;&gt;¨N/A¨))</xm:f>
            <x14:dxf>
              <fill>
                <patternFill>
                  <bgColor theme="1" tint="0.499984740745262"/>
                </patternFill>
              </fill>
            </x14:dxf>
          </x14:cfRule>
          <x14:cfRule type="expression" priority="13987" stopIfTrue="1" id="{71719960-A77B-4E0B-A277-4317E3E9A640}">
            <xm:f>AND(IF(AE17='F:\Users\norela.briceno\Documents\Plan de acción\Plan Accion 2018\[Plan Accion Integrado ADRES Vigencia 2018 con Cuadro de Mando V6..xlsx]Plan de Accion 2018'!#REF!,AE17&lt;&gt;"N/A"))</xm:f>
            <x14:dxf>
              <fill>
                <patternFill>
                  <bgColor rgb="FF00B050"/>
                </patternFill>
              </fill>
            </x14:dxf>
          </x14:cfRule>
          <x14:cfRule type="expression" priority="13988" stopIfTrue="1" id="{B9DDB2F7-FE03-49EF-8D18-28192C3E297C}">
            <xm:f>AND(IF(AE17&lt;'F:\Users\norela.briceno\Documents\Plan de acción\Plan Accion 2018\[Plan Accion Integrado ADRES Vigencia 2018 con Cuadro de Mando V6..xlsx]Plan de Accion 2018'!#REF!,AE17&lt;&gt;"N/A"))</xm:f>
            <x14:dxf>
              <fill>
                <patternFill>
                  <bgColor indexed="10"/>
                </patternFill>
              </fill>
            </x14:dxf>
          </x14:cfRule>
          <xm:sqref>AE17</xm:sqref>
        </x14:conditionalFormatting>
        <x14:conditionalFormatting xmlns:xm="http://schemas.microsoft.com/office/excel/2006/main">
          <x14:cfRule type="expression" priority="13821" id="{313B1168-59D5-41A1-ABFB-BF585C458BFC}">
            <xm:f>AND(IF(J130&gt;'F:\Users\norela.briceno\Documents\Plan de acción\Plan Accion 2018\[Plan Accion Integrado ADRES Vigencia 2018 con Cuadro de Mando V6..xlsx]Plan de Accion 2018'!#REF!,J130&lt;&gt;¨N/A¨))</xm:f>
            <x14:dxf>
              <fill>
                <patternFill>
                  <bgColor theme="1" tint="0.499984740745262"/>
                </patternFill>
              </fill>
            </x14:dxf>
          </x14:cfRule>
          <x14:cfRule type="expression" priority="13822" stopIfTrue="1" id="{C1B798F1-86D5-4D62-9626-F867F3DF00D8}">
            <xm:f>AND(IF(J130='F:\Users\norela.briceno\Documents\Plan de acción\Plan Accion 2018\[Plan Accion Integrado ADRES Vigencia 2018 con Cuadro de Mando V6..xlsx]Plan de Accion 2018'!#REF!,J130&lt;&gt;"N/A"))</xm:f>
            <x14:dxf>
              <fill>
                <patternFill>
                  <bgColor rgb="FF00B050"/>
                </patternFill>
              </fill>
            </x14:dxf>
          </x14:cfRule>
          <x14:cfRule type="expression" priority="13823" stopIfTrue="1" id="{107A7545-BE5E-47BD-AFEA-F41828694E53}">
            <xm:f>AND(IF(J130&lt;'F:\Users\norela.briceno\Documents\Plan de acción\Plan Accion 2018\[Plan Accion Integrado ADRES Vigencia 2018 con Cuadro de Mando V6..xlsx]Plan de Accion 2018'!#REF!,J130&lt;&gt;"N/A"))</xm:f>
            <x14:dxf>
              <fill>
                <patternFill>
                  <bgColor indexed="10"/>
                </patternFill>
              </fill>
            </x14:dxf>
          </x14:cfRule>
          <xm:sqref>J130</xm:sqref>
        </x14:conditionalFormatting>
        <x14:conditionalFormatting xmlns:xm="http://schemas.microsoft.com/office/excel/2006/main">
          <x14:cfRule type="expression" priority="13744" id="{FAB6F63D-3811-44FA-AE9C-76EBC2328AE7}">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3745" stopIfTrue="1" id="{76C97A6C-8B0A-4A59-BC46-D0BA3EE5898F}">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3746" stopIfTrue="1" id="{EA693E0D-4F3F-40B9-AB7A-0D141DE9F135}">
            <xm:f>AND(IF(J131&lt;'F:\Users\norela.briceno\Documents\Plan de acción\Plan Accion 2018\[Plan Accion Integrado ADRES Vigencia 2018 con Cuadro de Mando V6..xlsx]Plan de Accion 2018'!#REF!,J131&lt;&gt;"N/A"))</xm:f>
            <x14:dxf>
              <fill>
                <patternFill>
                  <bgColor indexed="10"/>
                </patternFill>
              </fill>
            </x14:dxf>
          </x14:cfRule>
          <xm:sqref>J131:J135</xm:sqref>
        </x14:conditionalFormatting>
        <x14:conditionalFormatting xmlns:xm="http://schemas.microsoft.com/office/excel/2006/main">
          <x14:cfRule type="expression" priority="13741" id="{5AD855A8-154F-4E58-BBDA-90CF43633B65}">
            <xm:f>AND(IF(Q131&gt;'F:\Users\norela.briceno\Documents\Plan de acción\Plan Accion 2018\[Plan Accion Integrado ADRES Vigencia 2018 con Cuadro de Mando V6..xlsx]Plan de Accion 2018'!#REF!,Q131&lt;&gt;¨N/A¨))</xm:f>
            <x14:dxf>
              <fill>
                <patternFill>
                  <bgColor theme="1" tint="0.499984740745262"/>
                </patternFill>
              </fill>
            </x14:dxf>
          </x14:cfRule>
          <x14:cfRule type="expression" priority="13742" stopIfTrue="1" id="{F99FA15F-5DD4-404D-BBC6-4A982DECB3F4}">
            <xm:f>AND(IF(Q131='F:\Users\norela.briceno\Documents\Plan de acción\Plan Accion 2018\[Plan Accion Integrado ADRES Vigencia 2018 con Cuadro de Mando V6..xlsx]Plan de Accion 2018'!#REF!,Q131&lt;&gt;"N/A"))</xm:f>
            <x14:dxf>
              <fill>
                <patternFill>
                  <bgColor rgb="FF00B050"/>
                </patternFill>
              </fill>
            </x14:dxf>
          </x14:cfRule>
          <x14:cfRule type="expression" priority="13743" stopIfTrue="1" id="{2112F04A-1EE1-4AC0-BC67-B4BABA23945D}">
            <xm:f>AND(IF(Q131&lt;'F:\Users\norela.briceno\Documents\Plan de acción\Plan Accion 2018\[Plan Accion Integrado ADRES Vigencia 2018 con Cuadro de Mando V6..xlsx]Plan de Accion 2018'!#REF!,Q131&lt;&gt;"N/A"))</xm:f>
            <x14:dxf>
              <fill>
                <patternFill>
                  <bgColor indexed="10"/>
                </patternFill>
              </fill>
            </x14:dxf>
          </x14:cfRule>
          <xm:sqref>Q131:Q135</xm:sqref>
        </x14:conditionalFormatting>
        <x14:conditionalFormatting xmlns:xm="http://schemas.microsoft.com/office/excel/2006/main">
          <x14:cfRule type="expression" priority="13738" id="{7CC14C41-40F8-498A-87D2-825ADC0A10E6}">
            <xm:f>AND(IF(X131&gt;'F:\Users\norela.briceno\Documents\Plan de acción\Plan Accion 2018\[Plan Accion Integrado ADRES Vigencia 2018 con Cuadro de Mando V6..xlsx]Plan de Accion 2018'!#REF!,X131&lt;&gt;¨N/A¨))</xm:f>
            <x14:dxf>
              <fill>
                <patternFill>
                  <bgColor theme="1" tint="0.499984740745262"/>
                </patternFill>
              </fill>
            </x14:dxf>
          </x14:cfRule>
          <x14:cfRule type="expression" priority="13739" stopIfTrue="1" id="{3CD84611-503C-44BD-A94B-68752A05CD56}">
            <xm:f>AND(IF(X131='F:\Users\norela.briceno\Documents\Plan de acción\Plan Accion 2018\[Plan Accion Integrado ADRES Vigencia 2018 con Cuadro de Mando V6..xlsx]Plan de Accion 2018'!#REF!,X131&lt;&gt;"N/A"))</xm:f>
            <x14:dxf>
              <fill>
                <patternFill>
                  <bgColor rgb="FF00B050"/>
                </patternFill>
              </fill>
            </x14:dxf>
          </x14:cfRule>
          <x14:cfRule type="expression" priority="13740" stopIfTrue="1" id="{13C473EB-2099-4974-9E49-B6D42F2EDFF3}">
            <xm:f>AND(IF(X131&lt;'F:\Users\norela.briceno\Documents\Plan de acción\Plan Accion 2018\[Plan Accion Integrado ADRES Vigencia 2018 con Cuadro de Mando V6..xlsx]Plan de Accion 2018'!#REF!,X131&lt;&gt;"N/A"))</xm:f>
            <x14:dxf>
              <fill>
                <patternFill>
                  <bgColor indexed="10"/>
                </patternFill>
              </fill>
            </x14:dxf>
          </x14:cfRule>
          <xm:sqref>X131:X135</xm:sqref>
        </x14:conditionalFormatting>
        <x14:conditionalFormatting xmlns:xm="http://schemas.microsoft.com/office/excel/2006/main">
          <x14:cfRule type="expression" priority="13735" id="{7882F0C7-CE48-47D4-993A-1A261268FBAF}">
            <xm:f>AND(IF(AE131&gt;'F:\Users\norela.briceno\Documents\Plan de acción\Plan Accion 2018\[Plan Accion Integrado ADRES Vigencia 2018 con Cuadro de Mando V6..xlsx]Plan de Accion 2018'!#REF!,AE131&lt;&gt;¨N/A¨))</xm:f>
            <x14:dxf>
              <fill>
                <patternFill>
                  <bgColor theme="1" tint="0.499984740745262"/>
                </patternFill>
              </fill>
            </x14:dxf>
          </x14:cfRule>
          <x14:cfRule type="expression" priority="13736" stopIfTrue="1" id="{C6322515-5A4A-4B9C-9196-BB8A29E89BAB}">
            <xm:f>AND(IF(AE131='F:\Users\norela.briceno\Documents\Plan de acción\Plan Accion 2018\[Plan Accion Integrado ADRES Vigencia 2018 con Cuadro de Mando V6..xlsx]Plan de Accion 2018'!#REF!,AE131&lt;&gt;"N/A"))</xm:f>
            <x14:dxf>
              <fill>
                <patternFill>
                  <bgColor rgb="FF00B050"/>
                </patternFill>
              </fill>
            </x14:dxf>
          </x14:cfRule>
          <x14:cfRule type="expression" priority="13737" stopIfTrue="1" id="{1F98C99B-AD16-462E-AACF-E8F77C65E0A3}">
            <xm:f>AND(IF(AE131&lt;'F:\Users\norela.briceno\Documents\Plan de acción\Plan Accion 2018\[Plan Accion Integrado ADRES Vigencia 2018 con Cuadro de Mando V6..xlsx]Plan de Accion 2018'!#REF!,AE131&lt;&gt;"N/A"))</xm:f>
            <x14:dxf>
              <fill>
                <patternFill>
                  <bgColor indexed="10"/>
                </patternFill>
              </fill>
            </x14:dxf>
          </x14:cfRule>
          <xm:sqref>AE131:AE135</xm:sqref>
        </x14:conditionalFormatting>
        <x14:conditionalFormatting xmlns:xm="http://schemas.microsoft.com/office/excel/2006/main">
          <x14:cfRule type="expression" priority="13672" id="{CEED9DCE-6927-4E54-9C65-42C883025494}">
            <xm:f>AND(IF(J18&gt;'F:\Users\norela.briceno\Documents\Plan de acción\Plan Accion 2018\[Plan Accion Integrado ADRES Vigencia 2018 con Cuadro de Mando V6..xlsx]Plan de Accion 2018'!#REF!,J18&lt;&gt;¨N/A¨))</xm:f>
            <x14:dxf>
              <fill>
                <patternFill>
                  <bgColor theme="1" tint="0.499984740745262"/>
                </patternFill>
              </fill>
            </x14:dxf>
          </x14:cfRule>
          <x14:cfRule type="expression" priority="13673" stopIfTrue="1" id="{5263D883-2457-4593-BD35-7BC80FCCD353}">
            <xm:f>AND(IF(J18='F:\Users\norela.briceno\Documents\Plan de acción\Plan Accion 2018\[Plan Accion Integrado ADRES Vigencia 2018 con Cuadro de Mando V6..xlsx]Plan de Accion 2018'!#REF!,J18&lt;&gt;"N/A"))</xm:f>
            <x14:dxf>
              <fill>
                <patternFill>
                  <bgColor rgb="FF00B050"/>
                </patternFill>
              </fill>
            </x14:dxf>
          </x14:cfRule>
          <x14:cfRule type="expression" priority="13674" stopIfTrue="1" id="{C93C2EE7-F254-403A-AB98-4CE205E2911A}">
            <xm:f>AND(IF(J18&lt;'F:\Users\norela.briceno\Documents\Plan de acción\Plan Accion 2018\[Plan Accion Integrado ADRES Vigencia 2018 con Cuadro de Mando V6..xlsx]Plan de Accion 2018'!#REF!,J18&lt;&gt;"N/A"))</xm:f>
            <x14:dxf>
              <fill>
                <patternFill>
                  <bgColor indexed="10"/>
                </patternFill>
              </fill>
            </x14:dxf>
          </x14:cfRule>
          <xm:sqref>J18</xm:sqref>
        </x14:conditionalFormatting>
        <x14:conditionalFormatting xmlns:xm="http://schemas.microsoft.com/office/excel/2006/main">
          <x14:cfRule type="expression" priority="13669" id="{48F415CF-7302-4E41-A371-C64FC750C61C}">
            <xm:f>AND(IF(Q18&gt;'F:\Users\norela.briceno\Documents\Plan de acción\Plan Accion 2018\[Plan Accion Integrado ADRES Vigencia 2018 con Cuadro de Mando V6..xlsx]Plan de Accion 2018'!#REF!,Q18&lt;&gt;¨N/A¨))</xm:f>
            <x14:dxf>
              <fill>
                <patternFill>
                  <bgColor theme="1" tint="0.499984740745262"/>
                </patternFill>
              </fill>
            </x14:dxf>
          </x14:cfRule>
          <x14:cfRule type="expression" priority="13670" stopIfTrue="1" id="{8FC6CC52-3EBF-4C66-B546-03C96713DD76}">
            <xm:f>AND(IF(Q18='F:\Users\norela.briceno\Documents\Plan de acción\Plan Accion 2018\[Plan Accion Integrado ADRES Vigencia 2018 con Cuadro de Mando V6..xlsx]Plan de Accion 2018'!#REF!,Q18&lt;&gt;"N/A"))</xm:f>
            <x14:dxf>
              <fill>
                <patternFill>
                  <bgColor rgb="FF00B050"/>
                </patternFill>
              </fill>
            </x14:dxf>
          </x14:cfRule>
          <x14:cfRule type="expression" priority="13671" stopIfTrue="1" id="{485410D6-D82B-42EA-9C96-0D4E9AA2887D}">
            <xm:f>AND(IF(Q18&lt;'F:\Users\norela.briceno\Documents\Plan de acción\Plan Accion 2018\[Plan Accion Integrado ADRES Vigencia 2018 con Cuadro de Mando V6..xlsx]Plan de Accion 2018'!#REF!,Q18&lt;&gt;"N/A"))</xm:f>
            <x14:dxf>
              <fill>
                <patternFill>
                  <bgColor indexed="10"/>
                </patternFill>
              </fill>
            </x14:dxf>
          </x14:cfRule>
          <xm:sqref>Q18</xm:sqref>
        </x14:conditionalFormatting>
        <x14:conditionalFormatting xmlns:xm="http://schemas.microsoft.com/office/excel/2006/main">
          <x14:cfRule type="expression" priority="13666" id="{A99CC262-7093-474E-A64D-6F5F905D797B}">
            <xm:f>AND(IF(X18&gt;'F:\Users\norela.briceno\Documents\Plan de acción\Plan Accion 2018\[Plan Accion Integrado ADRES Vigencia 2018 con Cuadro de Mando V6..xlsx]Plan de Accion 2018'!#REF!,X18&lt;&gt;¨N/A¨))</xm:f>
            <x14:dxf>
              <fill>
                <patternFill>
                  <bgColor theme="1" tint="0.499984740745262"/>
                </patternFill>
              </fill>
            </x14:dxf>
          </x14:cfRule>
          <x14:cfRule type="expression" priority="13667" stopIfTrue="1" id="{7595EDD6-9655-43E5-A1B0-1B112F4D4D83}">
            <xm:f>AND(IF(X18='F:\Users\norela.briceno\Documents\Plan de acción\Plan Accion 2018\[Plan Accion Integrado ADRES Vigencia 2018 con Cuadro de Mando V6..xlsx]Plan de Accion 2018'!#REF!,X18&lt;&gt;"N/A"))</xm:f>
            <x14:dxf>
              <fill>
                <patternFill>
                  <bgColor rgb="FF00B050"/>
                </patternFill>
              </fill>
            </x14:dxf>
          </x14:cfRule>
          <x14:cfRule type="expression" priority="13668" stopIfTrue="1" id="{8462ECAC-CA1A-4109-B1A1-4DE585AA5070}">
            <xm:f>AND(IF(X18&lt;'F:\Users\norela.briceno\Documents\Plan de acción\Plan Accion 2018\[Plan Accion Integrado ADRES Vigencia 2018 con Cuadro de Mando V6..xlsx]Plan de Accion 2018'!#REF!,X18&lt;&gt;"N/A"))</xm:f>
            <x14:dxf>
              <fill>
                <patternFill>
                  <bgColor indexed="10"/>
                </patternFill>
              </fill>
            </x14:dxf>
          </x14:cfRule>
          <xm:sqref>X18</xm:sqref>
        </x14:conditionalFormatting>
        <x14:conditionalFormatting xmlns:xm="http://schemas.microsoft.com/office/excel/2006/main">
          <x14:cfRule type="expression" priority="13663" id="{6D9F7408-149E-4D79-8B5E-B2824A6A7891}">
            <xm:f>AND(IF(AE18&gt;'F:\Users\norela.briceno\Documents\Plan de acción\Plan Accion 2018\[Plan Accion Integrado ADRES Vigencia 2018 con Cuadro de Mando V6..xlsx]Plan de Accion 2018'!#REF!,AE18&lt;&gt;¨N/A¨))</xm:f>
            <x14:dxf>
              <fill>
                <patternFill>
                  <bgColor theme="1" tint="0.499984740745262"/>
                </patternFill>
              </fill>
            </x14:dxf>
          </x14:cfRule>
          <x14:cfRule type="expression" priority="13664" stopIfTrue="1" id="{E1F47294-C749-412C-A208-CF7F3BC15F67}">
            <xm:f>AND(IF(AE18='F:\Users\norela.briceno\Documents\Plan de acción\Plan Accion 2018\[Plan Accion Integrado ADRES Vigencia 2018 con Cuadro de Mando V6..xlsx]Plan de Accion 2018'!#REF!,AE18&lt;&gt;"N/A"))</xm:f>
            <x14:dxf>
              <fill>
                <patternFill>
                  <bgColor rgb="FF00B050"/>
                </patternFill>
              </fill>
            </x14:dxf>
          </x14:cfRule>
          <x14:cfRule type="expression" priority="13665" stopIfTrue="1" id="{09E024F1-A163-4628-B919-94A3B8CE1325}">
            <xm:f>AND(IF(AE18&lt;'F:\Users\norela.briceno\Documents\Plan de acción\Plan Accion 2018\[Plan Accion Integrado ADRES Vigencia 2018 con Cuadro de Mando V6..xlsx]Plan de Accion 2018'!#REF!,AE18&lt;&gt;"N/A"))</xm:f>
            <x14:dxf>
              <fill>
                <patternFill>
                  <bgColor indexed="10"/>
                </patternFill>
              </fill>
            </x14:dxf>
          </x14:cfRule>
          <xm:sqref>AE18</xm:sqref>
        </x14:conditionalFormatting>
        <x14:conditionalFormatting xmlns:xm="http://schemas.microsoft.com/office/excel/2006/main">
          <x14:cfRule type="expression" priority="13600" id="{FC874641-5E25-4589-80DE-0FE2327E2130}">
            <xm:f>AND(IF(J22&gt;'F:\Users\norela.briceno\Documents\Plan de acción\Plan Accion 2018\[Plan Accion Integrado ADRES Vigencia 2018 con Cuadro de Mando V6..xlsx]Plan de Accion 2018'!#REF!,J22&lt;&gt;¨N/A¨))</xm:f>
            <x14:dxf>
              <fill>
                <patternFill>
                  <bgColor theme="1" tint="0.499984740745262"/>
                </patternFill>
              </fill>
            </x14:dxf>
          </x14:cfRule>
          <x14:cfRule type="expression" priority="13601" stopIfTrue="1" id="{6C75B2E9-284A-4555-A167-8D743308BA23}">
            <xm:f>AND(IF(J22='F:\Users\norela.briceno\Documents\Plan de acción\Plan Accion 2018\[Plan Accion Integrado ADRES Vigencia 2018 con Cuadro de Mando V6..xlsx]Plan de Accion 2018'!#REF!,J22&lt;&gt;"N/A"))</xm:f>
            <x14:dxf>
              <fill>
                <patternFill>
                  <bgColor rgb="FF00B050"/>
                </patternFill>
              </fill>
            </x14:dxf>
          </x14:cfRule>
          <x14:cfRule type="expression" priority="13602" stopIfTrue="1" id="{5A8F14B5-B1E7-43ED-9973-10B574498CC1}">
            <xm:f>AND(IF(J22&lt;'F:\Users\norela.briceno\Documents\Plan de acción\Plan Accion 2018\[Plan Accion Integrado ADRES Vigencia 2018 con Cuadro de Mando V6..xlsx]Plan de Accion 2018'!#REF!,J22&lt;&gt;"N/A"))</xm:f>
            <x14:dxf>
              <fill>
                <patternFill>
                  <bgColor indexed="10"/>
                </patternFill>
              </fill>
            </x14:dxf>
          </x14:cfRule>
          <xm:sqref>J22</xm:sqref>
        </x14:conditionalFormatting>
        <x14:conditionalFormatting xmlns:xm="http://schemas.microsoft.com/office/excel/2006/main">
          <x14:cfRule type="expression" priority="13597" id="{D5167CC0-FC56-4B74-9F50-8860D0309F9E}">
            <xm:f>AND(IF(Q22&gt;'F:\Users\norela.briceno\Documents\Plan de acción\Plan Accion 2018\[Plan Accion Integrado ADRES Vigencia 2018 con Cuadro de Mando V6..xlsx]Plan de Accion 2018'!#REF!,Q22&lt;&gt;¨N/A¨))</xm:f>
            <x14:dxf>
              <fill>
                <patternFill>
                  <bgColor theme="1" tint="0.499984740745262"/>
                </patternFill>
              </fill>
            </x14:dxf>
          </x14:cfRule>
          <x14:cfRule type="expression" priority="13598" stopIfTrue="1" id="{F8E4D529-AC6C-47FF-A259-6A71B994C97F}">
            <xm:f>AND(IF(Q22='F:\Users\norela.briceno\Documents\Plan de acción\Plan Accion 2018\[Plan Accion Integrado ADRES Vigencia 2018 con Cuadro de Mando V6..xlsx]Plan de Accion 2018'!#REF!,Q22&lt;&gt;"N/A"))</xm:f>
            <x14:dxf>
              <fill>
                <patternFill>
                  <bgColor rgb="FF00B050"/>
                </patternFill>
              </fill>
            </x14:dxf>
          </x14:cfRule>
          <x14:cfRule type="expression" priority="13599" stopIfTrue="1" id="{013DBAC9-3D24-462D-829E-741F75B0FC20}">
            <xm:f>AND(IF(Q22&lt;'F:\Users\norela.briceno\Documents\Plan de acción\Plan Accion 2018\[Plan Accion Integrado ADRES Vigencia 2018 con Cuadro de Mando V6..xlsx]Plan de Accion 2018'!#REF!,Q22&lt;&gt;"N/A"))</xm:f>
            <x14:dxf>
              <fill>
                <patternFill>
                  <bgColor indexed="10"/>
                </patternFill>
              </fill>
            </x14:dxf>
          </x14:cfRule>
          <xm:sqref>Q22</xm:sqref>
        </x14:conditionalFormatting>
        <x14:conditionalFormatting xmlns:xm="http://schemas.microsoft.com/office/excel/2006/main">
          <x14:cfRule type="expression" priority="13594" id="{9CED39F3-EB1D-4D15-B21C-50564726D96A}">
            <xm:f>AND(IF(X22&gt;'F:\Users\norela.briceno\Documents\Plan de acción\Plan Accion 2018\[Plan Accion Integrado ADRES Vigencia 2018 con Cuadro de Mando V6..xlsx]Plan de Accion 2018'!#REF!,X22&lt;&gt;¨N/A¨))</xm:f>
            <x14:dxf>
              <fill>
                <patternFill>
                  <bgColor theme="1" tint="0.499984740745262"/>
                </patternFill>
              </fill>
            </x14:dxf>
          </x14:cfRule>
          <x14:cfRule type="expression" priority="13595" stopIfTrue="1" id="{A046F870-B82B-4E60-814D-3FF3C2ACC00C}">
            <xm:f>AND(IF(X22='F:\Users\norela.briceno\Documents\Plan de acción\Plan Accion 2018\[Plan Accion Integrado ADRES Vigencia 2018 con Cuadro de Mando V6..xlsx]Plan de Accion 2018'!#REF!,X22&lt;&gt;"N/A"))</xm:f>
            <x14:dxf>
              <fill>
                <patternFill>
                  <bgColor rgb="FF00B050"/>
                </patternFill>
              </fill>
            </x14:dxf>
          </x14:cfRule>
          <x14:cfRule type="expression" priority="13596" stopIfTrue="1" id="{29F39EBC-697C-4B69-BE3C-51F518909AC4}">
            <xm:f>AND(IF(X22&lt;'F:\Users\norela.briceno\Documents\Plan de acción\Plan Accion 2018\[Plan Accion Integrado ADRES Vigencia 2018 con Cuadro de Mando V6..xlsx]Plan de Accion 2018'!#REF!,X22&lt;&gt;"N/A"))</xm:f>
            <x14:dxf>
              <fill>
                <patternFill>
                  <bgColor indexed="10"/>
                </patternFill>
              </fill>
            </x14:dxf>
          </x14:cfRule>
          <xm:sqref>X22</xm:sqref>
        </x14:conditionalFormatting>
        <x14:conditionalFormatting xmlns:xm="http://schemas.microsoft.com/office/excel/2006/main">
          <x14:cfRule type="expression" priority="13591" id="{140473CC-E189-4F7B-9526-25ECF38FDBD7}">
            <xm:f>AND(IF(AE22&gt;'F:\Users\norela.briceno\Documents\Plan de acción\Plan Accion 2018\[Plan Accion Integrado ADRES Vigencia 2018 con Cuadro de Mando V6..xlsx]Plan de Accion 2018'!#REF!,AE22&lt;&gt;¨N/A¨))</xm:f>
            <x14:dxf>
              <fill>
                <patternFill>
                  <bgColor theme="1" tint="0.499984740745262"/>
                </patternFill>
              </fill>
            </x14:dxf>
          </x14:cfRule>
          <x14:cfRule type="expression" priority="13592" stopIfTrue="1" id="{5FF868FE-ED6B-4DBF-9BB5-B2E6257F2E65}">
            <xm:f>AND(IF(AE22='F:\Users\norela.briceno\Documents\Plan de acción\Plan Accion 2018\[Plan Accion Integrado ADRES Vigencia 2018 con Cuadro de Mando V6..xlsx]Plan de Accion 2018'!#REF!,AE22&lt;&gt;"N/A"))</xm:f>
            <x14:dxf>
              <fill>
                <patternFill>
                  <bgColor rgb="FF00B050"/>
                </patternFill>
              </fill>
            </x14:dxf>
          </x14:cfRule>
          <x14:cfRule type="expression" priority="13593" stopIfTrue="1" id="{77D4612F-6F96-4F8A-BB22-2FA25E208BAB}">
            <xm:f>AND(IF(AE22&lt;'F:\Users\norela.briceno\Documents\Plan de acción\Plan Accion 2018\[Plan Accion Integrado ADRES Vigencia 2018 con Cuadro de Mando V6..xlsx]Plan de Accion 2018'!#REF!,AE22&lt;&gt;"N/A"))</xm:f>
            <x14:dxf>
              <fill>
                <patternFill>
                  <bgColor indexed="10"/>
                </patternFill>
              </fill>
            </x14:dxf>
          </x14:cfRule>
          <xm:sqref>AE22</xm:sqref>
        </x14:conditionalFormatting>
        <x14:conditionalFormatting xmlns:xm="http://schemas.microsoft.com/office/excel/2006/main">
          <x14:cfRule type="expression" priority="13523" id="{47A36DA8-DEE6-4662-9533-F961EDA84054}">
            <xm:f>AND(IF(J136&gt;'F:\Users\norela.briceno\Documents\Plan de acción\Plan Accion 2018\[Plan Accion Integrado ADRES Vigencia 2018 con Cuadro de Mando V6..xlsx]Plan de Accion 2018'!#REF!,J136&lt;&gt;¨N/A¨))</xm:f>
            <x14:dxf>
              <fill>
                <patternFill>
                  <bgColor theme="1" tint="0.499984740745262"/>
                </patternFill>
              </fill>
            </x14:dxf>
          </x14:cfRule>
          <x14:cfRule type="expression" priority="13524" stopIfTrue="1" id="{CF0F8BD8-D3EC-466E-8420-04AE4D50761E}">
            <xm:f>AND(IF(J136='F:\Users\norela.briceno\Documents\Plan de acción\Plan Accion 2018\[Plan Accion Integrado ADRES Vigencia 2018 con Cuadro de Mando V6..xlsx]Plan de Accion 2018'!#REF!,J136&lt;&gt;"N/A"))</xm:f>
            <x14:dxf>
              <fill>
                <patternFill>
                  <bgColor rgb="FF00B050"/>
                </patternFill>
              </fill>
            </x14:dxf>
          </x14:cfRule>
          <x14:cfRule type="expression" priority="13525" stopIfTrue="1" id="{4FDA5B06-A18D-4A5C-AFC4-ABE06188B13F}">
            <xm:f>AND(IF(J136&lt;'F:\Users\norela.briceno\Documents\Plan de acción\Plan Accion 2018\[Plan Accion Integrado ADRES Vigencia 2018 con Cuadro de Mando V6..xlsx]Plan de Accion 2018'!#REF!,J136&lt;&gt;"N/A"))</xm:f>
            <x14:dxf>
              <fill>
                <patternFill>
                  <bgColor indexed="10"/>
                </patternFill>
              </fill>
            </x14:dxf>
          </x14:cfRule>
          <xm:sqref>J136:J137 J139</xm:sqref>
        </x14:conditionalFormatting>
        <x14:conditionalFormatting xmlns:xm="http://schemas.microsoft.com/office/excel/2006/main">
          <x14:cfRule type="expression" priority="13520" id="{3A0EF18A-B871-4828-AE40-7520050855C6}">
            <xm:f>AND(IF(Q136&gt;'F:\Users\norela.briceno\Documents\Plan de acción\Plan Accion 2018\[Plan Accion Integrado ADRES Vigencia 2018 con Cuadro de Mando V6..xlsx]Plan de Accion 2018'!#REF!,Q136&lt;&gt;¨N/A¨))</xm:f>
            <x14:dxf>
              <fill>
                <patternFill>
                  <bgColor theme="1" tint="0.499984740745262"/>
                </patternFill>
              </fill>
            </x14:dxf>
          </x14:cfRule>
          <x14:cfRule type="expression" priority="13521" stopIfTrue="1" id="{0ADF8710-E297-46D9-B80F-AD638DBA8694}">
            <xm:f>AND(IF(Q136='F:\Users\norela.briceno\Documents\Plan de acción\Plan Accion 2018\[Plan Accion Integrado ADRES Vigencia 2018 con Cuadro de Mando V6..xlsx]Plan de Accion 2018'!#REF!,Q136&lt;&gt;"N/A"))</xm:f>
            <x14:dxf>
              <fill>
                <patternFill>
                  <bgColor rgb="FF00B050"/>
                </patternFill>
              </fill>
            </x14:dxf>
          </x14:cfRule>
          <x14:cfRule type="expression" priority="13522" stopIfTrue="1" id="{DDBDA99C-F658-4605-8516-FCBE8467DC0F}">
            <xm:f>AND(IF(Q136&lt;'F:\Users\norela.briceno\Documents\Plan de acción\Plan Accion 2018\[Plan Accion Integrado ADRES Vigencia 2018 con Cuadro de Mando V6..xlsx]Plan de Accion 2018'!#REF!,Q136&lt;&gt;"N/A"))</xm:f>
            <x14:dxf>
              <fill>
                <patternFill>
                  <bgColor indexed="10"/>
                </patternFill>
              </fill>
            </x14:dxf>
          </x14:cfRule>
          <xm:sqref>Q136:Q137 Q139</xm:sqref>
        </x14:conditionalFormatting>
        <x14:conditionalFormatting xmlns:xm="http://schemas.microsoft.com/office/excel/2006/main">
          <x14:cfRule type="expression" priority="13517" id="{9743637B-3577-47F2-B332-54ACF2828492}">
            <xm:f>AND(IF(X136&gt;'F:\Users\norela.briceno\Documents\Plan de acción\Plan Accion 2018\[Plan Accion Integrado ADRES Vigencia 2018 con Cuadro de Mando V6..xlsx]Plan de Accion 2018'!#REF!,X136&lt;&gt;¨N/A¨))</xm:f>
            <x14:dxf>
              <fill>
                <patternFill>
                  <bgColor theme="1" tint="0.499984740745262"/>
                </patternFill>
              </fill>
            </x14:dxf>
          </x14:cfRule>
          <x14:cfRule type="expression" priority="13518" stopIfTrue="1" id="{931BBBC9-1706-4AC9-8152-9A34297A9AB7}">
            <xm:f>AND(IF(X136='F:\Users\norela.briceno\Documents\Plan de acción\Plan Accion 2018\[Plan Accion Integrado ADRES Vigencia 2018 con Cuadro de Mando V6..xlsx]Plan de Accion 2018'!#REF!,X136&lt;&gt;"N/A"))</xm:f>
            <x14:dxf>
              <fill>
                <patternFill>
                  <bgColor rgb="FF00B050"/>
                </patternFill>
              </fill>
            </x14:dxf>
          </x14:cfRule>
          <x14:cfRule type="expression" priority="13519" stopIfTrue="1" id="{49EFC321-026A-4439-9042-826A3D9217A0}">
            <xm:f>AND(IF(X136&lt;'F:\Users\norela.briceno\Documents\Plan de acción\Plan Accion 2018\[Plan Accion Integrado ADRES Vigencia 2018 con Cuadro de Mando V6..xlsx]Plan de Accion 2018'!#REF!,X136&lt;&gt;"N/A"))</xm:f>
            <x14:dxf>
              <fill>
                <patternFill>
                  <bgColor indexed="10"/>
                </patternFill>
              </fill>
            </x14:dxf>
          </x14:cfRule>
          <xm:sqref>X136:X137 X139</xm:sqref>
        </x14:conditionalFormatting>
        <x14:conditionalFormatting xmlns:xm="http://schemas.microsoft.com/office/excel/2006/main">
          <x14:cfRule type="expression" priority="13514" id="{3B0ED06F-A5D0-4CF9-9388-2CF946D3167B}">
            <xm:f>AND(IF(AE136&gt;'F:\Users\norela.briceno\Documents\Plan de acción\Plan Accion 2018\[Plan Accion Integrado ADRES Vigencia 2018 con Cuadro de Mando V6..xlsx]Plan de Accion 2018'!#REF!,AE136&lt;&gt;¨N/A¨))</xm:f>
            <x14:dxf>
              <fill>
                <patternFill>
                  <bgColor theme="1" tint="0.499984740745262"/>
                </patternFill>
              </fill>
            </x14:dxf>
          </x14:cfRule>
          <x14:cfRule type="expression" priority="13515" stopIfTrue="1" id="{45AA29E1-BF58-4418-8C28-C617ACCFAF58}">
            <xm:f>AND(IF(AE136='F:\Users\norela.briceno\Documents\Plan de acción\Plan Accion 2018\[Plan Accion Integrado ADRES Vigencia 2018 con Cuadro de Mando V6..xlsx]Plan de Accion 2018'!#REF!,AE136&lt;&gt;"N/A"))</xm:f>
            <x14:dxf>
              <fill>
                <patternFill>
                  <bgColor rgb="FF00B050"/>
                </patternFill>
              </fill>
            </x14:dxf>
          </x14:cfRule>
          <x14:cfRule type="expression" priority="13516" stopIfTrue="1" id="{EFF5CC4C-27B1-4339-ABE6-0E9B7DB15655}">
            <xm:f>AND(IF(AE136&lt;'F:\Users\norela.briceno\Documents\Plan de acción\Plan Accion 2018\[Plan Accion Integrado ADRES Vigencia 2018 con Cuadro de Mando V6..xlsx]Plan de Accion 2018'!#REF!,AE136&lt;&gt;"N/A"))</xm:f>
            <x14:dxf>
              <fill>
                <patternFill>
                  <bgColor indexed="10"/>
                </patternFill>
              </fill>
            </x14:dxf>
          </x14:cfRule>
          <xm:sqref>AE136:AE137 AE139</xm:sqref>
        </x14:conditionalFormatting>
        <x14:conditionalFormatting xmlns:xm="http://schemas.microsoft.com/office/excel/2006/main">
          <x14:cfRule type="expression" priority="13426" id="{21A64BE4-ACED-4979-B0B4-FBCFE92724B5}">
            <xm:f>AND(IF(J195&gt;'F:\Users\norela.briceno\Documents\Plan de acción\Plan Accion 2018\[Plan Accion Integrado ADRES Vigencia 2018 con Cuadro de Mando V6..xlsx]Plan de Accion 2018'!#REF!,J195&lt;&gt;¨N/A¨))</xm:f>
            <x14:dxf>
              <fill>
                <patternFill>
                  <bgColor theme="1" tint="0.499984740745262"/>
                </patternFill>
              </fill>
            </x14:dxf>
          </x14:cfRule>
          <x14:cfRule type="expression" priority="13427" stopIfTrue="1" id="{6FE0532C-0FC4-438D-9C0A-848A372554B0}">
            <xm:f>AND(IF(J195='F:\Users\norela.briceno\Documents\Plan de acción\Plan Accion 2018\[Plan Accion Integrado ADRES Vigencia 2018 con Cuadro de Mando V6..xlsx]Plan de Accion 2018'!#REF!,J195&lt;&gt;"N/A"))</xm:f>
            <x14:dxf>
              <fill>
                <patternFill>
                  <bgColor rgb="FF00B050"/>
                </patternFill>
              </fill>
            </x14:dxf>
          </x14:cfRule>
          <x14:cfRule type="expression" priority="13428" stopIfTrue="1" id="{ABBA859D-5D9D-4583-8510-0AC977CFFB25}">
            <xm:f>AND(IF(J195&lt;'F:\Users\norela.briceno\Documents\Plan de acción\Plan Accion 2018\[Plan Accion Integrado ADRES Vigencia 2018 con Cuadro de Mando V6..xlsx]Plan de Accion 2018'!#REF!,J195&lt;&gt;"N/A"))</xm:f>
            <x14:dxf>
              <fill>
                <patternFill>
                  <bgColor indexed="10"/>
                </patternFill>
              </fill>
            </x14:dxf>
          </x14:cfRule>
          <xm:sqref>J195</xm:sqref>
        </x14:conditionalFormatting>
        <x14:conditionalFormatting xmlns:xm="http://schemas.microsoft.com/office/excel/2006/main">
          <x14:cfRule type="expression" priority="13423" id="{F016FA6B-D594-43D2-A5C3-DC39C05E508F}">
            <xm:f>AND(IF(Q195&gt;'F:\Users\norela.briceno\Documents\Plan de acción\Plan Accion 2018\[Plan Accion Integrado ADRES Vigencia 2018 con Cuadro de Mando V6..xlsx]Plan de Accion 2018'!#REF!,Q195&lt;&gt;¨N/A¨))</xm:f>
            <x14:dxf>
              <fill>
                <patternFill>
                  <bgColor theme="1" tint="0.499984740745262"/>
                </patternFill>
              </fill>
            </x14:dxf>
          </x14:cfRule>
          <x14:cfRule type="expression" priority="13424" stopIfTrue="1" id="{D18AEB55-1586-48BC-8CD2-C1C043CACFB2}">
            <xm:f>AND(IF(Q195='F:\Users\norela.briceno\Documents\Plan de acción\Plan Accion 2018\[Plan Accion Integrado ADRES Vigencia 2018 con Cuadro de Mando V6..xlsx]Plan de Accion 2018'!#REF!,Q195&lt;&gt;"N/A"))</xm:f>
            <x14:dxf>
              <fill>
                <patternFill>
                  <bgColor rgb="FF00B050"/>
                </patternFill>
              </fill>
            </x14:dxf>
          </x14:cfRule>
          <x14:cfRule type="expression" priority="13425" stopIfTrue="1" id="{4332E935-F38E-40CA-923F-82B7A94EAA61}">
            <xm:f>AND(IF(Q195&lt;'F:\Users\norela.briceno\Documents\Plan de acción\Plan Accion 2018\[Plan Accion Integrado ADRES Vigencia 2018 con Cuadro de Mando V6..xlsx]Plan de Accion 2018'!#REF!,Q195&lt;&gt;"N/A"))</xm:f>
            <x14:dxf>
              <fill>
                <patternFill>
                  <bgColor indexed="10"/>
                </patternFill>
              </fill>
            </x14:dxf>
          </x14:cfRule>
          <xm:sqref>Q195</xm:sqref>
        </x14:conditionalFormatting>
        <x14:conditionalFormatting xmlns:xm="http://schemas.microsoft.com/office/excel/2006/main">
          <x14:cfRule type="expression" priority="13420" id="{B354AB35-7FB3-4AD1-9A1A-1CF46F923E62}">
            <xm:f>AND(IF(X195&gt;'F:\Users\norela.briceno\Documents\Plan de acción\Plan Accion 2018\[Plan Accion Integrado ADRES Vigencia 2018 con Cuadro de Mando V6..xlsx]Plan de Accion 2018'!#REF!,X195&lt;&gt;¨N/A¨))</xm:f>
            <x14:dxf>
              <fill>
                <patternFill>
                  <bgColor theme="1" tint="0.499984740745262"/>
                </patternFill>
              </fill>
            </x14:dxf>
          </x14:cfRule>
          <x14:cfRule type="expression" priority="13421" stopIfTrue="1" id="{B36353BA-CD19-465C-8A8F-E03F5B5140F7}">
            <xm:f>AND(IF(X195='F:\Users\norela.briceno\Documents\Plan de acción\Plan Accion 2018\[Plan Accion Integrado ADRES Vigencia 2018 con Cuadro de Mando V6..xlsx]Plan de Accion 2018'!#REF!,X195&lt;&gt;"N/A"))</xm:f>
            <x14:dxf>
              <fill>
                <patternFill>
                  <bgColor rgb="FF00B050"/>
                </patternFill>
              </fill>
            </x14:dxf>
          </x14:cfRule>
          <x14:cfRule type="expression" priority="13422" stopIfTrue="1" id="{74D3E9BC-0DBC-40D5-B1BB-DD492EA00BBC}">
            <xm:f>AND(IF(X195&lt;'F:\Users\norela.briceno\Documents\Plan de acción\Plan Accion 2018\[Plan Accion Integrado ADRES Vigencia 2018 con Cuadro de Mando V6..xlsx]Plan de Accion 2018'!#REF!,X195&lt;&gt;"N/A"))</xm:f>
            <x14:dxf>
              <fill>
                <patternFill>
                  <bgColor indexed="10"/>
                </patternFill>
              </fill>
            </x14:dxf>
          </x14:cfRule>
          <xm:sqref>X195</xm:sqref>
        </x14:conditionalFormatting>
        <x14:conditionalFormatting xmlns:xm="http://schemas.microsoft.com/office/excel/2006/main">
          <x14:cfRule type="expression" priority="13417" id="{5492AA5F-744D-4654-AA1B-5E5DF5DC73F2}">
            <xm:f>AND(IF(AE195&gt;'F:\Users\norela.briceno\Documents\Plan de acción\Plan Accion 2018\[Plan Accion Integrado ADRES Vigencia 2018 con Cuadro de Mando V6..xlsx]Plan de Accion 2018'!#REF!,AE195&lt;&gt;¨N/A¨))</xm:f>
            <x14:dxf>
              <fill>
                <patternFill>
                  <bgColor theme="1" tint="0.499984740745262"/>
                </patternFill>
              </fill>
            </x14:dxf>
          </x14:cfRule>
          <x14:cfRule type="expression" priority="13418" stopIfTrue="1" id="{FA6E0F06-0199-4F30-B46B-D62A3AC932D4}">
            <xm:f>AND(IF(AE195='F:\Users\norela.briceno\Documents\Plan de acción\Plan Accion 2018\[Plan Accion Integrado ADRES Vigencia 2018 con Cuadro de Mando V6..xlsx]Plan de Accion 2018'!#REF!,AE195&lt;&gt;"N/A"))</xm:f>
            <x14:dxf>
              <fill>
                <patternFill>
                  <bgColor rgb="FF00B050"/>
                </patternFill>
              </fill>
            </x14:dxf>
          </x14:cfRule>
          <x14:cfRule type="expression" priority="13419" stopIfTrue="1" id="{64A94578-E64D-4994-90BF-30C196694C3B}">
            <xm:f>AND(IF(AE195&lt;'F:\Users\norela.briceno\Documents\Plan de acción\Plan Accion 2018\[Plan Accion Integrado ADRES Vigencia 2018 con Cuadro de Mando V6..xlsx]Plan de Accion 2018'!#REF!,AE195&lt;&gt;"N/A"))</xm:f>
            <x14:dxf>
              <fill>
                <patternFill>
                  <bgColor indexed="10"/>
                </patternFill>
              </fill>
            </x14:dxf>
          </x14:cfRule>
          <xm:sqref>AE195</xm:sqref>
        </x14:conditionalFormatting>
        <x14:conditionalFormatting xmlns:xm="http://schemas.microsoft.com/office/excel/2006/main">
          <x14:cfRule type="expression" priority="13354" id="{F4CD5C78-C3F7-40C5-BCD8-3D372D2E87B4}">
            <xm:f>AND(IF(J23&gt;'F:\Users\norela.briceno\Documents\Plan de acción\Plan Accion 2018\[Plan Accion Integrado ADRES Vigencia 2018 con Cuadro de Mando V6..xlsx]Plan de Accion 2018'!#REF!,J23&lt;&gt;¨N/A¨))</xm:f>
            <x14:dxf>
              <fill>
                <patternFill>
                  <bgColor theme="1" tint="0.499984740745262"/>
                </patternFill>
              </fill>
            </x14:dxf>
          </x14:cfRule>
          <x14:cfRule type="expression" priority="13355" stopIfTrue="1" id="{695E3A81-10BA-4047-AF9F-614E07175C34}">
            <xm:f>AND(IF(J23='F:\Users\norela.briceno\Documents\Plan de acción\Plan Accion 2018\[Plan Accion Integrado ADRES Vigencia 2018 con Cuadro de Mando V6..xlsx]Plan de Accion 2018'!#REF!,J23&lt;&gt;"N/A"))</xm:f>
            <x14:dxf>
              <fill>
                <patternFill>
                  <bgColor rgb="FF00B050"/>
                </patternFill>
              </fill>
            </x14:dxf>
          </x14:cfRule>
          <x14:cfRule type="expression" priority="13356" stopIfTrue="1" id="{7A67E956-0062-4106-9BE1-CD8431F6F283}">
            <xm:f>AND(IF(J23&lt;'F:\Users\norela.briceno\Documents\Plan de acción\Plan Accion 2018\[Plan Accion Integrado ADRES Vigencia 2018 con Cuadro de Mando V6..xlsx]Plan de Accion 2018'!#REF!,J23&lt;&gt;"N/A"))</xm:f>
            <x14:dxf>
              <fill>
                <patternFill>
                  <bgColor indexed="10"/>
                </patternFill>
              </fill>
            </x14:dxf>
          </x14:cfRule>
          <xm:sqref>J23</xm:sqref>
        </x14:conditionalFormatting>
        <x14:conditionalFormatting xmlns:xm="http://schemas.microsoft.com/office/excel/2006/main">
          <x14:cfRule type="expression" priority="13351" id="{38098740-81C4-41A7-A669-03E02FC786AB}">
            <xm:f>AND(IF(Q23&gt;'F:\Users\norela.briceno\Documents\Plan de acción\Plan Accion 2018\[Plan Accion Integrado ADRES Vigencia 2018 con Cuadro de Mando V6..xlsx]Plan de Accion 2018'!#REF!,Q23&lt;&gt;¨N/A¨))</xm:f>
            <x14:dxf>
              <fill>
                <patternFill>
                  <bgColor theme="1" tint="0.499984740745262"/>
                </patternFill>
              </fill>
            </x14:dxf>
          </x14:cfRule>
          <x14:cfRule type="expression" priority="13352" stopIfTrue="1" id="{FD90C38E-7534-47C9-9B70-CB4867FFBDDE}">
            <xm:f>AND(IF(Q23='F:\Users\norela.briceno\Documents\Plan de acción\Plan Accion 2018\[Plan Accion Integrado ADRES Vigencia 2018 con Cuadro de Mando V6..xlsx]Plan de Accion 2018'!#REF!,Q23&lt;&gt;"N/A"))</xm:f>
            <x14:dxf>
              <fill>
                <patternFill>
                  <bgColor rgb="FF00B050"/>
                </patternFill>
              </fill>
            </x14:dxf>
          </x14:cfRule>
          <x14:cfRule type="expression" priority="13353" stopIfTrue="1" id="{CEF83B1B-85A7-4FF9-9297-3FF212E78BCC}">
            <xm:f>AND(IF(Q23&lt;'F:\Users\norela.briceno\Documents\Plan de acción\Plan Accion 2018\[Plan Accion Integrado ADRES Vigencia 2018 con Cuadro de Mando V6..xlsx]Plan de Accion 2018'!#REF!,Q23&lt;&gt;"N/A"))</xm:f>
            <x14:dxf>
              <fill>
                <patternFill>
                  <bgColor indexed="10"/>
                </patternFill>
              </fill>
            </x14:dxf>
          </x14:cfRule>
          <xm:sqref>Q23</xm:sqref>
        </x14:conditionalFormatting>
        <x14:conditionalFormatting xmlns:xm="http://schemas.microsoft.com/office/excel/2006/main">
          <x14:cfRule type="expression" priority="13348" id="{DD8A2D9E-20B3-4765-9B77-316008A84024}">
            <xm:f>AND(IF(X23&gt;'F:\Users\norela.briceno\Documents\Plan de acción\Plan Accion 2018\[Plan Accion Integrado ADRES Vigencia 2018 con Cuadro de Mando V6..xlsx]Plan de Accion 2018'!#REF!,X23&lt;&gt;¨N/A¨))</xm:f>
            <x14:dxf>
              <fill>
                <patternFill>
                  <bgColor theme="1" tint="0.499984740745262"/>
                </patternFill>
              </fill>
            </x14:dxf>
          </x14:cfRule>
          <x14:cfRule type="expression" priority="13349" stopIfTrue="1" id="{9AEE6F38-7B64-4939-BAC9-608455F1B0DF}">
            <xm:f>AND(IF(X23='F:\Users\norela.briceno\Documents\Plan de acción\Plan Accion 2018\[Plan Accion Integrado ADRES Vigencia 2018 con Cuadro de Mando V6..xlsx]Plan de Accion 2018'!#REF!,X23&lt;&gt;"N/A"))</xm:f>
            <x14:dxf>
              <fill>
                <patternFill>
                  <bgColor rgb="FF00B050"/>
                </patternFill>
              </fill>
            </x14:dxf>
          </x14:cfRule>
          <x14:cfRule type="expression" priority="13350" stopIfTrue="1" id="{08571C15-6F53-4793-A0F5-C30BA84D0521}">
            <xm:f>AND(IF(X23&lt;'F:\Users\norela.briceno\Documents\Plan de acción\Plan Accion 2018\[Plan Accion Integrado ADRES Vigencia 2018 con Cuadro de Mando V6..xlsx]Plan de Accion 2018'!#REF!,X23&lt;&gt;"N/A"))</xm:f>
            <x14:dxf>
              <fill>
                <patternFill>
                  <bgColor indexed="10"/>
                </patternFill>
              </fill>
            </x14:dxf>
          </x14:cfRule>
          <xm:sqref>X23</xm:sqref>
        </x14:conditionalFormatting>
        <x14:conditionalFormatting xmlns:xm="http://schemas.microsoft.com/office/excel/2006/main">
          <x14:cfRule type="expression" priority="13345" id="{1022AC4E-F124-4845-A499-E66EB5E41DAF}">
            <xm:f>AND(IF(AE23&gt;'F:\Users\norela.briceno\Documents\Plan de acción\Plan Accion 2018\[Plan Accion Integrado ADRES Vigencia 2018 con Cuadro de Mando V6..xlsx]Plan de Accion 2018'!#REF!,AE23&lt;&gt;¨N/A¨))</xm:f>
            <x14:dxf>
              <fill>
                <patternFill>
                  <bgColor theme="1" tint="0.499984740745262"/>
                </patternFill>
              </fill>
            </x14:dxf>
          </x14:cfRule>
          <x14:cfRule type="expression" priority="13346" stopIfTrue="1" id="{A26A5539-5D34-49EF-ABE5-B5EEFF32EB5A}">
            <xm:f>AND(IF(AE23='F:\Users\norela.briceno\Documents\Plan de acción\Plan Accion 2018\[Plan Accion Integrado ADRES Vigencia 2018 con Cuadro de Mando V6..xlsx]Plan de Accion 2018'!#REF!,AE23&lt;&gt;"N/A"))</xm:f>
            <x14:dxf>
              <fill>
                <patternFill>
                  <bgColor rgb="FF00B050"/>
                </patternFill>
              </fill>
            </x14:dxf>
          </x14:cfRule>
          <x14:cfRule type="expression" priority="13347" stopIfTrue="1" id="{F6634C3C-52C1-435F-89A2-229751FA91E4}">
            <xm:f>AND(IF(AE23&lt;'F:\Users\norela.briceno\Documents\Plan de acción\Plan Accion 2018\[Plan Accion Integrado ADRES Vigencia 2018 con Cuadro de Mando V6..xlsx]Plan de Accion 2018'!#REF!,AE23&lt;&gt;"N/A"))</xm:f>
            <x14:dxf>
              <fill>
                <patternFill>
                  <bgColor indexed="10"/>
                </patternFill>
              </fill>
            </x14:dxf>
          </x14:cfRule>
          <xm:sqref>AE23</xm:sqref>
        </x14:conditionalFormatting>
        <x14:conditionalFormatting xmlns:xm="http://schemas.microsoft.com/office/excel/2006/main">
          <x14:cfRule type="expression" priority="13210" id="{12220E5B-6B3E-4345-9A92-B0785BD4C6AE}">
            <xm:f>AND(IF(J24&gt;'F:\Users\norela.briceno\Documents\Plan de acción\Plan Accion 2018\[Plan Accion Integrado ADRES Vigencia 2018 con Cuadro de Mando V6..xlsx]Plan de Accion 2018'!#REF!,J24&lt;&gt;¨N/A¨))</xm:f>
            <x14:dxf>
              <fill>
                <patternFill>
                  <bgColor theme="1" tint="0.499984740745262"/>
                </patternFill>
              </fill>
            </x14:dxf>
          </x14:cfRule>
          <x14:cfRule type="expression" priority="13211" stopIfTrue="1" id="{DFC78B9F-11A9-4744-9332-27BF38748BD9}">
            <xm:f>AND(IF(J24='F:\Users\norela.briceno\Documents\Plan de acción\Plan Accion 2018\[Plan Accion Integrado ADRES Vigencia 2018 con Cuadro de Mando V6..xlsx]Plan de Accion 2018'!#REF!,J24&lt;&gt;"N/A"))</xm:f>
            <x14:dxf>
              <fill>
                <patternFill>
                  <bgColor rgb="FF00B050"/>
                </patternFill>
              </fill>
            </x14:dxf>
          </x14:cfRule>
          <x14:cfRule type="expression" priority="13212" stopIfTrue="1" id="{097653B1-C73E-4D94-9BC6-904109A9ED74}">
            <xm:f>AND(IF(J24&lt;'F:\Users\norela.briceno\Documents\Plan de acción\Plan Accion 2018\[Plan Accion Integrado ADRES Vigencia 2018 con Cuadro de Mando V6..xlsx]Plan de Accion 2018'!#REF!,J24&lt;&gt;"N/A"))</xm:f>
            <x14:dxf>
              <fill>
                <patternFill>
                  <bgColor indexed="10"/>
                </patternFill>
              </fill>
            </x14:dxf>
          </x14:cfRule>
          <xm:sqref>J24:J27</xm:sqref>
        </x14:conditionalFormatting>
        <x14:conditionalFormatting xmlns:xm="http://schemas.microsoft.com/office/excel/2006/main">
          <x14:cfRule type="expression" priority="13207" id="{D322DF66-150D-425E-A4D9-7E973B7A4580}">
            <xm:f>AND(IF(Q24&gt;'F:\Users\norela.briceno\Documents\Plan de acción\Plan Accion 2018\[Plan Accion Integrado ADRES Vigencia 2018 con Cuadro de Mando V6..xlsx]Plan de Accion 2018'!#REF!,Q24&lt;&gt;¨N/A¨))</xm:f>
            <x14:dxf>
              <fill>
                <patternFill>
                  <bgColor theme="1" tint="0.499984740745262"/>
                </patternFill>
              </fill>
            </x14:dxf>
          </x14:cfRule>
          <x14:cfRule type="expression" priority="13208" stopIfTrue="1" id="{6AB63498-DF27-42B7-9B9C-303403D371EC}">
            <xm:f>AND(IF(Q24='F:\Users\norela.briceno\Documents\Plan de acción\Plan Accion 2018\[Plan Accion Integrado ADRES Vigencia 2018 con Cuadro de Mando V6..xlsx]Plan de Accion 2018'!#REF!,Q24&lt;&gt;"N/A"))</xm:f>
            <x14:dxf>
              <fill>
                <patternFill>
                  <bgColor rgb="FF00B050"/>
                </patternFill>
              </fill>
            </x14:dxf>
          </x14:cfRule>
          <x14:cfRule type="expression" priority="13209" stopIfTrue="1" id="{C8C0BF89-6D86-4EBF-846D-64E511D07F91}">
            <xm:f>AND(IF(Q24&lt;'F:\Users\norela.briceno\Documents\Plan de acción\Plan Accion 2018\[Plan Accion Integrado ADRES Vigencia 2018 con Cuadro de Mando V6..xlsx]Plan de Accion 2018'!#REF!,Q24&lt;&gt;"N/A"))</xm:f>
            <x14:dxf>
              <fill>
                <patternFill>
                  <bgColor indexed="10"/>
                </patternFill>
              </fill>
            </x14:dxf>
          </x14:cfRule>
          <xm:sqref>Q24:Q27</xm:sqref>
        </x14:conditionalFormatting>
        <x14:conditionalFormatting xmlns:xm="http://schemas.microsoft.com/office/excel/2006/main">
          <x14:cfRule type="expression" priority="13204" id="{9DCA8E73-1F58-48B9-892A-2EFD484594F0}">
            <xm:f>AND(IF(X24&gt;'F:\Users\norela.briceno\Documents\Plan de acción\Plan Accion 2018\[Plan Accion Integrado ADRES Vigencia 2018 con Cuadro de Mando V6..xlsx]Plan de Accion 2018'!#REF!,X24&lt;&gt;¨N/A¨))</xm:f>
            <x14:dxf>
              <fill>
                <patternFill>
                  <bgColor theme="1" tint="0.499984740745262"/>
                </patternFill>
              </fill>
            </x14:dxf>
          </x14:cfRule>
          <x14:cfRule type="expression" priority="13205" stopIfTrue="1" id="{1030A06B-9475-4115-9555-D94C09E8EED9}">
            <xm:f>AND(IF(X24='F:\Users\norela.briceno\Documents\Plan de acción\Plan Accion 2018\[Plan Accion Integrado ADRES Vigencia 2018 con Cuadro de Mando V6..xlsx]Plan de Accion 2018'!#REF!,X24&lt;&gt;"N/A"))</xm:f>
            <x14:dxf>
              <fill>
                <patternFill>
                  <bgColor rgb="FF00B050"/>
                </patternFill>
              </fill>
            </x14:dxf>
          </x14:cfRule>
          <x14:cfRule type="expression" priority="13206" stopIfTrue="1" id="{A1BC7CC0-A9E7-46CF-B667-D6DE42C0EBB9}">
            <xm:f>AND(IF(X24&lt;'F:\Users\norela.briceno\Documents\Plan de acción\Plan Accion 2018\[Plan Accion Integrado ADRES Vigencia 2018 con Cuadro de Mando V6..xlsx]Plan de Accion 2018'!#REF!,X24&lt;&gt;"N/A"))</xm:f>
            <x14:dxf>
              <fill>
                <patternFill>
                  <bgColor indexed="10"/>
                </patternFill>
              </fill>
            </x14:dxf>
          </x14:cfRule>
          <xm:sqref>X24:X27</xm:sqref>
        </x14:conditionalFormatting>
        <x14:conditionalFormatting xmlns:xm="http://schemas.microsoft.com/office/excel/2006/main">
          <x14:cfRule type="expression" priority="13201" id="{D18CDF2B-8983-4B16-804A-D96E145D83AD}">
            <xm:f>AND(IF(AE24&gt;'F:\Users\norela.briceno\Documents\Plan de acción\Plan Accion 2018\[Plan Accion Integrado ADRES Vigencia 2018 con Cuadro de Mando V6..xlsx]Plan de Accion 2018'!#REF!,AE24&lt;&gt;¨N/A¨))</xm:f>
            <x14:dxf>
              <fill>
                <patternFill>
                  <bgColor theme="1" tint="0.499984740745262"/>
                </patternFill>
              </fill>
            </x14:dxf>
          </x14:cfRule>
          <x14:cfRule type="expression" priority="13202" stopIfTrue="1" id="{DDAB1100-CB51-49CA-8D8A-C80D97C38B37}">
            <xm:f>AND(IF(AE24='F:\Users\norela.briceno\Documents\Plan de acción\Plan Accion 2018\[Plan Accion Integrado ADRES Vigencia 2018 con Cuadro de Mando V6..xlsx]Plan de Accion 2018'!#REF!,AE24&lt;&gt;"N/A"))</xm:f>
            <x14:dxf>
              <fill>
                <patternFill>
                  <bgColor rgb="FF00B050"/>
                </patternFill>
              </fill>
            </x14:dxf>
          </x14:cfRule>
          <x14:cfRule type="expression" priority="13203" stopIfTrue="1" id="{85BD7D29-E468-4F19-8270-D054413086D6}">
            <xm:f>AND(IF(AE24&lt;'F:\Users\norela.briceno\Documents\Plan de acción\Plan Accion 2018\[Plan Accion Integrado ADRES Vigencia 2018 con Cuadro de Mando V6..xlsx]Plan de Accion 2018'!#REF!,AE24&lt;&gt;"N/A"))</xm:f>
            <x14:dxf>
              <fill>
                <patternFill>
                  <bgColor indexed="10"/>
                </patternFill>
              </fill>
            </x14:dxf>
          </x14:cfRule>
          <xm:sqref>AE24:AE27</xm:sqref>
        </x14:conditionalFormatting>
        <x14:conditionalFormatting xmlns:xm="http://schemas.microsoft.com/office/excel/2006/main">
          <x14:cfRule type="expression" priority="13133" id="{A87E6FCD-5F0C-40D2-B4BF-B63ACE0EF787}">
            <xm:f>AND(IF(J140&gt;'F:\Users\norela.briceno\Documents\Plan de acción\Plan Accion 2018\[Plan Accion Integrado ADRES Vigencia 2018 con Cuadro de Mando V6..xlsx]Plan de Accion 2018'!#REF!,J140&lt;&gt;¨N/A¨))</xm:f>
            <x14:dxf>
              <fill>
                <patternFill>
                  <bgColor theme="1" tint="0.499984740745262"/>
                </patternFill>
              </fill>
            </x14:dxf>
          </x14:cfRule>
          <x14:cfRule type="expression" priority="13134" stopIfTrue="1" id="{3BD59B1D-FC30-4C59-A038-D5A4CFE3F6CD}">
            <xm:f>AND(IF(J140='F:\Users\norela.briceno\Documents\Plan de acción\Plan Accion 2018\[Plan Accion Integrado ADRES Vigencia 2018 con Cuadro de Mando V6..xlsx]Plan de Accion 2018'!#REF!,J140&lt;&gt;"N/A"))</xm:f>
            <x14:dxf>
              <fill>
                <patternFill>
                  <bgColor rgb="FF00B050"/>
                </patternFill>
              </fill>
            </x14:dxf>
          </x14:cfRule>
          <x14:cfRule type="expression" priority="13135" stopIfTrue="1" id="{0BE6BA58-CADF-4A78-AFC9-0681FB15D8AD}">
            <xm:f>AND(IF(J140&lt;'F:\Users\norela.briceno\Documents\Plan de acción\Plan Accion 2018\[Plan Accion Integrado ADRES Vigencia 2018 con Cuadro de Mando V6..xlsx]Plan de Accion 2018'!#REF!,J140&lt;&gt;"N/A"))</xm:f>
            <x14:dxf>
              <fill>
                <patternFill>
                  <bgColor indexed="10"/>
                </patternFill>
              </fill>
            </x14:dxf>
          </x14:cfRule>
          <xm:sqref>J140</xm:sqref>
        </x14:conditionalFormatting>
        <x14:conditionalFormatting xmlns:xm="http://schemas.microsoft.com/office/excel/2006/main">
          <x14:cfRule type="expression" priority="13130" id="{BD5EF62B-B7FD-4973-BC9B-3690B1B5808D}">
            <xm:f>AND(IF(Q140&gt;'F:\Users\norela.briceno\Documents\Plan de acción\Plan Accion 2018\[Plan Accion Integrado ADRES Vigencia 2018 con Cuadro de Mando V6..xlsx]Plan de Accion 2018'!#REF!,Q140&lt;&gt;¨N/A¨))</xm:f>
            <x14:dxf>
              <fill>
                <patternFill>
                  <bgColor theme="1" tint="0.499984740745262"/>
                </patternFill>
              </fill>
            </x14:dxf>
          </x14:cfRule>
          <x14:cfRule type="expression" priority="13131" stopIfTrue="1" id="{A9BB534A-5C93-4B86-8B78-0E9826EFCF49}">
            <xm:f>AND(IF(Q140='F:\Users\norela.briceno\Documents\Plan de acción\Plan Accion 2018\[Plan Accion Integrado ADRES Vigencia 2018 con Cuadro de Mando V6..xlsx]Plan de Accion 2018'!#REF!,Q140&lt;&gt;"N/A"))</xm:f>
            <x14:dxf>
              <fill>
                <patternFill>
                  <bgColor rgb="FF00B050"/>
                </patternFill>
              </fill>
            </x14:dxf>
          </x14:cfRule>
          <x14:cfRule type="expression" priority="13132" stopIfTrue="1" id="{7A1ECE43-508A-49CF-B16F-B96CCC2C64F3}">
            <xm:f>AND(IF(Q140&lt;'F:\Users\norela.briceno\Documents\Plan de acción\Plan Accion 2018\[Plan Accion Integrado ADRES Vigencia 2018 con Cuadro de Mando V6..xlsx]Plan de Accion 2018'!#REF!,Q140&lt;&gt;"N/A"))</xm:f>
            <x14:dxf>
              <fill>
                <patternFill>
                  <bgColor indexed="10"/>
                </patternFill>
              </fill>
            </x14:dxf>
          </x14:cfRule>
          <xm:sqref>Q140</xm:sqref>
        </x14:conditionalFormatting>
        <x14:conditionalFormatting xmlns:xm="http://schemas.microsoft.com/office/excel/2006/main">
          <x14:cfRule type="expression" priority="13127" id="{C694BEB1-75A0-4782-910D-93CAFBD09EF3}">
            <xm:f>AND(IF(X140&gt;'F:\Users\norela.briceno\Documents\Plan de acción\Plan Accion 2018\[Plan Accion Integrado ADRES Vigencia 2018 con Cuadro de Mando V6..xlsx]Plan de Accion 2018'!#REF!,X140&lt;&gt;¨N/A¨))</xm:f>
            <x14:dxf>
              <fill>
                <patternFill>
                  <bgColor theme="1" tint="0.499984740745262"/>
                </patternFill>
              </fill>
            </x14:dxf>
          </x14:cfRule>
          <x14:cfRule type="expression" priority="13128" stopIfTrue="1" id="{355C1014-79FB-4621-8B09-419D88257DC1}">
            <xm:f>AND(IF(X140='F:\Users\norela.briceno\Documents\Plan de acción\Plan Accion 2018\[Plan Accion Integrado ADRES Vigencia 2018 con Cuadro de Mando V6..xlsx]Plan de Accion 2018'!#REF!,X140&lt;&gt;"N/A"))</xm:f>
            <x14:dxf>
              <fill>
                <patternFill>
                  <bgColor rgb="FF00B050"/>
                </patternFill>
              </fill>
            </x14:dxf>
          </x14:cfRule>
          <x14:cfRule type="expression" priority="13129" stopIfTrue="1" id="{5233D594-23B7-4E3C-AEDC-F5B7A38D912B}">
            <xm:f>AND(IF(X140&lt;'F:\Users\norela.briceno\Documents\Plan de acción\Plan Accion 2018\[Plan Accion Integrado ADRES Vigencia 2018 con Cuadro de Mando V6..xlsx]Plan de Accion 2018'!#REF!,X140&lt;&gt;"N/A"))</xm:f>
            <x14:dxf>
              <fill>
                <patternFill>
                  <bgColor indexed="10"/>
                </patternFill>
              </fill>
            </x14:dxf>
          </x14:cfRule>
          <xm:sqref>X140</xm:sqref>
        </x14:conditionalFormatting>
        <x14:conditionalFormatting xmlns:xm="http://schemas.microsoft.com/office/excel/2006/main">
          <x14:cfRule type="expression" priority="13124" id="{61169590-D504-442D-9322-863D51CA0D6F}">
            <xm:f>AND(IF(AE140&gt;'F:\Users\norela.briceno\Documents\Plan de acción\Plan Accion 2018\[Plan Accion Integrado ADRES Vigencia 2018 con Cuadro de Mando V6..xlsx]Plan de Accion 2018'!#REF!,AE140&lt;&gt;¨N/A¨))</xm:f>
            <x14:dxf>
              <fill>
                <patternFill>
                  <bgColor theme="1" tint="0.499984740745262"/>
                </patternFill>
              </fill>
            </x14:dxf>
          </x14:cfRule>
          <x14:cfRule type="expression" priority="13125" stopIfTrue="1" id="{102F8A46-CEEC-4990-96AF-3BC6E1EBC570}">
            <xm:f>AND(IF(AE140='F:\Users\norela.briceno\Documents\Plan de acción\Plan Accion 2018\[Plan Accion Integrado ADRES Vigencia 2018 con Cuadro de Mando V6..xlsx]Plan de Accion 2018'!#REF!,AE140&lt;&gt;"N/A"))</xm:f>
            <x14:dxf>
              <fill>
                <patternFill>
                  <bgColor rgb="FF00B050"/>
                </patternFill>
              </fill>
            </x14:dxf>
          </x14:cfRule>
          <x14:cfRule type="expression" priority="13126" stopIfTrue="1" id="{59A60A53-ED6A-4958-8E58-D9E6FCF8864E}">
            <xm:f>AND(IF(AE140&lt;'F:\Users\norela.briceno\Documents\Plan de acción\Plan Accion 2018\[Plan Accion Integrado ADRES Vigencia 2018 con Cuadro de Mando V6..xlsx]Plan de Accion 2018'!#REF!,AE140&lt;&gt;"N/A"))</xm:f>
            <x14:dxf>
              <fill>
                <patternFill>
                  <bgColor indexed="10"/>
                </patternFill>
              </fill>
            </x14:dxf>
          </x14:cfRule>
          <xm:sqref>AE140</xm:sqref>
        </x14:conditionalFormatting>
        <x14:conditionalFormatting xmlns:xm="http://schemas.microsoft.com/office/excel/2006/main">
          <x14:cfRule type="expression" priority="13056" id="{0ED91EF8-475A-4068-92F9-7102519CB6D3}">
            <xm:f>AND(IF(J141&gt;'F:\Users\norela.briceno\Documents\Plan de acción\Plan Accion 2018\[Plan Accion Integrado ADRES Vigencia 2018 con Cuadro de Mando V6..xlsx]Plan de Accion 2018'!#REF!,J141&lt;&gt;¨N/A¨))</xm:f>
            <x14:dxf>
              <fill>
                <patternFill>
                  <bgColor theme="1" tint="0.499984740745262"/>
                </patternFill>
              </fill>
            </x14:dxf>
          </x14:cfRule>
          <x14:cfRule type="expression" priority="13057" stopIfTrue="1" id="{46B9C0BB-5266-4DED-BC94-C6782E0835C3}">
            <xm:f>AND(IF(J141='F:\Users\norela.briceno\Documents\Plan de acción\Plan Accion 2018\[Plan Accion Integrado ADRES Vigencia 2018 con Cuadro de Mando V6..xlsx]Plan de Accion 2018'!#REF!,J141&lt;&gt;"N/A"))</xm:f>
            <x14:dxf>
              <fill>
                <patternFill>
                  <bgColor rgb="FF00B050"/>
                </patternFill>
              </fill>
            </x14:dxf>
          </x14:cfRule>
          <x14:cfRule type="expression" priority="13058" stopIfTrue="1" id="{5A2BD551-C260-4530-B8A4-32C4B1C28CAF}">
            <xm:f>AND(IF(J141&lt;'F:\Users\norela.briceno\Documents\Plan de acción\Plan Accion 2018\[Plan Accion Integrado ADRES Vigencia 2018 con Cuadro de Mando V6..xlsx]Plan de Accion 2018'!#REF!,J141&lt;&gt;"N/A"))</xm:f>
            <x14:dxf>
              <fill>
                <patternFill>
                  <bgColor indexed="10"/>
                </patternFill>
              </fill>
            </x14:dxf>
          </x14:cfRule>
          <xm:sqref>J141</xm:sqref>
        </x14:conditionalFormatting>
        <x14:conditionalFormatting xmlns:xm="http://schemas.microsoft.com/office/excel/2006/main">
          <x14:cfRule type="expression" priority="13053" id="{1D510FA7-B2B6-43CC-9F97-5030200BFC08}">
            <xm:f>AND(IF(Q141&gt;'F:\Users\norela.briceno\Documents\Plan de acción\Plan Accion 2018\[Plan Accion Integrado ADRES Vigencia 2018 con Cuadro de Mando V6..xlsx]Plan de Accion 2018'!#REF!,Q141&lt;&gt;¨N/A¨))</xm:f>
            <x14:dxf>
              <fill>
                <patternFill>
                  <bgColor theme="1" tint="0.499984740745262"/>
                </patternFill>
              </fill>
            </x14:dxf>
          </x14:cfRule>
          <x14:cfRule type="expression" priority="13054" stopIfTrue="1" id="{F48F875B-E974-4609-889A-19A7AEFF4537}">
            <xm:f>AND(IF(Q141='F:\Users\norela.briceno\Documents\Plan de acción\Plan Accion 2018\[Plan Accion Integrado ADRES Vigencia 2018 con Cuadro de Mando V6..xlsx]Plan de Accion 2018'!#REF!,Q141&lt;&gt;"N/A"))</xm:f>
            <x14:dxf>
              <fill>
                <patternFill>
                  <bgColor rgb="FF00B050"/>
                </patternFill>
              </fill>
            </x14:dxf>
          </x14:cfRule>
          <x14:cfRule type="expression" priority="13055" stopIfTrue="1" id="{88ADEF19-0A24-44D9-952E-E8717D6C580F}">
            <xm:f>AND(IF(Q141&lt;'F:\Users\norela.briceno\Documents\Plan de acción\Plan Accion 2018\[Plan Accion Integrado ADRES Vigencia 2018 con Cuadro de Mando V6..xlsx]Plan de Accion 2018'!#REF!,Q141&lt;&gt;"N/A"))</xm:f>
            <x14:dxf>
              <fill>
                <patternFill>
                  <bgColor indexed="10"/>
                </patternFill>
              </fill>
            </x14:dxf>
          </x14:cfRule>
          <xm:sqref>Q141</xm:sqref>
        </x14:conditionalFormatting>
        <x14:conditionalFormatting xmlns:xm="http://schemas.microsoft.com/office/excel/2006/main">
          <x14:cfRule type="expression" priority="13050" id="{B3ED6707-039F-47D0-9FAA-180C3FD1A5B7}">
            <xm:f>AND(IF(X141&gt;'F:\Users\norela.briceno\Documents\Plan de acción\Plan Accion 2018\[Plan Accion Integrado ADRES Vigencia 2018 con Cuadro de Mando V6..xlsx]Plan de Accion 2018'!#REF!,X141&lt;&gt;¨N/A¨))</xm:f>
            <x14:dxf>
              <fill>
                <patternFill>
                  <bgColor theme="1" tint="0.499984740745262"/>
                </patternFill>
              </fill>
            </x14:dxf>
          </x14:cfRule>
          <x14:cfRule type="expression" priority="13051" stopIfTrue="1" id="{CDE7F0EE-3C00-41FD-9410-D119CD87BA04}">
            <xm:f>AND(IF(X141='F:\Users\norela.briceno\Documents\Plan de acción\Plan Accion 2018\[Plan Accion Integrado ADRES Vigencia 2018 con Cuadro de Mando V6..xlsx]Plan de Accion 2018'!#REF!,X141&lt;&gt;"N/A"))</xm:f>
            <x14:dxf>
              <fill>
                <patternFill>
                  <bgColor rgb="FF00B050"/>
                </patternFill>
              </fill>
            </x14:dxf>
          </x14:cfRule>
          <x14:cfRule type="expression" priority="13052" stopIfTrue="1" id="{5B680C07-A3D6-4BFF-BC8A-E6407CE0CD85}">
            <xm:f>AND(IF(X141&lt;'F:\Users\norela.briceno\Documents\Plan de acción\Plan Accion 2018\[Plan Accion Integrado ADRES Vigencia 2018 con Cuadro de Mando V6..xlsx]Plan de Accion 2018'!#REF!,X141&lt;&gt;"N/A"))</xm:f>
            <x14:dxf>
              <fill>
                <patternFill>
                  <bgColor indexed="10"/>
                </patternFill>
              </fill>
            </x14:dxf>
          </x14:cfRule>
          <xm:sqref>X141</xm:sqref>
        </x14:conditionalFormatting>
        <x14:conditionalFormatting xmlns:xm="http://schemas.microsoft.com/office/excel/2006/main">
          <x14:cfRule type="expression" priority="13047" id="{43BB5E91-95C4-4CEE-891B-C503D7546140}">
            <xm:f>AND(IF(AE141&gt;'F:\Users\norela.briceno\Documents\Plan de acción\Plan Accion 2018\[Plan Accion Integrado ADRES Vigencia 2018 con Cuadro de Mando V6..xlsx]Plan de Accion 2018'!#REF!,AE141&lt;&gt;¨N/A¨))</xm:f>
            <x14:dxf>
              <fill>
                <patternFill>
                  <bgColor theme="1" tint="0.499984740745262"/>
                </patternFill>
              </fill>
            </x14:dxf>
          </x14:cfRule>
          <x14:cfRule type="expression" priority="13048" stopIfTrue="1" id="{6C88E0F5-CC68-4625-8045-FC20F975A1DD}">
            <xm:f>AND(IF(AE141='F:\Users\norela.briceno\Documents\Plan de acción\Plan Accion 2018\[Plan Accion Integrado ADRES Vigencia 2018 con Cuadro de Mando V6..xlsx]Plan de Accion 2018'!#REF!,AE141&lt;&gt;"N/A"))</xm:f>
            <x14:dxf>
              <fill>
                <patternFill>
                  <bgColor rgb="FF00B050"/>
                </patternFill>
              </fill>
            </x14:dxf>
          </x14:cfRule>
          <x14:cfRule type="expression" priority="13049" stopIfTrue="1" id="{2D41C2D2-B626-4D58-877C-8D84C2F04597}">
            <xm:f>AND(IF(AE141&lt;'F:\Users\norela.briceno\Documents\Plan de acción\Plan Accion 2018\[Plan Accion Integrado ADRES Vigencia 2018 con Cuadro de Mando V6..xlsx]Plan de Accion 2018'!#REF!,AE141&lt;&gt;"N/A"))</xm:f>
            <x14:dxf>
              <fill>
                <patternFill>
                  <bgColor indexed="10"/>
                </patternFill>
              </fill>
            </x14:dxf>
          </x14:cfRule>
          <xm:sqref>AE141</xm:sqref>
        </x14:conditionalFormatting>
        <x14:conditionalFormatting xmlns:xm="http://schemas.microsoft.com/office/excel/2006/main">
          <x14:cfRule type="expression" priority="12979" id="{2B0E921C-7E97-47BE-99D7-397A56AC0027}">
            <xm:f>AND(IF(J142&gt;'F:\Users\norela.briceno\Documents\Plan de acción\Plan Accion 2018\[Plan Accion Integrado ADRES Vigencia 2018 con Cuadro de Mando V6..xlsx]Plan de Accion 2018'!#REF!,J142&lt;&gt;¨N/A¨))</xm:f>
            <x14:dxf>
              <fill>
                <patternFill>
                  <bgColor theme="1" tint="0.499984740745262"/>
                </patternFill>
              </fill>
            </x14:dxf>
          </x14:cfRule>
          <x14:cfRule type="expression" priority="12980" stopIfTrue="1" id="{7BDB001C-A8B1-4E69-95B1-0BD8E288CA4E}">
            <xm:f>AND(IF(J142='F:\Users\norela.briceno\Documents\Plan de acción\Plan Accion 2018\[Plan Accion Integrado ADRES Vigencia 2018 con Cuadro de Mando V6..xlsx]Plan de Accion 2018'!#REF!,J142&lt;&gt;"N/A"))</xm:f>
            <x14:dxf>
              <fill>
                <patternFill>
                  <bgColor rgb="FF00B050"/>
                </patternFill>
              </fill>
            </x14:dxf>
          </x14:cfRule>
          <x14:cfRule type="expression" priority="12981" stopIfTrue="1" id="{D0033B9C-FAA9-47FF-8435-96A86EA39291}">
            <xm:f>AND(IF(J142&lt;'F:\Users\norela.briceno\Documents\Plan de acción\Plan Accion 2018\[Plan Accion Integrado ADRES Vigencia 2018 con Cuadro de Mando V6..xlsx]Plan de Accion 2018'!#REF!,J142&lt;&gt;"N/A"))</xm:f>
            <x14:dxf>
              <fill>
                <patternFill>
                  <bgColor indexed="10"/>
                </patternFill>
              </fill>
            </x14:dxf>
          </x14:cfRule>
          <xm:sqref>J142</xm:sqref>
        </x14:conditionalFormatting>
        <x14:conditionalFormatting xmlns:xm="http://schemas.microsoft.com/office/excel/2006/main">
          <x14:cfRule type="expression" priority="12976" id="{D17D901A-79CB-4A10-BE56-0A065871E34A}">
            <xm:f>AND(IF(Q142&gt;'F:\Users\norela.briceno\Documents\Plan de acción\Plan Accion 2018\[Plan Accion Integrado ADRES Vigencia 2018 con Cuadro de Mando V6..xlsx]Plan de Accion 2018'!#REF!,Q142&lt;&gt;¨N/A¨))</xm:f>
            <x14:dxf>
              <fill>
                <patternFill>
                  <bgColor theme="1" tint="0.499984740745262"/>
                </patternFill>
              </fill>
            </x14:dxf>
          </x14:cfRule>
          <x14:cfRule type="expression" priority="12977" stopIfTrue="1" id="{F9B4E308-B9F2-45AA-A20B-E7E10BD8122E}">
            <xm:f>AND(IF(Q142='F:\Users\norela.briceno\Documents\Plan de acción\Plan Accion 2018\[Plan Accion Integrado ADRES Vigencia 2018 con Cuadro de Mando V6..xlsx]Plan de Accion 2018'!#REF!,Q142&lt;&gt;"N/A"))</xm:f>
            <x14:dxf>
              <fill>
                <patternFill>
                  <bgColor rgb="FF00B050"/>
                </patternFill>
              </fill>
            </x14:dxf>
          </x14:cfRule>
          <x14:cfRule type="expression" priority="12978" stopIfTrue="1" id="{179A1BDC-E597-47A4-8381-EC929033B38D}">
            <xm:f>AND(IF(Q142&lt;'F:\Users\norela.briceno\Documents\Plan de acción\Plan Accion 2018\[Plan Accion Integrado ADRES Vigencia 2018 con Cuadro de Mando V6..xlsx]Plan de Accion 2018'!#REF!,Q142&lt;&gt;"N/A"))</xm:f>
            <x14:dxf>
              <fill>
                <patternFill>
                  <bgColor indexed="10"/>
                </patternFill>
              </fill>
            </x14:dxf>
          </x14:cfRule>
          <xm:sqref>Q142</xm:sqref>
        </x14:conditionalFormatting>
        <x14:conditionalFormatting xmlns:xm="http://schemas.microsoft.com/office/excel/2006/main">
          <x14:cfRule type="expression" priority="12973" id="{B99419E0-A861-48F9-B659-312D38D199ED}">
            <xm:f>AND(IF(X142&gt;'F:\Users\norela.briceno\Documents\Plan de acción\Plan Accion 2018\[Plan Accion Integrado ADRES Vigencia 2018 con Cuadro de Mando V6..xlsx]Plan de Accion 2018'!#REF!,X142&lt;&gt;¨N/A¨))</xm:f>
            <x14:dxf>
              <fill>
                <patternFill>
                  <bgColor theme="1" tint="0.499984740745262"/>
                </patternFill>
              </fill>
            </x14:dxf>
          </x14:cfRule>
          <x14:cfRule type="expression" priority="12974" stopIfTrue="1" id="{0F359E98-A741-44BA-A488-5C89FDFAED07}">
            <xm:f>AND(IF(X142='F:\Users\norela.briceno\Documents\Plan de acción\Plan Accion 2018\[Plan Accion Integrado ADRES Vigencia 2018 con Cuadro de Mando V6..xlsx]Plan de Accion 2018'!#REF!,X142&lt;&gt;"N/A"))</xm:f>
            <x14:dxf>
              <fill>
                <patternFill>
                  <bgColor rgb="FF00B050"/>
                </patternFill>
              </fill>
            </x14:dxf>
          </x14:cfRule>
          <x14:cfRule type="expression" priority="12975" stopIfTrue="1" id="{75FE316F-C38C-46CE-A8F9-81D31B915071}">
            <xm:f>AND(IF(X142&lt;'F:\Users\norela.briceno\Documents\Plan de acción\Plan Accion 2018\[Plan Accion Integrado ADRES Vigencia 2018 con Cuadro de Mando V6..xlsx]Plan de Accion 2018'!#REF!,X142&lt;&gt;"N/A"))</xm:f>
            <x14:dxf>
              <fill>
                <patternFill>
                  <bgColor indexed="10"/>
                </patternFill>
              </fill>
            </x14:dxf>
          </x14:cfRule>
          <xm:sqref>X142</xm:sqref>
        </x14:conditionalFormatting>
        <x14:conditionalFormatting xmlns:xm="http://schemas.microsoft.com/office/excel/2006/main">
          <x14:cfRule type="expression" priority="12970" id="{E92A5AB1-83EC-476E-B45D-2A1DDC03E772}">
            <xm:f>AND(IF(AE142&gt;'F:\Users\norela.briceno\Documents\Plan de acción\Plan Accion 2018\[Plan Accion Integrado ADRES Vigencia 2018 con Cuadro de Mando V6..xlsx]Plan de Accion 2018'!#REF!,AE142&lt;&gt;¨N/A¨))</xm:f>
            <x14:dxf>
              <fill>
                <patternFill>
                  <bgColor theme="1" tint="0.499984740745262"/>
                </patternFill>
              </fill>
            </x14:dxf>
          </x14:cfRule>
          <x14:cfRule type="expression" priority="12971" stopIfTrue="1" id="{C9EB158C-966F-4250-BA1E-EE1491FFB9B8}">
            <xm:f>AND(IF(AE142='F:\Users\norela.briceno\Documents\Plan de acción\Plan Accion 2018\[Plan Accion Integrado ADRES Vigencia 2018 con Cuadro de Mando V6..xlsx]Plan de Accion 2018'!#REF!,AE142&lt;&gt;"N/A"))</xm:f>
            <x14:dxf>
              <fill>
                <patternFill>
                  <bgColor rgb="FF00B050"/>
                </patternFill>
              </fill>
            </x14:dxf>
          </x14:cfRule>
          <x14:cfRule type="expression" priority="12972" stopIfTrue="1" id="{5D738B1D-B00B-4622-B166-25F0E743A7BF}">
            <xm:f>AND(IF(AE142&lt;'F:\Users\norela.briceno\Documents\Plan de acción\Plan Accion 2018\[Plan Accion Integrado ADRES Vigencia 2018 con Cuadro de Mando V6..xlsx]Plan de Accion 2018'!#REF!,AE142&lt;&gt;"N/A"))</xm:f>
            <x14:dxf>
              <fill>
                <patternFill>
                  <bgColor indexed="10"/>
                </patternFill>
              </fill>
            </x14:dxf>
          </x14:cfRule>
          <xm:sqref>AE142</xm:sqref>
        </x14:conditionalFormatting>
        <x14:conditionalFormatting xmlns:xm="http://schemas.microsoft.com/office/excel/2006/main">
          <x14:cfRule type="expression" priority="12902" id="{CB3250C1-F02A-4C3B-BED7-B05E3A4485AE}">
            <xm:f>AND(IF(J143&gt;'F:\Users\norela.briceno\Documents\Plan de acción\Plan Accion 2018\[Plan Accion Integrado ADRES Vigencia 2018 con Cuadro de Mando V6..xlsx]Plan de Accion 2018'!#REF!,J143&lt;&gt;¨N/A¨))</xm:f>
            <x14:dxf>
              <fill>
                <patternFill>
                  <bgColor theme="1" tint="0.499984740745262"/>
                </patternFill>
              </fill>
            </x14:dxf>
          </x14:cfRule>
          <x14:cfRule type="expression" priority="12903" stopIfTrue="1" id="{EEE70E4A-98FD-403B-A65C-1472516E541E}">
            <xm:f>AND(IF(J143='F:\Users\norela.briceno\Documents\Plan de acción\Plan Accion 2018\[Plan Accion Integrado ADRES Vigencia 2018 con Cuadro de Mando V6..xlsx]Plan de Accion 2018'!#REF!,J143&lt;&gt;"N/A"))</xm:f>
            <x14:dxf>
              <fill>
                <patternFill>
                  <bgColor rgb="FF00B050"/>
                </patternFill>
              </fill>
            </x14:dxf>
          </x14:cfRule>
          <x14:cfRule type="expression" priority="12904" stopIfTrue="1" id="{D2DB4C91-148B-42A8-B2DB-EA16DCDC259E}">
            <xm:f>AND(IF(J143&lt;'F:\Users\norela.briceno\Documents\Plan de acción\Plan Accion 2018\[Plan Accion Integrado ADRES Vigencia 2018 con Cuadro de Mando V6..xlsx]Plan de Accion 2018'!#REF!,J143&lt;&gt;"N/A"))</xm:f>
            <x14:dxf>
              <fill>
                <patternFill>
                  <bgColor indexed="10"/>
                </patternFill>
              </fill>
            </x14:dxf>
          </x14:cfRule>
          <xm:sqref>J143</xm:sqref>
        </x14:conditionalFormatting>
        <x14:conditionalFormatting xmlns:xm="http://schemas.microsoft.com/office/excel/2006/main">
          <x14:cfRule type="expression" priority="12899" id="{942DE3E6-3E44-49D1-9BDD-CA31438B8532}">
            <xm:f>AND(IF(Q143&gt;'F:\Users\norela.briceno\Documents\Plan de acción\Plan Accion 2018\[Plan Accion Integrado ADRES Vigencia 2018 con Cuadro de Mando V6..xlsx]Plan de Accion 2018'!#REF!,Q143&lt;&gt;¨N/A¨))</xm:f>
            <x14:dxf>
              <fill>
                <patternFill>
                  <bgColor theme="1" tint="0.499984740745262"/>
                </patternFill>
              </fill>
            </x14:dxf>
          </x14:cfRule>
          <x14:cfRule type="expression" priority="12900" stopIfTrue="1" id="{5E8BC55C-F131-4CC3-B944-50B5C736F561}">
            <xm:f>AND(IF(Q143='F:\Users\norela.briceno\Documents\Plan de acción\Plan Accion 2018\[Plan Accion Integrado ADRES Vigencia 2018 con Cuadro de Mando V6..xlsx]Plan de Accion 2018'!#REF!,Q143&lt;&gt;"N/A"))</xm:f>
            <x14:dxf>
              <fill>
                <patternFill>
                  <bgColor rgb="FF00B050"/>
                </patternFill>
              </fill>
            </x14:dxf>
          </x14:cfRule>
          <x14:cfRule type="expression" priority="12901" stopIfTrue="1" id="{6213E078-55F7-459A-B496-1017CEA3EE83}">
            <xm:f>AND(IF(Q143&lt;'F:\Users\norela.briceno\Documents\Plan de acción\Plan Accion 2018\[Plan Accion Integrado ADRES Vigencia 2018 con Cuadro de Mando V6..xlsx]Plan de Accion 2018'!#REF!,Q143&lt;&gt;"N/A"))</xm:f>
            <x14:dxf>
              <fill>
                <patternFill>
                  <bgColor indexed="10"/>
                </patternFill>
              </fill>
            </x14:dxf>
          </x14:cfRule>
          <xm:sqref>Q143</xm:sqref>
        </x14:conditionalFormatting>
        <x14:conditionalFormatting xmlns:xm="http://schemas.microsoft.com/office/excel/2006/main">
          <x14:cfRule type="expression" priority="12896" id="{8D6FBF0B-EE48-4210-9AA0-5E0253686DB8}">
            <xm:f>AND(IF(X143&gt;'F:\Users\norela.briceno\Documents\Plan de acción\Plan Accion 2018\[Plan Accion Integrado ADRES Vigencia 2018 con Cuadro de Mando V6..xlsx]Plan de Accion 2018'!#REF!,X143&lt;&gt;¨N/A¨))</xm:f>
            <x14:dxf>
              <fill>
                <patternFill>
                  <bgColor theme="1" tint="0.499984740745262"/>
                </patternFill>
              </fill>
            </x14:dxf>
          </x14:cfRule>
          <x14:cfRule type="expression" priority="12897" stopIfTrue="1" id="{0025F0EC-F9A2-4ABE-BA94-B1BEDE186441}">
            <xm:f>AND(IF(X143='F:\Users\norela.briceno\Documents\Plan de acción\Plan Accion 2018\[Plan Accion Integrado ADRES Vigencia 2018 con Cuadro de Mando V6..xlsx]Plan de Accion 2018'!#REF!,X143&lt;&gt;"N/A"))</xm:f>
            <x14:dxf>
              <fill>
                <patternFill>
                  <bgColor rgb="FF00B050"/>
                </patternFill>
              </fill>
            </x14:dxf>
          </x14:cfRule>
          <x14:cfRule type="expression" priority="12898" stopIfTrue="1" id="{90E7B6BF-942E-4E9F-9BBF-F391A68A6869}">
            <xm:f>AND(IF(X143&lt;'F:\Users\norela.briceno\Documents\Plan de acción\Plan Accion 2018\[Plan Accion Integrado ADRES Vigencia 2018 con Cuadro de Mando V6..xlsx]Plan de Accion 2018'!#REF!,X143&lt;&gt;"N/A"))</xm:f>
            <x14:dxf>
              <fill>
                <patternFill>
                  <bgColor indexed="10"/>
                </patternFill>
              </fill>
            </x14:dxf>
          </x14:cfRule>
          <xm:sqref>X143</xm:sqref>
        </x14:conditionalFormatting>
        <x14:conditionalFormatting xmlns:xm="http://schemas.microsoft.com/office/excel/2006/main">
          <x14:cfRule type="expression" priority="12893" id="{4BFF00F4-02B0-4432-90B5-D5E181D01C3E}">
            <xm:f>AND(IF(AE143&gt;'F:\Users\norela.briceno\Documents\Plan de acción\Plan Accion 2018\[Plan Accion Integrado ADRES Vigencia 2018 con Cuadro de Mando V6..xlsx]Plan de Accion 2018'!#REF!,AE143&lt;&gt;¨N/A¨))</xm:f>
            <x14:dxf>
              <fill>
                <patternFill>
                  <bgColor theme="1" tint="0.499984740745262"/>
                </patternFill>
              </fill>
            </x14:dxf>
          </x14:cfRule>
          <x14:cfRule type="expression" priority="12894" stopIfTrue="1" id="{B4D9B1F9-3275-4EC3-9DB7-F03BBB7D6CA3}">
            <xm:f>AND(IF(AE143='F:\Users\norela.briceno\Documents\Plan de acción\Plan Accion 2018\[Plan Accion Integrado ADRES Vigencia 2018 con Cuadro de Mando V6..xlsx]Plan de Accion 2018'!#REF!,AE143&lt;&gt;"N/A"))</xm:f>
            <x14:dxf>
              <fill>
                <patternFill>
                  <bgColor rgb="FF00B050"/>
                </patternFill>
              </fill>
            </x14:dxf>
          </x14:cfRule>
          <x14:cfRule type="expression" priority="12895" stopIfTrue="1" id="{097B9423-27A6-47AD-921B-4470FCAFDEEF}">
            <xm:f>AND(IF(AE143&lt;'F:\Users\norela.briceno\Documents\Plan de acción\Plan Accion 2018\[Plan Accion Integrado ADRES Vigencia 2018 con Cuadro de Mando V6..xlsx]Plan de Accion 2018'!#REF!,AE143&lt;&gt;"N/A"))</xm:f>
            <x14:dxf>
              <fill>
                <patternFill>
                  <bgColor indexed="10"/>
                </patternFill>
              </fill>
            </x14:dxf>
          </x14:cfRule>
          <xm:sqref>AE143</xm:sqref>
        </x14:conditionalFormatting>
        <x14:conditionalFormatting xmlns:xm="http://schemas.microsoft.com/office/excel/2006/main">
          <x14:cfRule type="expression" priority="12708" id="{A55A63C4-05D8-4CDC-BF30-37D903F91C8A}">
            <xm:f>AND(IF(J197&gt;'F:\Users\norela.briceno\Documents\Plan de acción\Plan Accion 2018\[Plan Accion Integrado ADRES Vigencia 2018 con Cuadro de Mando V6..xlsx]Plan de Accion 2018'!#REF!,J197&lt;&gt;¨N/A¨))</xm:f>
            <x14:dxf>
              <fill>
                <patternFill>
                  <bgColor theme="1" tint="0.499984740745262"/>
                </patternFill>
              </fill>
            </x14:dxf>
          </x14:cfRule>
          <x14:cfRule type="expression" priority="12709" stopIfTrue="1" id="{9461542F-9C86-4683-BB82-67DD1615FF51}">
            <xm:f>AND(IF(J197='F:\Users\norela.briceno\Documents\Plan de acción\Plan Accion 2018\[Plan Accion Integrado ADRES Vigencia 2018 con Cuadro de Mando V6..xlsx]Plan de Accion 2018'!#REF!,J197&lt;&gt;"N/A"))</xm:f>
            <x14:dxf>
              <fill>
                <patternFill>
                  <bgColor rgb="FF00B050"/>
                </patternFill>
              </fill>
            </x14:dxf>
          </x14:cfRule>
          <x14:cfRule type="expression" priority="12710" stopIfTrue="1" id="{A631C208-DFF6-4992-BF50-186E3F1DE138}">
            <xm:f>AND(IF(J197&lt;'F:\Users\norela.briceno\Documents\Plan de acción\Plan Accion 2018\[Plan Accion Integrado ADRES Vigencia 2018 con Cuadro de Mando V6..xlsx]Plan de Accion 2018'!#REF!,J197&lt;&gt;"N/A"))</xm:f>
            <x14:dxf>
              <fill>
                <patternFill>
                  <bgColor indexed="10"/>
                </patternFill>
              </fill>
            </x14:dxf>
          </x14:cfRule>
          <xm:sqref>J197</xm:sqref>
        </x14:conditionalFormatting>
        <x14:conditionalFormatting xmlns:xm="http://schemas.microsoft.com/office/excel/2006/main">
          <x14:cfRule type="expression" priority="12705" id="{4813EAF7-73A0-4D4A-A76F-7B6576C12516}">
            <xm:f>AND(IF(Q197&gt;'F:\Users\norela.briceno\Documents\Plan de acción\Plan Accion 2018\[Plan Accion Integrado ADRES Vigencia 2018 con Cuadro de Mando V6..xlsx]Plan de Accion 2018'!#REF!,Q197&lt;&gt;¨N/A¨))</xm:f>
            <x14:dxf>
              <fill>
                <patternFill>
                  <bgColor theme="1" tint="0.499984740745262"/>
                </patternFill>
              </fill>
            </x14:dxf>
          </x14:cfRule>
          <x14:cfRule type="expression" priority="12706" stopIfTrue="1" id="{994D40D6-416D-4CAC-9421-D4811F0B6F13}">
            <xm:f>AND(IF(Q197='F:\Users\norela.briceno\Documents\Plan de acción\Plan Accion 2018\[Plan Accion Integrado ADRES Vigencia 2018 con Cuadro de Mando V6..xlsx]Plan de Accion 2018'!#REF!,Q197&lt;&gt;"N/A"))</xm:f>
            <x14:dxf>
              <fill>
                <patternFill>
                  <bgColor rgb="FF00B050"/>
                </patternFill>
              </fill>
            </x14:dxf>
          </x14:cfRule>
          <x14:cfRule type="expression" priority="12707" stopIfTrue="1" id="{D60C1CE9-7B57-44C8-BA08-93D4B96EC0BB}">
            <xm:f>AND(IF(Q197&lt;'F:\Users\norela.briceno\Documents\Plan de acción\Plan Accion 2018\[Plan Accion Integrado ADRES Vigencia 2018 con Cuadro de Mando V6..xlsx]Plan de Accion 2018'!#REF!,Q197&lt;&gt;"N/A"))</xm:f>
            <x14:dxf>
              <fill>
                <patternFill>
                  <bgColor indexed="10"/>
                </patternFill>
              </fill>
            </x14:dxf>
          </x14:cfRule>
          <xm:sqref>Q197</xm:sqref>
        </x14:conditionalFormatting>
        <x14:conditionalFormatting xmlns:xm="http://schemas.microsoft.com/office/excel/2006/main">
          <x14:cfRule type="expression" priority="12702" id="{C6FAF6D6-6A77-4558-850A-966247775B25}">
            <xm:f>AND(IF(X197&gt;'F:\Users\norela.briceno\Documents\Plan de acción\Plan Accion 2018\[Plan Accion Integrado ADRES Vigencia 2018 con Cuadro de Mando V6..xlsx]Plan de Accion 2018'!#REF!,X197&lt;&gt;¨N/A¨))</xm:f>
            <x14:dxf>
              <fill>
                <patternFill>
                  <bgColor theme="1" tint="0.499984740745262"/>
                </patternFill>
              </fill>
            </x14:dxf>
          </x14:cfRule>
          <x14:cfRule type="expression" priority="12703" stopIfTrue="1" id="{97EA954F-BBF8-437E-818F-3C6AC6377FC4}">
            <xm:f>AND(IF(X197='F:\Users\norela.briceno\Documents\Plan de acción\Plan Accion 2018\[Plan Accion Integrado ADRES Vigencia 2018 con Cuadro de Mando V6..xlsx]Plan de Accion 2018'!#REF!,X197&lt;&gt;"N/A"))</xm:f>
            <x14:dxf>
              <fill>
                <patternFill>
                  <bgColor rgb="FF00B050"/>
                </patternFill>
              </fill>
            </x14:dxf>
          </x14:cfRule>
          <x14:cfRule type="expression" priority="12704" stopIfTrue="1" id="{972DD4F5-A90B-497C-8D90-8735FB264E95}">
            <xm:f>AND(IF(X197&lt;'F:\Users\norela.briceno\Documents\Plan de acción\Plan Accion 2018\[Plan Accion Integrado ADRES Vigencia 2018 con Cuadro de Mando V6..xlsx]Plan de Accion 2018'!#REF!,X197&lt;&gt;"N/A"))</xm:f>
            <x14:dxf>
              <fill>
                <patternFill>
                  <bgColor indexed="10"/>
                </patternFill>
              </fill>
            </x14:dxf>
          </x14:cfRule>
          <xm:sqref>X197</xm:sqref>
        </x14:conditionalFormatting>
        <x14:conditionalFormatting xmlns:xm="http://schemas.microsoft.com/office/excel/2006/main">
          <x14:cfRule type="expression" priority="12699" id="{F03B5ED3-F63A-4BE4-8788-4A0A1E59F5CF}">
            <xm:f>AND(IF(AE197&gt;'F:\Users\norela.briceno\Documents\Plan de acción\Plan Accion 2018\[Plan Accion Integrado ADRES Vigencia 2018 con Cuadro de Mando V6..xlsx]Plan de Accion 2018'!#REF!,AE197&lt;&gt;¨N/A¨))</xm:f>
            <x14:dxf>
              <fill>
                <patternFill>
                  <bgColor theme="1" tint="0.499984740745262"/>
                </patternFill>
              </fill>
            </x14:dxf>
          </x14:cfRule>
          <x14:cfRule type="expression" priority="12700" stopIfTrue="1" id="{30967399-6FCC-4A85-B78F-ED324DF65B2D}">
            <xm:f>AND(IF(AE197='F:\Users\norela.briceno\Documents\Plan de acción\Plan Accion 2018\[Plan Accion Integrado ADRES Vigencia 2018 con Cuadro de Mando V6..xlsx]Plan de Accion 2018'!#REF!,AE197&lt;&gt;"N/A"))</xm:f>
            <x14:dxf>
              <fill>
                <patternFill>
                  <bgColor rgb="FF00B050"/>
                </patternFill>
              </fill>
            </x14:dxf>
          </x14:cfRule>
          <x14:cfRule type="expression" priority="12701" stopIfTrue="1" id="{79EA914E-2061-4933-8161-14CA1D6C8C40}">
            <xm:f>AND(IF(AE197&lt;'F:\Users\norela.briceno\Documents\Plan de acción\Plan Accion 2018\[Plan Accion Integrado ADRES Vigencia 2018 con Cuadro de Mando V6..xlsx]Plan de Accion 2018'!#REF!,AE197&lt;&gt;"N/A"))</xm:f>
            <x14:dxf>
              <fill>
                <patternFill>
                  <bgColor indexed="10"/>
                </patternFill>
              </fill>
            </x14:dxf>
          </x14:cfRule>
          <xm:sqref>AE197</xm:sqref>
        </x14:conditionalFormatting>
        <x14:conditionalFormatting xmlns:xm="http://schemas.microsoft.com/office/excel/2006/main">
          <x14:cfRule type="expression" priority="11887" id="{408C7D2F-B156-4C88-B378-027BCB45C2E1}">
            <xm:f>AND(IF(AE219&gt;'F:\Users\norela.briceno\Documents\Plan de acción\Plan Accion 2018\[Plan Accion Integrado ADRES Vigencia 2018 con Cuadro de Mando V6..xlsx]Plan de Accion 2018'!#REF!,AE219&lt;&gt;¨N/A¨))</xm:f>
            <x14:dxf>
              <fill>
                <patternFill>
                  <bgColor theme="1" tint="0.499984740745262"/>
                </patternFill>
              </fill>
            </x14:dxf>
          </x14:cfRule>
          <x14:cfRule type="expression" priority="11888" stopIfTrue="1" id="{85306298-2628-4AD3-BA13-F4FBB73C7F0C}">
            <xm:f>AND(IF(AE219='F:\Users\norela.briceno\Documents\Plan de acción\Plan Accion 2018\[Plan Accion Integrado ADRES Vigencia 2018 con Cuadro de Mando V6..xlsx]Plan de Accion 2018'!#REF!,AE219&lt;&gt;"N/A"))</xm:f>
            <x14:dxf>
              <fill>
                <patternFill>
                  <bgColor rgb="FF00B050"/>
                </patternFill>
              </fill>
            </x14:dxf>
          </x14:cfRule>
          <x14:cfRule type="expression" priority="11889" stopIfTrue="1" id="{EBE77E88-A599-4C01-B17D-3AB8645AE6B0}">
            <xm:f>AND(IF(AE219&lt;'F:\Users\norela.briceno\Documents\Plan de acción\Plan Accion 2018\[Plan Accion Integrado ADRES Vigencia 2018 con Cuadro de Mando V6..xlsx]Plan de Accion 2018'!#REF!,AE219&lt;&gt;"N/A"))</xm:f>
            <x14:dxf>
              <fill>
                <patternFill>
                  <bgColor indexed="10"/>
                </patternFill>
              </fill>
            </x14:dxf>
          </x14:cfRule>
          <xm:sqref>AE219</xm:sqref>
        </x14:conditionalFormatting>
        <x14:conditionalFormatting xmlns:xm="http://schemas.microsoft.com/office/excel/2006/main">
          <x14:cfRule type="expression" priority="11869" id="{0680CD96-50A9-4DD6-8F50-E1356F6C245C}">
            <xm:f>AND(IF(X219&gt;'F:\Users\norela.briceno\Documents\Plan de acción\Plan Accion 2018\[Plan Accion Integrado ADRES Vigencia 2018 con Cuadro de Mando V6..xlsx]Plan de Accion 2018'!#REF!,X219&lt;&gt;¨N/A¨))</xm:f>
            <x14:dxf>
              <fill>
                <patternFill>
                  <bgColor theme="1" tint="0.499984740745262"/>
                </patternFill>
              </fill>
            </x14:dxf>
          </x14:cfRule>
          <x14:cfRule type="expression" priority="11870" stopIfTrue="1" id="{B8A2F1E5-72D3-4CBE-B04E-CB1718EDE50D}">
            <xm:f>AND(IF(X219='F:\Users\norela.briceno\Documents\Plan de acción\Plan Accion 2018\[Plan Accion Integrado ADRES Vigencia 2018 con Cuadro de Mando V6..xlsx]Plan de Accion 2018'!#REF!,X219&lt;&gt;"N/A"))</xm:f>
            <x14:dxf>
              <fill>
                <patternFill>
                  <bgColor rgb="FF00B050"/>
                </patternFill>
              </fill>
            </x14:dxf>
          </x14:cfRule>
          <x14:cfRule type="expression" priority="11871" stopIfTrue="1" id="{8DCCD01F-14E8-47D0-99C8-93299492517C}">
            <xm:f>AND(IF(X219&lt;'F:\Users\norela.briceno\Documents\Plan de acción\Plan Accion 2018\[Plan Accion Integrado ADRES Vigencia 2018 con Cuadro de Mando V6..xlsx]Plan de Accion 2018'!#REF!,X219&lt;&gt;"N/A"))</xm:f>
            <x14:dxf>
              <fill>
                <patternFill>
                  <bgColor indexed="10"/>
                </patternFill>
              </fill>
            </x14:dxf>
          </x14:cfRule>
          <xm:sqref>X219</xm:sqref>
        </x14:conditionalFormatting>
        <x14:conditionalFormatting xmlns:xm="http://schemas.microsoft.com/office/excel/2006/main">
          <x14:cfRule type="expression" priority="11823" id="{99FC07ED-8389-4A74-A464-1B1569B6A8D3}">
            <xm:f>AND(IF(Q219&gt;'F:\Users\norela.briceno\Documents\Plan de acción\Plan Accion 2018\[Plan Accion Integrado ADRES Vigencia 2018 con Cuadro de Mando V6..xlsx]Plan de Accion 2018'!#REF!,Q219&lt;&gt;¨N/A¨))</xm:f>
            <x14:dxf>
              <fill>
                <patternFill>
                  <bgColor theme="1" tint="0.499984740745262"/>
                </patternFill>
              </fill>
            </x14:dxf>
          </x14:cfRule>
          <x14:cfRule type="expression" priority="11824" stopIfTrue="1" id="{91663BD4-7B57-4BB4-BF6E-9075B307E6D1}">
            <xm:f>AND(IF(Q219='F:\Users\norela.briceno\Documents\Plan de acción\Plan Accion 2018\[Plan Accion Integrado ADRES Vigencia 2018 con Cuadro de Mando V6..xlsx]Plan de Accion 2018'!#REF!,Q219&lt;&gt;"N/A"))</xm:f>
            <x14:dxf>
              <fill>
                <patternFill>
                  <bgColor rgb="FF00B050"/>
                </patternFill>
              </fill>
            </x14:dxf>
          </x14:cfRule>
          <x14:cfRule type="expression" priority="11825" stopIfTrue="1" id="{1C89EB68-6865-4266-BCA6-55F366DD8373}">
            <xm:f>AND(IF(Q219&lt;'F:\Users\norela.briceno\Documents\Plan de acción\Plan Accion 2018\[Plan Accion Integrado ADRES Vigencia 2018 con Cuadro de Mando V6..xlsx]Plan de Accion 2018'!#REF!,Q219&lt;&gt;"N/A"))</xm:f>
            <x14:dxf>
              <fill>
                <patternFill>
                  <bgColor indexed="10"/>
                </patternFill>
              </fill>
            </x14:dxf>
          </x14:cfRule>
          <xm:sqref>Q219</xm:sqref>
        </x14:conditionalFormatting>
        <x14:conditionalFormatting xmlns:xm="http://schemas.microsoft.com/office/excel/2006/main">
          <x14:cfRule type="expression" priority="11785" id="{9C3E777F-BA06-4EC3-A789-3D8FD869499D}">
            <xm:f>AND(IF(AE220&gt;'F:\Users\norela.briceno\Documents\Plan de acción\Plan Accion 2018\[Plan Accion Integrado ADRES Vigencia 2018 con Cuadro de Mando V6..xlsx]Plan de Accion 2018'!#REF!,AE220&lt;&gt;¨N/A¨))</xm:f>
            <x14:dxf>
              <fill>
                <patternFill>
                  <bgColor theme="1" tint="0.499984740745262"/>
                </patternFill>
              </fill>
            </x14:dxf>
          </x14:cfRule>
          <x14:cfRule type="expression" priority="11786" stopIfTrue="1" id="{830C43C2-7D68-4712-AF97-FAF73B7B6A7E}">
            <xm:f>AND(IF(AE220='F:\Users\norela.briceno\Documents\Plan de acción\Plan Accion 2018\[Plan Accion Integrado ADRES Vigencia 2018 con Cuadro de Mando V6..xlsx]Plan de Accion 2018'!#REF!,AE220&lt;&gt;"N/A"))</xm:f>
            <x14:dxf>
              <fill>
                <patternFill>
                  <bgColor rgb="FF00B050"/>
                </patternFill>
              </fill>
            </x14:dxf>
          </x14:cfRule>
          <x14:cfRule type="expression" priority="11787" stopIfTrue="1" id="{52F54E9F-D93B-4ADF-99B3-BEAB79B18838}">
            <xm:f>AND(IF(AE220&lt;'F:\Users\norela.briceno\Documents\Plan de acción\Plan Accion 2018\[Plan Accion Integrado ADRES Vigencia 2018 con Cuadro de Mando V6..xlsx]Plan de Accion 2018'!#REF!,AE220&lt;&gt;"N/A"))</xm:f>
            <x14:dxf>
              <fill>
                <patternFill>
                  <bgColor indexed="10"/>
                </patternFill>
              </fill>
            </x14:dxf>
          </x14:cfRule>
          <xm:sqref>AE220</xm:sqref>
        </x14:conditionalFormatting>
        <x14:conditionalFormatting xmlns:xm="http://schemas.microsoft.com/office/excel/2006/main">
          <x14:cfRule type="expression" priority="11767" id="{79A05394-E8AC-4DB3-926C-65B7F666203F}">
            <xm:f>AND(IF(X220&gt;'F:\Users\norela.briceno\Documents\Plan de acción\Plan Accion 2018\[Plan Accion Integrado ADRES Vigencia 2018 con Cuadro de Mando V6..xlsx]Plan de Accion 2018'!#REF!,X220&lt;&gt;¨N/A¨))</xm:f>
            <x14:dxf>
              <fill>
                <patternFill>
                  <bgColor theme="1" tint="0.499984740745262"/>
                </patternFill>
              </fill>
            </x14:dxf>
          </x14:cfRule>
          <x14:cfRule type="expression" priority="11768" stopIfTrue="1" id="{1ACB7936-2B14-415A-AEE5-0474FFA46B0B}">
            <xm:f>AND(IF(X220='F:\Users\norela.briceno\Documents\Plan de acción\Plan Accion 2018\[Plan Accion Integrado ADRES Vigencia 2018 con Cuadro de Mando V6..xlsx]Plan de Accion 2018'!#REF!,X220&lt;&gt;"N/A"))</xm:f>
            <x14:dxf>
              <fill>
                <patternFill>
                  <bgColor rgb="FF00B050"/>
                </patternFill>
              </fill>
            </x14:dxf>
          </x14:cfRule>
          <x14:cfRule type="expression" priority="11769" stopIfTrue="1" id="{82E007B0-362C-4E2A-8E03-866A332F6370}">
            <xm:f>AND(IF(X220&lt;'F:\Users\norela.briceno\Documents\Plan de acción\Plan Accion 2018\[Plan Accion Integrado ADRES Vigencia 2018 con Cuadro de Mando V6..xlsx]Plan de Accion 2018'!#REF!,X220&lt;&gt;"N/A"))</xm:f>
            <x14:dxf>
              <fill>
                <patternFill>
                  <bgColor indexed="10"/>
                </patternFill>
              </fill>
            </x14:dxf>
          </x14:cfRule>
          <xm:sqref>X220</xm:sqref>
        </x14:conditionalFormatting>
        <x14:conditionalFormatting xmlns:xm="http://schemas.microsoft.com/office/excel/2006/main">
          <x14:cfRule type="expression" priority="11703" id="{9C29FB0F-0B2D-446E-BEB5-FC760832676D}">
            <xm:f>AND(IF(J33&gt;'F:\Users\norela.briceno\Documents\Plan de acción\Plan Accion 2018\[Plan Accion Integrado ADRES Vigencia 2018 con Cuadro de Mando V6..xlsx]Plan de Accion 2018'!#REF!,J33&lt;&gt;¨N/A¨))</xm:f>
            <x14:dxf>
              <fill>
                <patternFill>
                  <bgColor theme="1" tint="0.499984740745262"/>
                </patternFill>
              </fill>
            </x14:dxf>
          </x14:cfRule>
          <x14:cfRule type="expression" priority="11704" stopIfTrue="1" id="{1873F67F-4383-42F1-B217-A3155BA16443}">
            <xm:f>AND(IF(J33='F:\Users\norela.briceno\Documents\Plan de acción\Plan Accion 2018\[Plan Accion Integrado ADRES Vigencia 2018 con Cuadro de Mando V6..xlsx]Plan de Accion 2018'!#REF!,J33&lt;&gt;"N/A"))</xm:f>
            <x14:dxf>
              <fill>
                <patternFill>
                  <bgColor rgb="FF00B050"/>
                </patternFill>
              </fill>
            </x14:dxf>
          </x14:cfRule>
          <x14:cfRule type="expression" priority="11705" stopIfTrue="1" id="{A2B6F062-8A87-4FAB-8089-2FB742082FD4}">
            <xm:f>AND(IF(J33&lt;'F:\Users\norela.briceno\Documents\Plan de acción\Plan Accion 2018\[Plan Accion Integrado ADRES Vigencia 2018 con Cuadro de Mando V6..xlsx]Plan de Accion 2018'!#REF!,J33&lt;&gt;"N/A"))</xm:f>
            <x14:dxf>
              <fill>
                <patternFill>
                  <bgColor indexed="10"/>
                </patternFill>
              </fill>
            </x14:dxf>
          </x14:cfRule>
          <xm:sqref>J33 Q33 AE33 X33</xm:sqref>
        </x14:conditionalFormatting>
        <x14:conditionalFormatting xmlns:xm="http://schemas.microsoft.com/office/excel/2006/main">
          <x14:cfRule type="expression" priority="11700" id="{1933BB16-4BA9-4239-9009-9CFBFC940FDD}">
            <xm:f>AND(IF(J33&gt;'F:\Users\norela.briceno\Documents\Plan de acción\Plan Accion 2018\[Plan Accion Integrado ADRES Vigencia 2018 con Cuadro de Mando V6..xlsx]Plan de Accion 2018'!#REF!,J33&lt;&gt;¨N/A¨))</xm:f>
            <x14:dxf>
              <fill>
                <patternFill>
                  <bgColor theme="1" tint="0.499984740745262"/>
                </patternFill>
              </fill>
            </x14:dxf>
          </x14:cfRule>
          <x14:cfRule type="expression" priority="11701" stopIfTrue="1" id="{1B248148-7348-4A6D-91E0-8BA3D96FDB9B}">
            <xm:f>AND(IF(J33='F:\Users\norela.briceno\Documents\Plan de acción\Plan Accion 2018\[Plan Accion Integrado ADRES Vigencia 2018 con Cuadro de Mando V6..xlsx]Plan de Accion 2018'!#REF!,J33&lt;&gt;"N/A"))</xm:f>
            <x14:dxf>
              <fill>
                <patternFill>
                  <bgColor rgb="FF00B050"/>
                </patternFill>
              </fill>
            </x14:dxf>
          </x14:cfRule>
          <x14:cfRule type="expression" priority="11702" stopIfTrue="1" id="{1C12151D-389C-485D-8D5A-F396266C289D}">
            <xm:f>AND(IF(J33&lt;'F:\Users\norela.briceno\Documents\Plan de acción\Plan Accion 2018\[Plan Accion Integrado ADRES Vigencia 2018 con Cuadro de Mando V6..xlsx]Plan de Accion 2018'!#REF!,J33&lt;&gt;"N/A"))</xm:f>
            <x14:dxf>
              <fill>
                <patternFill>
                  <bgColor indexed="10"/>
                </patternFill>
              </fill>
            </x14:dxf>
          </x14:cfRule>
          <xm:sqref>J33</xm:sqref>
        </x14:conditionalFormatting>
        <x14:conditionalFormatting xmlns:xm="http://schemas.microsoft.com/office/excel/2006/main">
          <x14:cfRule type="expression" priority="11697" id="{16E9F4F9-C180-4330-A551-6EF7DD63A7BE}">
            <xm:f>AND(IF(Q33&gt;'F:\Users\norela.briceno\Documents\Plan de acción\Plan Accion 2018\[Plan Accion Integrado ADRES Vigencia 2018 con Cuadro de Mando V6..xlsx]Plan de Accion 2018'!#REF!,Q33&lt;&gt;¨N/A¨))</xm:f>
            <x14:dxf>
              <fill>
                <patternFill>
                  <bgColor theme="1" tint="0.499984740745262"/>
                </patternFill>
              </fill>
            </x14:dxf>
          </x14:cfRule>
          <x14:cfRule type="expression" priority="11698" stopIfTrue="1" id="{E501AA27-9981-4FFE-8301-679F348E0194}">
            <xm:f>AND(IF(Q33='F:\Users\norela.briceno\Documents\Plan de acción\Plan Accion 2018\[Plan Accion Integrado ADRES Vigencia 2018 con Cuadro de Mando V6..xlsx]Plan de Accion 2018'!#REF!,Q33&lt;&gt;"N/A"))</xm:f>
            <x14:dxf>
              <fill>
                <patternFill>
                  <bgColor rgb="FF00B050"/>
                </patternFill>
              </fill>
            </x14:dxf>
          </x14:cfRule>
          <x14:cfRule type="expression" priority="11699" stopIfTrue="1" id="{DE9504CA-C42B-4EAF-BA09-5E004DB615A6}">
            <xm:f>AND(IF(Q33&lt;'F:\Users\norela.briceno\Documents\Plan de acción\Plan Accion 2018\[Plan Accion Integrado ADRES Vigencia 2018 con Cuadro de Mando V6..xlsx]Plan de Accion 2018'!#REF!,Q33&lt;&gt;"N/A"))</xm:f>
            <x14:dxf>
              <fill>
                <patternFill>
                  <bgColor indexed="10"/>
                </patternFill>
              </fill>
            </x14:dxf>
          </x14:cfRule>
          <xm:sqref>Q33</xm:sqref>
        </x14:conditionalFormatting>
        <x14:conditionalFormatting xmlns:xm="http://schemas.microsoft.com/office/excel/2006/main">
          <x14:cfRule type="expression" priority="11694" id="{71CD58D4-4755-4FD5-B6BC-57969B5244C6}">
            <xm:f>AND(IF(X33&gt;'F:\Users\norela.briceno\Documents\Plan de acción\Plan Accion 2018\[Plan Accion Integrado ADRES Vigencia 2018 con Cuadro de Mando V6..xlsx]Plan de Accion 2018'!#REF!,X33&lt;&gt;¨N/A¨))</xm:f>
            <x14:dxf>
              <fill>
                <patternFill>
                  <bgColor theme="1" tint="0.499984740745262"/>
                </patternFill>
              </fill>
            </x14:dxf>
          </x14:cfRule>
          <x14:cfRule type="expression" priority="11695" stopIfTrue="1" id="{1E7F536E-0558-47DD-85B2-A524C959C291}">
            <xm:f>AND(IF(X33='F:\Users\norela.briceno\Documents\Plan de acción\Plan Accion 2018\[Plan Accion Integrado ADRES Vigencia 2018 con Cuadro de Mando V6..xlsx]Plan de Accion 2018'!#REF!,X33&lt;&gt;"N/A"))</xm:f>
            <x14:dxf>
              <fill>
                <patternFill>
                  <bgColor rgb="FF00B050"/>
                </patternFill>
              </fill>
            </x14:dxf>
          </x14:cfRule>
          <x14:cfRule type="expression" priority="11696" stopIfTrue="1" id="{06AE82B7-D12A-48F1-965F-1CE262E31962}">
            <xm:f>AND(IF(X33&lt;'F:\Users\norela.briceno\Documents\Plan de acción\Plan Accion 2018\[Plan Accion Integrado ADRES Vigencia 2018 con Cuadro de Mando V6..xlsx]Plan de Accion 2018'!#REF!,X33&lt;&gt;"N/A"))</xm:f>
            <x14:dxf>
              <fill>
                <patternFill>
                  <bgColor indexed="10"/>
                </patternFill>
              </fill>
            </x14:dxf>
          </x14:cfRule>
          <xm:sqref>X33</xm:sqref>
        </x14:conditionalFormatting>
        <x14:conditionalFormatting xmlns:xm="http://schemas.microsoft.com/office/excel/2006/main">
          <x14:cfRule type="expression" priority="11691" id="{BFF1F75C-BE51-426D-9C45-44C64491C61D}">
            <xm:f>AND(IF(AE33&gt;'F:\Users\norela.briceno\Documents\Plan de acción\Plan Accion 2018\[Plan Accion Integrado ADRES Vigencia 2018 con Cuadro de Mando V6..xlsx]Plan de Accion 2018'!#REF!,AE33&lt;&gt;¨N/A¨))</xm:f>
            <x14:dxf>
              <fill>
                <patternFill>
                  <bgColor theme="1" tint="0.499984740745262"/>
                </patternFill>
              </fill>
            </x14:dxf>
          </x14:cfRule>
          <x14:cfRule type="expression" priority="11692" stopIfTrue="1" id="{C10594BC-505D-4FCC-9C74-A88DE349E45A}">
            <xm:f>AND(IF(AE33='F:\Users\norela.briceno\Documents\Plan de acción\Plan Accion 2018\[Plan Accion Integrado ADRES Vigencia 2018 con Cuadro de Mando V6..xlsx]Plan de Accion 2018'!#REF!,AE33&lt;&gt;"N/A"))</xm:f>
            <x14:dxf>
              <fill>
                <patternFill>
                  <bgColor rgb="FF00B050"/>
                </patternFill>
              </fill>
            </x14:dxf>
          </x14:cfRule>
          <x14:cfRule type="expression" priority="11693" stopIfTrue="1" id="{3D0BB5D9-7087-4259-A6F5-13C7F3B2080C}">
            <xm:f>AND(IF(AE33&lt;'F:\Users\norela.briceno\Documents\Plan de acción\Plan Accion 2018\[Plan Accion Integrado ADRES Vigencia 2018 con Cuadro de Mando V6..xlsx]Plan de Accion 2018'!#REF!,AE33&lt;&gt;"N/A"))</xm:f>
            <x14:dxf>
              <fill>
                <patternFill>
                  <bgColor indexed="10"/>
                </patternFill>
              </fill>
            </x14:dxf>
          </x14:cfRule>
          <xm:sqref>AE33</xm:sqref>
        </x14:conditionalFormatting>
        <x14:conditionalFormatting xmlns:xm="http://schemas.microsoft.com/office/excel/2006/main">
          <x14:cfRule type="expression" priority="11623" id="{E20C7DC8-9128-47B0-9602-63B6EA854A8D}">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1624" stopIfTrue="1" id="{4F271666-CD96-478F-A188-4EFCF97C6B73}">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1625" stopIfTrue="1" id="{97452518-F7A1-43AB-8124-61352F946818}">
            <xm:f>AND(IF(J29&lt;'F:\Users\norela.briceno\Documents\Plan de acción\Plan Accion 2018\[Plan Accion Integrado ADRES Vigencia 2018 con Cuadro de Mando V6..xlsx]Plan de Accion 2018'!#REF!,J29&lt;&gt;"N/A"))</xm:f>
            <x14:dxf>
              <fill>
                <patternFill>
                  <bgColor indexed="10"/>
                </patternFill>
              </fill>
            </x14:dxf>
          </x14:cfRule>
          <xm:sqref>J29:J30 Q29:Q30 AE29:AE30 X29:X30</xm:sqref>
        </x14:conditionalFormatting>
        <x14:conditionalFormatting xmlns:xm="http://schemas.microsoft.com/office/excel/2006/main">
          <x14:cfRule type="expression" priority="11620" id="{BC8A87AA-DB99-4CD0-822D-E544782D6F4A}">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1621" stopIfTrue="1" id="{BBA65062-52EC-4D52-80F4-AE3C75A901E6}">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1622" stopIfTrue="1" id="{AAF82C5C-FCA9-4D62-B4E1-EAFB2148BD6E}">
            <xm:f>AND(IF(J29&lt;'F:\Users\norela.briceno\Documents\Plan de acción\Plan Accion 2018\[Plan Accion Integrado ADRES Vigencia 2018 con Cuadro de Mando V6..xlsx]Plan de Accion 2018'!#REF!,J29&lt;&gt;"N/A"))</xm:f>
            <x14:dxf>
              <fill>
                <patternFill>
                  <bgColor indexed="10"/>
                </patternFill>
              </fill>
            </x14:dxf>
          </x14:cfRule>
          <xm:sqref>J29:J30</xm:sqref>
        </x14:conditionalFormatting>
        <x14:conditionalFormatting xmlns:xm="http://schemas.microsoft.com/office/excel/2006/main">
          <x14:cfRule type="expression" priority="11617" id="{9DD4697C-03E2-4BA9-A91C-3ED55BB80409}">
            <xm:f>AND(IF(Q29&gt;'F:\Users\norela.briceno\Documents\Plan de acción\Plan Accion 2018\[Plan Accion Integrado ADRES Vigencia 2018 con Cuadro de Mando V6..xlsx]Plan de Accion 2018'!#REF!,Q29&lt;&gt;¨N/A¨))</xm:f>
            <x14:dxf>
              <fill>
                <patternFill>
                  <bgColor theme="1" tint="0.499984740745262"/>
                </patternFill>
              </fill>
            </x14:dxf>
          </x14:cfRule>
          <x14:cfRule type="expression" priority="11618" stopIfTrue="1" id="{01C37523-1723-457A-A7F5-4A5C6C533EFD}">
            <xm:f>AND(IF(Q29='F:\Users\norela.briceno\Documents\Plan de acción\Plan Accion 2018\[Plan Accion Integrado ADRES Vigencia 2018 con Cuadro de Mando V6..xlsx]Plan de Accion 2018'!#REF!,Q29&lt;&gt;"N/A"))</xm:f>
            <x14:dxf>
              <fill>
                <patternFill>
                  <bgColor rgb="FF00B050"/>
                </patternFill>
              </fill>
            </x14:dxf>
          </x14:cfRule>
          <x14:cfRule type="expression" priority="11619" stopIfTrue="1" id="{76FA6686-1DED-4B44-B570-6C9B51A3082B}">
            <xm:f>AND(IF(Q29&lt;'F:\Users\norela.briceno\Documents\Plan de acción\Plan Accion 2018\[Plan Accion Integrado ADRES Vigencia 2018 con Cuadro de Mando V6..xlsx]Plan de Accion 2018'!#REF!,Q29&lt;&gt;"N/A"))</xm:f>
            <x14:dxf>
              <fill>
                <patternFill>
                  <bgColor indexed="10"/>
                </patternFill>
              </fill>
            </x14:dxf>
          </x14:cfRule>
          <xm:sqref>Q29:Q30</xm:sqref>
        </x14:conditionalFormatting>
        <x14:conditionalFormatting xmlns:xm="http://schemas.microsoft.com/office/excel/2006/main">
          <x14:cfRule type="expression" priority="11614" id="{D4540D6A-5ABB-44D7-B3DA-A725D1E749C3}">
            <xm:f>AND(IF(X29&gt;'F:\Users\norela.briceno\Documents\Plan de acción\Plan Accion 2018\[Plan Accion Integrado ADRES Vigencia 2018 con Cuadro de Mando V6..xlsx]Plan de Accion 2018'!#REF!,X29&lt;&gt;¨N/A¨))</xm:f>
            <x14:dxf>
              <fill>
                <patternFill>
                  <bgColor theme="1" tint="0.499984740745262"/>
                </patternFill>
              </fill>
            </x14:dxf>
          </x14:cfRule>
          <x14:cfRule type="expression" priority="11615" stopIfTrue="1" id="{635A69A3-E736-4285-93F5-628A2EBA3204}">
            <xm:f>AND(IF(X29='F:\Users\norela.briceno\Documents\Plan de acción\Plan Accion 2018\[Plan Accion Integrado ADRES Vigencia 2018 con Cuadro de Mando V6..xlsx]Plan de Accion 2018'!#REF!,X29&lt;&gt;"N/A"))</xm:f>
            <x14:dxf>
              <fill>
                <patternFill>
                  <bgColor rgb="FF00B050"/>
                </patternFill>
              </fill>
            </x14:dxf>
          </x14:cfRule>
          <x14:cfRule type="expression" priority="11616" stopIfTrue="1" id="{45734FA6-B559-4971-B87C-81795C7EDA7A}">
            <xm:f>AND(IF(X29&lt;'F:\Users\norela.briceno\Documents\Plan de acción\Plan Accion 2018\[Plan Accion Integrado ADRES Vigencia 2018 con Cuadro de Mando V6..xlsx]Plan de Accion 2018'!#REF!,X29&lt;&gt;"N/A"))</xm:f>
            <x14:dxf>
              <fill>
                <patternFill>
                  <bgColor indexed="10"/>
                </patternFill>
              </fill>
            </x14:dxf>
          </x14:cfRule>
          <xm:sqref>X29:X30</xm:sqref>
        </x14:conditionalFormatting>
        <x14:conditionalFormatting xmlns:xm="http://schemas.microsoft.com/office/excel/2006/main">
          <x14:cfRule type="expression" priority="11611" id="{ECC63CF5-1657-4107-A58E-AEDA6CD731C2}">
            <xm:f>AND(IF(AE29&gt;'F:\Users\norela.briceno\Documents\Plan de acción\Plan Accion 2018\[Plan Accion Integrado ADRES Vigencia 2018 con Cuadro de Mando V6..xlsx]Plan de Accion 2018'!#REF!,AE29&lt;&gt;¨N/A¨))</xm:f>
            <x14:dxf>
              <fill>
                <patternFill>
                  <bgColor theme="1" tint="0.499984740745262"/>
                </patternFill>
              </fill>
            </x14:dxf>
          </x14:cfRule>
          <x14:cfRule type="expression" priority="11612" stopIfTrue="1" id="{01610812-E5C9-4D6B-A817-C31E144CB1FD}">
            <xm:f>AND(IF(AE29='F:\Users\norela.briceno\Documents\Plan de acción\Plan Accion 2018\[Plan Accion Integrado ADRES Vigencia 2018 con Cuadro de Mando V6..xlsx]Plan de Accion 2018'!#REF!,AE29&lt;&gt;"N/A"))</xm:f>
            <x14:dxf>
              <fill>
                <patternFill>
                  <bgColor rgb="FF00B050"/>
                </patternFill>
              </fill>
            </x14:dxf>
          </x14:cfRule>
          <x14:cfRule type="expression" priority="11613" stopIfTrue="1" id="{49543EB2-39D6-4E6B-B944-8630299DCA27}">
            <xm:f>AND(IF(AE29&lt;'F:\Users\norela.briceno\Documents\Plan de acción\Plan Accion 2018\[Plan Accion Integrado ADRES Vigencia 2018 con Cuadro de Mando V6..xlsx]Plan de Accion 2018'!#REF!,AE29&lt;&gt;"N/A"))</xm:f>
            <x14:dxf>
              <fill>
                <patternFill>
                  <bgColor indexed="10"/>
                </patternFill>
              </fill>
            </x14:dxf>
          </x14:cfRule>
          <xm:sqref>AE29:AE30</xm:sqref>
        </x14:conditionalFormatting>
        <x14:conditionalFormatting xmlns:xm="http://schemas.microsoft.com/office/excel/2006/main">
          <x14:cfRule type="expression" priority="11528" id="{68D95EDE-178F-4777-9718-314E45D333E7}">
            <xm:f>AND(IF(J59&gt;'F:\Users\norela.briceno\Documents\Plan de acción\Plan Accion 2018\[Plan Accion Integrado ADRES Vigencia 2018 con Cuadro de Mando V6..xlsx]Plan de Accion 2018'!#REF!,J59&lt;&gt;¨N/A¨))</xm:f>
            <x14:dxf>
              <fill>
                <patternFill>
                  <bgColor theme="1" tint="0.499984740745262"/>
                </patternFill>
              </fill>
            </x14:dxf>
          </x14:cfRule>
          <x14:cfRule type="expression" priority="11529" stopIfTrue="1" id="{E395AAEC-DCEB-4298-8185-DC97C0F64971}">
            <xm:f>AND(IF(J59='F:\Users\norela.briceno\Documents\Plan de acción\Plan Accion 2018\[Plan Accion Integrado ADRES Vigencia 2018 con Cuadro de Mando V6..xlsx]Plan de Accion 2018'!#REF!,J59&lt;&gt;"N/A"))</xm:f>
            <x14:dxf>
              <fill>
                <patternFill>
                  <bgColor rgb="FF00B050"/>
                </patternFill>
              </fill>
            </x14:dxf>
          </x14:cfRule>
          <x14:cfRule type="expression" priority="11530" stopIfTrue="1" id="{7516331E-E06E-4427-B07F-6C65BCC93C0B}">
            <xm:f>AND(IF(J59&lt;'F:\Users\norela.briceno\Documents\Plan de acción\Plan Accion 2018\[Plan Accion Integrado ADRES Vigencia 2018 con Cuadro de Mando V6..xlsx]Plan de Accion 2018'!#REF!,J59&lt;&gt;"N/A"))</xm:f>
            <x14:dxf>
              <fill>
                <patternFill>
                  <bgColor indexed="10"/>
                </patternFill>
              </fill>
            </x14:dxf>
          </x14:cfRule>
          <xm:sqref>J59 Q59 AE59 X59</xm:sqref>
        </x14:conditionalFormatting>
        <x14:conditionalFormatting xmlns:xm="http://schemas.microsoft.com/office/excel/2006/main">
          <x14:cfRule type="expression" priority="11525" id="{F317D4FE-06F6-4300-BAB2-0B43BF28486F}">
            <xm:f>AND(IF(J59&gt;'F:\Users\norela.briceno\Documents\Plan de acción\Plan Accion 2018\[Plan Accion Integrado ADRES Vigencia 2018 con Cuadro de Mando V6..xlsx]Plan de Accion 2018'!#REF!,J59&lt;&gt;¨N/A¨))</xm:f>
            <x14:dxf>
              <fill>
                <patternFill>
                  <bgColor theme="1" tint="0.499984740745262"/>
                </patternFill>
              </fill>
            </x14:dxf>
          </x14:cfRule>
          <x14:cfRule type="expression" priority="11526" stopIfTrue="1" id="{DDA90491-6209-459A-94B9-ABA46FFA6EE8}">
            <xm:f>AND(IF(J59='F:\Users\norela.briceno\Documents\Plan de acción\Plan Accion 2018\[Plan Accion Integrado ADRES Vigencia 2018 con Cuadro de Mando V6..xlsx]Plan de Accion 2018'!#REF!,J59&lt;&gt;"N/A"))</xm:f>
            <x14:dxf>
              <fill>
                <patternFill>
                  <bgColor rgb="FF00B050"/>
                </patternFill>
              </fill>
            </x14:dxf>
          </x14:cfRule>
          <x14:cfRule type="expression" priority="11527" stopIfTrue="1" id="{3758AB8D-2615-40E7-B735-2809FF287F7A}">
            <xm:f>AND(IF(J59&lt;'F:\Users\norela.briceno\Documents\Plan de acción\Plan Accion 2018\[Plan Accion Integrado ADRES Vigencia 2018 con Cuadro de Mando V6..xlsx]Plan de Accion 2018'!#REF!,J59&lt;&gt;"N/A"))</xm:f>
            <x14:dxf>
              <fill>
                <patternFill>
                  <bgColor indexed="10"/>
                </patternFill>
              </fill>
            </x14:dxf>
          </x14:cfRule>
          <xm:sqref>J59</xm:sqref>
        </x14:conditionalFormatting>
        <x14:conditionalFormatting xmlns:xm="http://schemas.microsoft.com/office/excel/2006/main">
          <x14:cfRule type="expression" priority="11522" id="{343A1453-2D63-4869-8361-2670121EECFC}">
            <xm:f>AND(IF(Q59&gt;'F:\Users\norela.briceno\Documents\Plan de acción\Plan Accion 2018\[Plan Accion Integrado ADRES Vigencia 2018 con Cuadro de Mando V6..xlsx]Plan de Accion 2018'!#REF!,Q59&lt;&gt;¨N/A¨))</xm:f>
            <x14:dxf>
              <fill>
                <patternFill>
                  <bgColor theme="1" tint="0.499984740745262"/>
                </patternFill>
              </fill>
            </x14:dxf>
          </x14:cfRule>
          <x14:cfRule type="expression" priority="11523" stopIfTrue="1" id="{AC41AEDF-FEB9-4ABB-8FC3-A81E4FDA4905}">
            <xm:f>AND(IF(Q59='F:\Users\norela.briceno\Documents\Plan de acción\Plan Accion 2018\[Plan Accion Integrado ADRES Vigencia 2018 con Cuadro de Mando V6..xlsx]Plan de Accion 2018'!#REF!,Q59&lt;&gt;"N/A"))</xm:f>
            <x14:dxf>
              <fill>
                <patternFill>
                  <bgColor rgb="FF00B050"/>
                </patternFill>
              </fill>
            </x14:dxf>
          </x14:cfRule>
          <x14:cfRule type="expression" priority="11524" stopIfTrue="1" id="{2A5E7A10-6468-45D9-ACAF-75FA1BB781B4}">
            <xm:f>AND(IF(Q59&lt;'F:\Users\norela.briceno\Documents\Plan de acción\Plan Accion 2018\[Plan Accion Integrado ADRES Vigencia 2018 con Cuadro de Mando V6..xlsx]Plan de Accion 2018'!#REF!,Q59&lt;&gt;"N/A"))</xm:f>
            <x14:dxf>
              <fill>
                <patternFill>
                  <bgColor indexed="10"/>
                </patternFill>
              </fill>
            </x14:dxf>
          </x14:cfRule>
          <xm:sqref>Q59</xm:sqref>
        </x14:conditionalFormatting>
        <x14:conditionalFormatting xmlns:xm="http://schemas.microsoft.com/office/excel/2006/main">
          <x14:cfRule type="expression" priority="11519" id="{A4B7E29C-0078-4E31-8CB5-2958E0997A6C}">
            <xm:f>AND(IF(X59&gt;'F:\Users\norela.briceno\Documents\Plan de acción\Plan Accion 2018\[Plan Accion Integrado ADRES Vigencia 2018 con Cuadro de Mando V6..xlsx]Plan de Accion 2018'!#REF!,X59&lt;&gt;¨N/A¨))</xm:f>
            <x14:dxf>
              <fill>
                <patternFill>
                  <bgColor theme="1" tint="0.499984740745262"/>
                </patternFill>
              </fill>
            </x14:dxf>
          </x14:cfRule>
          <x14:cfRule type="expression" priority="11520" stopIfTrue="1" id="{C80018D4-D9DE-422A-B86F-F5DC206DFE55}">
            <xm:f>AND(IF(X59='F:\Users\norela.briceno\Documents\Plan de acción\Plan Accion 2018\[Plan Accion Integrado ADRES Vigencia 2018 con Cuadro de Mando V6..xlsx]Plan de Accion 2018'!#REF!,X59&lt;&gt;"N/A"))</xm:f>
            <x14:dxf>
              <fill>
                <patternFill>
                  <bgColor rgb="FF00B050"/>
                </patternFill>
              </fill>
            </x14:dxf>
          </x14:cfRule>
          <x14:cfRule type="expression" priority="11521" stopIfTrue="1" id="{4D01DA17-530B-4325-9EC5-A7334EEE2BA3}">
            <xm:f>AND(IF(X59&lt;'F:\Users\norela.briceno\Documents\Plan de acción\Plan Accion 2018\[Plan Accion Integrado ADRES Vigencia 2018 con Cuadro de Mando V6..xlsx]Plan de Accion 2018'!#REF!,X59&lt;&gt;"N/A"))</xm:f>
            <x14:dxf>
              <fill>
                <patternFill>
                  <bgColor indexed="10"/>
                </patternFill>
              </fill>
            </x14:dxf>
          </x14:cfRule>
          <xm:sqref>X59</xm:sqref>
        </x14:conditionalFormatting>
        <x14:conditionalFormatting xmlns:xm="http://schemas.microsoft.com/office/excel/2006/main">
          <x14:cfRule type="expression" priority="11516" id="{C551DAEA-2227-41C3-B513-CEC165932429}">
            <xm:f>AND(IF(AE59&gt;'F:\Users\norela.briceno\Documents\Plan de acción\Plan Accion 2018\[Plan Accion Integrado ADRES Vigencia 2018 con Cuadro de Mando V6..xlsx]Plan de Accion 2018'!#REF!,AE59&lt;&gt;¨N/A¨))</xm:f>
            <x14:dxf>
              <fill>
                <patternFill>
                  <bgColor theme="1" tint="0.499984740745262"/>
                </patternFill>
              </fill>
            </x14:dxf>
          </x14:cfRule>
          <x14:cfRule type="expression" priority="11517" stopIfTrue="1" id="{9E5A2DB7-0E7F-4126-B148-A4CB24AB9D52}">
            <xm:f>AND(IF(AE59='F:\Users\norela.briceno\Documents\Plan de acción\Plan Accion 2018\[Plan Accion Integrado ADRES Vigencia 2018 con Cuadro de Mando V6..xlsx]Plan de Accion 2018'!#REF!,AE59&lt;&gt;"N/A"))</xm:f>
            <x14:dxf>
              <fill>
                <patternFill>
                  <bgColor rgb="FF00B050"/>
                </patternFill>
              </fill>
            </x14:dxf>
          </x14:cfRule>
          <x14:cfRule type="expression" priority="11518" stopIfTrue="1" id="{2A00B6F2-3FF3-4D52-BBAA-0773E3FBAF27}">
            <xm:f>AND(IF(AE59&lt;'F:\Users\norela.briceno\Documents\Plan de acción\Plan Accion 2018\[Plan Accion Integrado ADRES Vigencia 2018 con Cuadro de Mando V6..xlsx]Plan de Accion 2018'!#REF!,AE59&lt;&gt;"N/A"))</xm:f>
            <x14:dxf>
              <fill>
                <patternFill>
                  <bgColor indexed="10"/>
                </patternFill>
              </fill>
            </x14:dxf>
          </x14:cfRule>
          <xm:sqref>AE59</xm:sqref>
        </x14:conditionalFormatting>
        <x14:conditionalFormatting xmlns:xm="http://schemas.microsoft.com/office/excel/2006/main">
          <x14:cfRule type="expression" priority="11468" id="{54298840-0BEB-4994-87CB-BE5CB4B308AE}">
            <xm:f>AND(IF(J63&gt;'F:\Users\norela.briceno\Documents\Plan de acción\Plan Accion 2018\[Plan Accion Integrado ADRES Vigencia 2018 con Cuadro de Mando V6..xlsx]Plan de Accion 2018'!#REF!,J63&lt;&gt;¨N/A¨))</xm:f>
            <x14:dxf>
              <fill>
                <patternFill>
                  <bgColor theme="1" tint="0.499984740745262"/>
                </patternFill>
              </fill>
            </x14:dxf>
          </x14:cfRule>
          <x14:cfRule type="expression" priority="11469" stopIfTrue="1" id="{DA435023-C7B9-4E32-8202-3DEB503B1398}">
            <xm:f>AND(IF(J63='F:\Users\norela.briceno\Documents\Plan de acción\Plan Accion 2018\[Plan Accion Integrado ADRES Vigencia 2018 con Cuadro de Mando V6..xlsx]Plan de Accion 2018'!#REF!,J63&lt;&gt;"N/A"))</xm:f>
            <x14:dxf>
              <fill>
                <patternFill>
                  <bgColor rgb="FF00B050"/>
                </patternFill>
              </fill>
            </x14:dxf>
          </x14:cfRule>
          <x14:cfRule type="expression" priority="11470" stopIfTrue="1" id="{C4167C50-0F78-4352-BB3F-B63D92CABA9B}">
            <xm:f>AND(IF(J63&lt;'F:\Users\norela.briceno\Documents\Plan de acción\Plan Accion 2018\[Plan Accion Integrado ADRES Vigencia 2018 con Cuadro de Mando V6..xlsx]Plan de Accion 2018'!#REF!,J63&lt;&gt;"N/A"))</xm:f>
            <x14:dxf>
              <fill>
                <patternFill>
                  <bgColor indexed="10"/>
                </patternFill>
              </fill>
            </x14:dxf>
          </x14:cfRule>
          <xm:sqref>J63 Q63 AE63 X63</xm:sqref>
        </x14:conditionalFormatting>
        <x14:conditionalFormatting xmlns:xm="http://schemas.microsoft.com/office/excel/2006/main">
          <x14:cfRule type="expression" priority="11465" id="{AAD0DC85-150F-4B74-82D0-2A4F478E1708}">
            <xm:f>AND(IF(J63&gt;'F:\Users\norela.briceno\Documents\Plan de acción\Plan Accion 2018\[Plan Accion Integrado ADRES Vigencia 2018 con Cuadro de Mando V6..xlsx]Plan de Accion 2018'!#REF!,J63&lt;&gt;¨N/A¨))</xm:f>
            <x14:dxf>
              <fill>
                <patternFill>
                  <bgColor theme="1" tint="0.499984740745262"/>
                </patternFill>
              </fill>
            </x14:dxf>
          </x14:cfRule>
          <x14:cfRule type="expression" priority="11466" stopIfTrue="1" id="{A8DB58C8-DD80-493E-BF3B-94081E0C7902}">
            <xm:f>AND(IF(J63='F:\Users\norela.briceno\Documents\Plan de acción\Plan Accion 2018\[Plan Accion Integrado ADRES Vigencia 2018 con Cuadro de Mando V6..xlsx]Plan de Accion 2018'!#REF!,J63&lt;&gt;"N/A"))</xm:f>
            <x14:dxf>
              <fill>
                <patternFill>
                  <bgColor rgb="FF00B050"/>
                </patternFill>
              </fill>
            </x14:dxf>
          </x14:cfRule>
          <x14:cfRule type="expression" priority="11467" stopIfTrue="1" id="{39B30B29-16E3-431D-91F5-23D39EA6B961}">
            <xm:f>AND(IF(J63&lt;'F:\Users\norela.briceno\Documents\Plan de acción\Plan Accion 2018\[Plan Accion Integrado ADRES Vigencia 2018 con Cuadro de Mando V6..xlsx]Plan de Accion 2018'!#REF!,J63&lt;&gt;"N/A"))</xm:f>
            <x14:dxf>
              <fill>
                <patternFill>
                  <bgColor indexed="10"/>
                </patternFill>
              </fill>
            </x14:dxf>
          </x14:cfRule>
          <xm:sqref>J63</xm:sqref>
        </x14:conditionalFormatting>
        <x14:conditionalFormatting xmlns:xm="http://schemas.microsoft.com/office/excel/2006/main">
          <x14:cfRule type="expression" priority="11462" id="{5477ADCF-B6C9-4D7A-A8DA-332B83D915AC}">
            <xm:f>AND(IF(Q63&gt;'F:\Users\norela.briceno\Documents\Plan de acción\Plan Accion 2018\[Plan Accion Integrado ADRES Vigencia 2018 con Cuadro de Mando V6..xlsx]Plan de Accion 2018'!#REF!,Q63&lt;&gt;¨N/A¨))</xm:f>
            <x14:dxf>
              <fill>
                <patternFill>
                  <bgColor theme="1" tint="0.499984740745262"/>
                </patternFill>
              </fill>
            </x14:dxf>
          </x14:cfRule>
          <x14:cfRule type="expression" priority="11463" stopIfTrue="1" id="{C3A00E75-0339-4ACC-A896-9C3B2DE69F9F}">
            <xm:f>AND(IF(Q63='F:\Users\norela.briceno\Documents\Plan de acción\Plan Accion 2018\[Plan Accion Integrado ADRES Vigencia 2018 con Cuadro de Mando V6..xlsx]Plan de Accion 2018'!#REF!,Q63&lt;&gt;"N/A"))</xm:f>
            <x14:dxf>
              <fill>
                <patternFill>
                  <bgColor rgb="FF00B050"/>
                </patternFill>
              </fill>
            </x14:dxf>
          </x14:cfRule>
          <x14:cfRule type="expression" priority="11464" stopIfTrue="1" id="{2EEAC754-2805-4840-A205-56ED42D6ED8C}">
            <xm:f>AND(IF(Q63&lt;'F:\Users\norela.briceno\Documents\Plan de acción\Plan Accion 2018\[Plan Accion Integrado ADRES Vigencia 2018 con Cuadro de Mando V6..xlsx]Plan de Accion 2018'!#REF!,Q63&lt;&gt;"N/A"))</xm:f>
            <x14:dxf>
              <fill>
                <patternFill>
                  <bgColor indexed="10"/>
                </patternFill>
              </fill>
            </x14:dxf>
          </x14:cfRule>
          <xm:sqref>Q63</xm:sqref>
        </x14:conditionalFormatting>
        <x14:conditionalFormatting xmlns:xm="http://schemas.microsoft.com/office/excel/2006/main">
          <x14:cfRule type="expression" priority="11459" id="{5771593B-4B29-40C0-B146-A9D4C7485256}">
            <xm:f>AND(IF(X63&gt;'F:\Users\norela.briceno\Documents\Plan de acción\Plan Accion 2018\[Plan Accion Integrado ADRES Vigencia 2018 con Cuadro de Mando V6..xlsx]Plan de Accion 2018'!#REF!,X63&lt;&gt;¨N/A¨))</xm:f>
            <x14:dxf>
              <fill>
                <patternFill>
                  <bgColor theme="1" tint="0.499984740745262"/>
                </patternFill>
              </fill>
            </x14:dxf>
          </x14:cfRule>
          <x14:cfRule type="expression" priority="11460" stopIfTrue="1" id="{53019178-7A76-4612-A282-97C48C84CC05}">
            <xm:f>AND(IF(X63='F:\Users\norela.briceno\Documents\Plan de acción\Plan Accion 2018\[Plan Accion Integrado ADRES Vigencia 2018 con Cuadro de Mando V6..xlsx]Plan de Accion 2018'!#REF!,X63&lt;&gt;"N/A"))</xm:f>
            <x14:dxf>
              <fill>
                <patternFill>
                  <bgColor rgb="FF00B050"/>
                </patternFill>
              </fill>
            </x14:dxf>
          </x14:cfRule>
          <x14:cfRule type="expression" priority="11461" stopIfTrue="1" id="{8CFAE905-411E-4E1D-820A-E94A32AF104C}">
            <xm:f>AND(IF(X63&lt;'F:\Users\norela.briceno\Documents\Plan de acción\Plan Accion 2018\[Plan Accion Integrado ADRES Vigencia 2018 con Cuadro de Mando V6..xlsx]Plan de Accion 2018'!#REF!,X63&lt;&gt;"N/A"))</xm:f>
            <x14:dxf>
              <fill>
                <patternFill>
                  <bgColor indexed="10"/>
                </patternFill>
              </fill>
            </x14:dxf>
          </x14:cfRule>
          <xm:sqref>X63</xm:sqref>
        </x14:conditionalFormatting>
        <x14:conditionalFormatting xmlns:xm="http://schemas.microsoft.com/office/excel/2006/main">
          <x14:cfRule type="expression" priority="11456" id="{18C0EC46-D2EF-47E1-885E-4B7766901B85}">
            <xm:f>AND(IF(AE63&gt;'F:\Users\norela.briceno\Documents\Plan de acción\Plan Accion 2018\[Plan Accion Integrado ADRES Vigencia 2018 con Cuadro de Mando V6..xlsx]Plan de Accion 2018'!#REF!,AE63&lt;&gt;¨N/A¨))</xm:f>
            <x14:dxf>
              <fill>
                <patternFill>
                  <bgColor theme="1" tint="0.499984740745262"/>
                </patternFill>
              </fill>
            </x14:dxf>
          </x14:cfRule>
          <x14:cfRule type="expression" priority="11457" stopIfTrue="1" id="{BF13FC0D-424C-44ED-BC67-F79E536EE9A7}">
            <xm:f>AND(IF(AE63='F:\Users\norela.briceno\Documents\Plan de acción\Plan Accion 2018\[Plan Accion Integrado ADRES Vigencia 2018 con Cuadro de Mando V6..xlsx]Plan de Accion 2018'!#REF!,AE63&lt;&gt;"N/A"))</xm:f>
            <x14:dxf>
              <fill>
                <patternFill>
                  <bgColor rgb="FF00B050"/>
                </patternFill>
              </fill>
            </x14:dxf>
          </x14:cfRule>
          <x14:cfRule type="expression" priority="11458" stopIfTrue="1" id="{0158599C-BDA2-4664-90F7-0C9362CFCE23}">
            <xm:f>AND(IF(AE63&lt;'F:\Users\norela.briceno\Documents\Plan de acción\Plan Accion 2018\[Plan Accion Integrado ADRES Vigencia 2018 con Cuadro de Mando V6..xlsx]Plan de Accion 2018'!#REF!,AE63&lt;&gt;"N/A"))</xm:f>
            <x14:dxf>
              <fill>
                <patternFill>
                  <bgColor indexed="10"/>
                </patternFill>
              </fill>
            </x14:dxf>
          </x14:cfRule>
          <xm:sqref>AE63</xm:sqref>
        </x14:conditionalFormatting>
        <x14:conditionalFormatting xmlns:xm="http://schemas.microsoft.com/office/excel/2006/main">
          <x14:cfRule type="expression" priority="10956" id="{D1CC3B4C-B84E-4E8F-9530-290E50D09CC1}">
            <xm:f>AND(IF(J39&gt;'F:\Users\norela.briceno\Documents\Plan de acción\Plan Accion 2018\[Plan Accion Integrado ADRES Vigencia 2018 con Cuadro de Mando V6..xlsx]Plan de Accion 2018'!#REF!,J39&lt;&gt;¨N/A¨))</xm:f>
            <x14:dxf>
              <fill>
                <patternFill>
                  <bgColor theme="1" tint="0.499984740745262"/>
                </patternFill>
              </fill>
            </x14:dxf>
          </x14:cfRule>
          <x14:cfRule type="expression" priority="10957" stopIfTrue="1" id="{06A18C40-FFB8-40A5-93D2-5B384EE73237}">
            <xm:f>AND(IF(J39='F:\Users\norela.briceno\Documents\Plan de acción\Plan Accion 2018\[Plan Accion Integrado ADRES Vigencia 2018 con Cuadro de Mando V6..xlsx]Plan de Accion 2018'!#REF!,J39&lt;&gt;"N/A"))</xm:f>
            <x14:dxf>
              <fill>
                <patternFill>
                  <bgColor rgb="FF00B050"/>
                </patternFill>
              </fill>
            </x14:dxf>
          </x14:cfRule>
          <x14:cfRule type="expression" priority="10958" stopIfTrue="1" id="{5AE77F3B-C11E-41C9-B1C5-7CBDB3656667}">
            <xm:f>AND(IF(J39&lt;'F:\Users\norela.briceno\Documents\Plan de acción\Plan Accion 2018\[Plan Accion Integrado ADRES Vigencia 2018 con Cuadro de Mando V6..xlsx]Plan de Accion 2018'!#REF!,J39&lt;&gt;"N/A"))</xm:f>
            <x14:dxf>
              <fill>
                <patternFill>
                  <bgColor indexed="10"/>
                </patternFill>
              </fill>
            </x14:dxf>
          </x14:cfRule>
          <xm:sqref>J39 Q39 AE39 X39</xm:sqref>
        </x14:conditionalFormatting>
        <x14:conditionalFormatting xmlns:xm="http://schemas.microsoft.com/office/excel/2006/main">
          <x14:cfRule type="expression" priority="10953" id="{C201ED86-99EA-4BFF-98D3-106DB846B3D1}">
            <xm:f>AND(IF(J39&gt;'F:\Users\norela.briceno\Documents\Plan de acción\Plan Accion 2018\[Plan Accion Integrado ADRES Vigencia 2018 con Cuadro de Mando V6..xlsx]Plan de Accion 2018'!#REF!,J39&lt;&gt;¨N/A¨))</xm:f>
            <x14:dxf>
              <fill>
                <patternFill>
                  <bgColor theme="1" tint="0.499984740745262"/>
                </patternFill>
              </fill>
            </x14:dxf>
          </x14:cfRule>
          <x14:cfRule type="expression" priority="10954" stopIfTrue="1" id="{835F2232-4300-4147-BE64-49731700D3A2}">
            <xm:f>AND(IF(J39='F:\Users\norela.briceno\Documents\Plan de acción\Plan Accion 2018\[Plan Accion Integrado ADRES Vigencia 2018 con Cuadro de Mando V6..xlsx]Plan de Accion 2018'!#REF!,J39&lt;&gt;"N/A"))</xm:f>
            <x14:dxf>
              <fill>
                <patternFill>
                  <bgColor rgb="FF00B050"/>
                </patternFill>
              </fill>
            </x14:dxf>
          </x14:cfRule>
          <x14:cfRule type="expression" priority="10955" stopIfTrue="1" id="{79820CF9-C510-4128-999A-7624E3EA41A0}">
            <xm:f>AND(IF(J39&lt;'F:\Users\norela.briceno\Documents\Plan de acción\Plan Accion 2018\[Plan Accion Integrado ADRES Vigencia 2018 con Cuadro de Mando V6..xlsx]Plan de Accion 2018'!#REF!,J39&lt;&gt;"N/A"))</xm:f>
            <x14:dxf>
              <fill>
                <patternFill>
                  <bgColor indexed="10"/>
                </patternFill>
              </fill>
            </x14:dxf>
          </x14:cfRule>
          <xm:sqref>J39</xm:sqref>
        </x14:conditionalFormatting>
        <x14:conditionalFormatting xmlns:xm="http://schemas.microsoft.com/office/excel/2006/main">
          <x14:cfRule type="expression" priority="10950" id="{2CC2A538-F306-4325-8066-51DD9F9F99F0}">
            <xm:f>AND(IF(Q39&gt;'F:\Users\norela.briceno\Documents\Plan de acción\Plan Accion 2018\[Plan Accion Integrado ADRES Vigencia 2018 con Cuadro de Mando V6..xlsx]Plan de Accion 2018'!#REF!,Q39&lt;&gt;¨N/A¨))</xm:f>
            <x14:dxf>
              <fill>
                <patternFill>
                  <bgColor theme="1" tint="0.499984740745262"/>
                </patternFill>
              </fill>
            </x14:dxf>
          </x14:cfRule>
          <x14:cfRule type="expression" priority="10951" stopIfTrue="1" id="{579741F0-9B9A-4124-A43A-04A79264F07A}">
            <xm:f>AND(IF(Q39='F:\Users\norela.briceno\Documents\Plan de acción\Plan Accion 2018\[Plan Accion Integrado ADRES Vigencia 2018 con Cuadro de Mando V6..xlsx]Plan de Accion 2018'!#REF!,Q39&lt;&gt;"N/A"))</xm:f>
            <x14:dxf>
              <fill>
                <patternFill>
                  <bgColor rgb="FF00B050"/>
                </patternFill>
              </fill>
            </x14:dxf>
          </x14:cfRule>
          <x14:cfRule type="expression" priority="10952" stopIfTrue="1" id="{AA69AD75-F833-4AD2-B434-75956ECE1187}">
            <xm:f>AND(IF(Q39&lt;'F:\Users\norela.briceno\Documents\Plan de acción\Plan Accion 2018\[Plan Accion Integrado ADRES Vigencia 2018 con Cuadro de Mando V6..xlsx]Plan de Accion 2018'!#REF!,Q39&lt;&gt;"N/A"))</xm:f>
            <x14:dxf>
              <fill>
                <patternFill>
                  <bgColor indexed="10"/>
                </patternFill>
              </fill>
            </x14:dxf>
          </x14:cfRule>
          <xm:sqref>Q39</xm:sqref>
        </x14:conditionalFormatting>
        <x14:conditionalFormatting xmlns:xm="http://schemas.microsoft.com/office/excel/2006/main">
          <x14:cfRule type="expression" priority="10947" id="{7DAE7C3B-388C-4046-8373-756425979C86}">
            <xm:f>AND(IF(X39&gt;'F:\Users\norela.briceno\Documents\Plan de acción\Plan Accion 2018\[Plan Accion Integrado ADRES Vigencia 2018 con Cuadro de Mando V6..xlsx]Plan de Accion 2018'!#REF!,X39&lt;&gt;¨N/A¨))</xm:f>
            <x14:dxf>
              <fill>
                <patternFill>
                  <bgColor theme="1" tint="0.499984740745262"/>
                </patternFill>
              </fill>
            </x14:dxf>
          </x14:cfRule>
          <x14:cfRule type="expression" priority="10948" stopIfTrue="1" id="{6535CB50-07AD-41FB-852D-C8D8CD1FD623}">
            <xm:f>AND(IF(X39='F:\Users\norela.briceno\Documents\Plan de acción\Plan Accion 2018\[Plan Accion Integrado ADRES Vigencia 2018 con Cuadro de Mando V6..xlsx]Plan de Accion 2018'!#REF!,X39&lt;&gt;"N/A"))</xm:f>
            <x14:dxf>
              <fill>
                <patternFill>
                  <bgColor rgb="FF00B050"/>
                </patternFill>
              </fill>
            </x14:dxf>
          </x14:cfRule>
          <x14:cfRule type="expression" priority="10949" stopIfTrue="1" id="{8C29E584-1D46-4706-AA0D-75C9FC08A018}">
            <xm:f>AND(IF(X39&lt;'F:\Users\norela.briceno\Documents\Plan de acción\Plan Accion 2018\[Plan Accion Integrado ADRES Vigencia 2018 con Cuadro de Mando V6..xlsx]Plan de Accion 2018'!#REF!,X39&lt;&gt;"N/A"))</xm:f>
            <x14:dxf>
              <fill>
                <patternFill>
                  <bgColor indexed="10"/>
                </patternFill>
              </fill>
            </x14:dxf>
          </x14:cfRule>
          <xm:sqref>X39</xm:sqref>
        </x14:conditionalFormatting>
        <x14:conditionalFormatting xmlns:xm="http://schemas.microsoft.com/office/excel/2006/main">
          <x14:cfRule type="expression" priority="10944" id="{0FD65569-E64E-4AC7-9681-CFF04F31C8A5}">
            <xm:f>AND(IF(AE39&gt;'F:\Users\norela.briceno\Documents\Plan de acción\Plan Accion 2018\[Plan Accion Integrado ADRES Vigencia 2018 con Cuadro de Mando V6..xlsx]Plan de Accion 2018'!#REF!,AE39&lt;&gt;¨N/A¨))</xm:f>
            <x14:dxf>
              <fill>
                <patternFill>
                  <bgColor theme="1" tint="0.499984740745262"/>
                </patternFill>
              </fill>
            </x14:dxf>
          </x14:cfRule>
          <x14:cfRule type="expression" priority="10945" stopIfTrue="1" id="{73794AD4-08B5-4671-BBFF-EE398A549A87}">
            <xm:f>AND(IF(AE39='F:\Users\norela.briceno\Documents\Plan de acción\Plan Accion 2018\[Plan Accion Integrado ADRES Vigencia 2018 con Cuadro de Mando V6..xlsx]Plan de Accion 2018'!#REF!,AE39&lt;&gt;"N/A"))</xm:f>
            <x14:dxf>
              <fill>
                <patternFill>
                  <bgColor rgb="FF00B050"/>
                </patternFill>
              </fill>
            </x14:dxf>
          </x14:cfRule>
          <x14:cfRule type="expression" priority="10946" stopIfTrue="1" id="{D5DDCDC7-B3BA-4A43-AF6D-19EEC71C2B5E}">
            <xm:f>AND(IF(AE39&lt;'F:\Users\norela.briceno\Documents\Plan de acción\Plan Accion 2018\[Plan Accion Integrado ADRES Vigencia 2018 con Cuadro de Mando V6..xlsx]Plan de Accion 2018'!#REF!,AE39&lt;&gt;"N/A"))</xm:f>
            <x14:dxf>
              <fill>
                <patternFill>
                  <bgColor indexed="10"/>
                </patternFill>
              </fill>
            </x14:dxf>
          </x14:cfRule>
          <xm:sqref>AE39</xm:sqref>
        </x14:conditionalFormatting>
        <x14:conditionalFormatting xmlns:xm="http://schemas.microsoft.com/office/excel/2006/main">
          <x14:cfRule type="expression" priority="10891" id="{CD3A6A47-ABB8-4AC6-925E-6341CCFFEF23}">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0892" stopIfTrue="1" id="{0E84F491-38F0-48EB-9F04-E56118051729}">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0893" stopIfTrue="1" id="{32B9CF14-8ACB-4660-8585-E588C11733FC}">
            <xm:f>AND(IF(J41&lt;'F:\Users\norela.briceno\Documents\Plan de acción\Plan Accion 2018\[Plan Accion Integrado ADRES Vigencia 2018 con Cuadro de Mando V6..xlsx]Plan de Accion 2018'!#REF!,J41&lt;&gt;"N/A"))</xm:f>
            <x14:dxf>
              <fill>
                <patternFill>
                  <bgColor indexed="10"/>
                </patternFill>
              </fill>
            </x14:dxf>
          </x14:cfRule>
          <xm:sqref>J41 Q41 AE41 X41 J46 Q46 X46 AE46 J48 Q48 X48 AE48 J52 Q52 X52 AE52</xm:sqref>
        </x14:conditionalFormatting>
        <x14:conditionalFormatting xmlns:xm="http://schemas.microsoft.com/office/excel/2006/main">
          <x14:cfRule type="expression" priority="10888" id="{CD5A2906-39C5-48A7-B482-DB1394C10E54}">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0889" stopIfTrue="1" id="{829C1036-2019-4E8F-833A-6AB367816340}">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0890" stopIfTrue="1" id="{A1A91FAA-886F-4D34-A2F7-90822DAF70F0}">
            <xm:f>AND(IF(J41&lt;'F:\Users\norela.briceno\Documents\Plan de acción\Plan Accion 2018\[Plan Accion Integrado ADRES Vigencia 2018 con Cuadro de Mando V6..xlsx]Plan de Accion 2018'!#REF!,J41&lt;&gt;"N/A"))</xm:f>
            <x14:dxf>
              <fill>
                <patternFill>
                  <bgColor indexed="10"/>
                </patternFill>
              </fill>
            </x14:dxf>
          </x14:cfRule>
          <xm:sqref>J41 J46 J48 J52</xm:sqref>
        </x14:conditionalFormatting>
        <x14:conditionalFormatting xmlns:xm="http://schemas.microsoft.com/office/excel/2006/main">
          <x14:cfRule type="expression" priority="10885" id="{B3914C2E-6C48-47FD-A6E2-339A66522AC1}">
            <xm:f>AND(IF(Q41&gt;'F:\Users\norela.briceno\Documents\Plan de acción\Plan Accion 2018\[Plan Accion Integrado ADRES Vigencia 2018 con Cuadro de Mando V6..xlsx]Plan de Accion 2018'!#REF!,Q41&lt;&gt;¨N/A¨))</xm:f>
            <x14:dxf>
              <fill>
                <patternFill>
                  <bgColor theme="1" tint="0.499984740745262"/>
                </patternFill>
              </fill>
            </x14:dxf>
          </x14:cfRule>
          <x14:cfRule type="expression" priority="10886" stopIfTrue="1" id="{E4109FC0-8421-438B-9FB5-C866B0684741}">
            <xm:f>AND(IF(Q41='F:\Users\norela.briceno\Documents\Plan de acción\Plan Accion 2018\[Plan Accion Integrado ADRES Vigencia 2018 con Cuadro de Mando V6..xlsx]Plan de Accion 2018'!#REF!,Q41&lt;&gt;"N/A"))</xm:f>
            <x14:dxf>
              <fill>
                <patternFill>
                  <bgColor rgb="FF00B050"/>
                </patternFill>
              </fill>
            </x14:dxf>
          </x14:cfRule>
          <x14:cfRule type="expression" priority="10887" stopIfTrue="1" id="{33BD8AB4-AE62-459F-898E-56CDD7FCE8E9}">
            <xm:f>AND(IF(Q41&lt;'F:\Users\norela.briceno\Documents\Plan de acción\Plan Accion 2018\[Plan Accion Integrado ADRES Vigencia 2018 con Cuadro de Mando V6..xlsx]Plan de Accion 2018'!#REF!,Q41&lt;&gt;"N/A"))</xm:f>
            <x14:dxf>
              <fill>
                <patternFill>
                  <bgColor indexed="10"/>
                </patternFill>
              </fill>
            </x14:dxf>
          </x14:cfRule>
          <xm:sqref>Q41 Q46 Q48 Q52</xm:sqref>
        </x14:conditionalFormatting>
        <x14:conditionalFormatting xmlns:xm="http://schemas.microsoft.com/office/excel/2006/main">
          <x14:cfRule type="expression" priority="10882" id="{9822719E-A25D-404E-ADF0-B277F020D032}">
            <xm:f>AND(IF(X41&gt;'F:\Users\norela.briceno\Documents\Plan de acción\Plan Accion 2018\[Plan Accion Integrado ADRES Vigencia 2018 con Cuadro de Mando V6..xlsx]Plan de Accion 2018'!#REF!,X41&lt;&gt;¨N/A¨))</xm:f>
            <x14:dxf>
              <fill>
                <patternFill>
                  <bgColor theme="1" tint="0.499984740745262"/>
                </patternFill>
              </fill>
            </x14:dxf>
          </x14:cfRule>
          <x14:cfRule type="expression" priority="10883" stopIfTrue="1" id="{ECA9F347-20BA-4093-9017-D836D4FA305C}">
            <xm:f>AND(IF(X41='F:\Users\norela.briceno\Documents\Plan de acción\Plan Accion 2018\[Plan Accion Integrado ADRES Vigencia 2018 con Cuadro de Mando V6..xlsx]Plan de Accion 2018'!#REF!,X41&lt;&gt;"N/A"))</xm:f>
            <x14:dxf>
              <fill>
                <patternFill>
                  <bgColor rgb="FF00B050"/>
                </patternFill>
              </fill>
            </x14:dxf>
          </x14:cfRule>
          <x14:cfRule type="expression" priority="10884" stopIfTrue="1" id="{2C90F970-7C4A-404B-9C5E-817E21E2DCB9}">
            <xm:f>AND(IF(X41&lt;'F:\Users\norela.briceno\Documents\Plan de acción\Plan Accion 2018\[Plan Accion Integrado ADRES Vigencia 2018 con Cuadro de Mando V6..xlsx]Plan de Accion 2018'!#REF!,X41&lt;&gt;"N/A"))</xm:f>
            <x14:dxf>
              <fill>
                <patternFill>
                  <bgColor indexed="10"/>
                </patternFill>
              </fill>
            </x14:dxf>
          </x14:cfRule>
          <xm:sqref>X41 X46 X48 X52</xm:sqref>
        </x14:conditionalFormatting>
        <x14:conditionalFormatting xmlns:xm="http://schemas.microsoft.com/office/excel/2006/main">
          <x14:cfRule type="expression" priority="10879" id="{983117DF-D5A9-49B6-AB91-63F276AD2298}">
            <xm:f>AND(IF(AE41&gt;'F:\Users\norela.briceno\Documents\Plan de acción\Plan Accion 2018\[Plan Accion Integrado ADRES Vigencia 2018 con Cuadro de Mando V6..xlsx]Plan de Accion 2018'!#REF!,AE41&lt;&gt;¨N/A¨))</xm:f>
            <x14:dxf>
              <fill>
                <patternFill>
                  <bgColor theme="1" tint="0.499984740745262"/>
                </patternFill>
              </fill>
            </x14:dxf>
          </x14:cfRule>
          <x14:cfRule type="expression" priority="10880" stopIfTrue="1" id="{EE4374FD-E8C1-42FE-9F6A-A0183579C92C}">
            <xm:f>AND(IF(AE41='F:\Users\norela.briceno\Documents\Plan de acción\Plan Accion 2018\[Plan Accion Integrado ADRES Vigencia 2018 con Cuadro de Mando V6..xlsx]Plan de Accion 2018'!#REF!,AE41&lt;&gt;"N/A"))</xm:f>
            <x14:dxf>
              <fill>
                <patternFill>
                  <bgColor rgb="FF00B050"/>
                </patternFill>
              </fill>
            </x14:dxf>
          </x14:cfRule>
          <x14:cfRule type="expression" priority="10881" stopIfTrue="1" id="{CE0C1EFE-BB9B-437C-8888-A2D994E15CA0}">
            <xm:f>AND(IF(AE41&lt;'F:\Users\norela.briceno\Documents\Plan de acción\Plan Accion 2018\[Plan Accion Integrado ADRES Vigencia 2018 con Cuadro de Mando V6..xlsx]Plan de Accion 2018'!#REF!,AE41&lt;&gt;"N/A"))</xm:f>
            <x14:dxf>
              <fill>
                <patternFill>
                  <bgColor indexed="10"/>
                </patternFill>
              </fill>
            </x14:dxf>
          </x14:cfRule>
          <xm:sqref>AE41 AE46 AE48 AE52</xm:sqref>
        </x14:conditionalFormatting>
        <x14:conditionalFormatting xmlns:xm="http://schemas.microsoft.com/office/excel/2006/main">
          <x14:cfRule type="expression" priority="10826" id="{0DC2CD72-EB77-414D-A455-EA57CD891D99}">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0827" stopIfTrue="1" id="{10AF2373-CC5F-4B02-AF78-ABBB38537DE3}">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0828" stopIfTrue="1" id="{357C4298-8611-49B6-ADD9-D576619E0185}">
            <xm:f>AND(IF(J40&lt;'F:\Users\norela.briceno\Documents\Plan de acción\Plan Accion 2018\[Plan Accion Integrado ADRES Vigencia 2018 con Cuadro de Mando V6..xlsx]Plan de Accion 2018'!#REF!,J40&lt;&gt;"N/A"))</xm:f>
            <x14:dxf>
              <fill>
                <patternFill>
                  <bgColor indexed="10"/>
                </patternFill>
              </fill>
            </x14:dxf>
          </x14:cfRule>
          <xm:sqref>J40 Q40 AE40 X40</xm:sqref>
        </x14:conditionalFormatting>
        <x14:conditionalFormatting xmlns:xm="http://schemas.microsoft.com/office/excel/2006/main">
          <x14:cfRule type="expression" priority="10823" id="{6FAEF737-A578-440B-B688-D95D2181042C}">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0824" stopIfTrue="1" id="{85BECCC9-2307-471A-9004-B19B03D61CFA}">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0825" stopIfTrue="1" id="{02B93B50-1043-45E4-9248-B3261EB228BB}">
            <xm:f>AND(IF(J40&lt;'F:\Users\norela.briceno\Documents\Plan de acción\Plan Accion 2018\[Plan Accion Integrado ADRES Vigencia 2018 con Cuadro de Mando V6..xlsx]Plan de Accion 2018'!#REF!,J40&lt;&gt;"N/A"))</xm:f>
            <x14:dxf>
              <fill>
                <patternFill>
                  <bgColor indexed="10"/>
                </patternFill>
              </fill>
            </x14:dxf>
          </x14:cfRule>
          <xm:sqref>J40</xm:sqref>
        </x14:conditionalFormatting>
        <x14:conditionalFormatting xmlns:xm="http://schemas.microsoft.com/office/excel/2006/main">
          <x14:cfRule type="expression" priority="10820" id="{E3885FA0-90DA-46A1-9B19-6D5AEFD56BC3}">
            <xm:f>AND(IF(Q40&gt;'F:\Users\norela.briceno\Documents\Plan de acción\Plan Accion 2018\[Plan Accion Integrado ADRES Vigencia 2018 con Cuadro de Mando V6..xlsx]Plan de Accion 2018'!#REF!,Q40&lt;&gt;¨N/A¨))</xm:f>
            <x14:dxf>
              <fill>
                <patternFill>
                  <bgColor theme="1" tint="0.499984740745262"/>
                </patternFill>
              </fill>
            </x14:dxf>
          </x14:cfRule>
          <x14:cfRule type="expression" priority="10821" stopIfTrue="1" id="{09969D9F-E5D3-41BD-8B5F-B49EEC3340E9}">
            <xm:f>AND(IF(Q40='F:\Users\norela.briceno\Documents\Plan de acción\Plan Accion 2018\[Plan Accion Integrado ADRES Vigencia 2018 con Cuadro de Mando V6..xlsx]Plan de Accion 2018'!#REF!,Q40&lt;&gt;"N/A"))</xm:f>
            <x14:dxf>
              <fill>
                <patternFill>
                  <bgColor rgb="FF00B050"/>
                </patternFill>
              </fill>
            </x14:dxf>
          </x14:cfRule>
          <x14:cfRule type="expression" priority="10822" stopIfTrue="1" id="{84C45A23-FE03-457D-8C16-AFCD44DA38D3}">
            <xm:f>AND(IF(Q40&lt;'F:\Users\norela.briceno\Documents\Plan de acción\Plan Accion 2018\[Plan Accion Integrado ADRES Vigencia 2018 con Cuadro de Mando V6..xlsx]Plan de Accion 2018'!#REF!,Q40&lt;&gt;"N/A"))</xm:f>
            <x14:dxf>
              <fill>
                <patternFill>
                  <bgColor indexed="10"/>
                </patternFill>
              </fill>
            </x14:dxf>
          </x14:cfRule>
          <xm:sqref>Q40</xm:sqref>
        </x14:conditionalFormatting>
        <x14:conditionalFormatting xmlns:xm="http://schemas.microsoft.com/office/excel/2006/main">
          <x14:cfRule type="expression" priority="10817" id="{7C2AC617-61CC-473F-8128-97520C63F856}">
            <xm:f>AND(IF(X40&gt;'F:\Users\norela.briceno\Documents\Plan de acción\Plan Accion 2018\[Plan Accion Integrado ADRES Vigencia 2018 con Cuadro de Mando V6..xlsx]Plan de Accion 2018'!#REF!,X40&lt;&gt;¨N/A¨))</xm:f>
            <x14:dxf>
              <fill>
                <patternFill>
                  <bgColor theme="1" tint="0.499984740745262"/>
                </patternFill>
              </fill>
            </x14:dxf>
          </x14:cfRule>
          <x14:cfRule type="expression" priority="10818" stopIfTrue="1" id="{58A4AEFA-9011-408B-826E-8F545023FAAE}">
            <xm:f>AND(IF(X40='F:\Users\norela.briceno\Documents\Plan de acción\Plan Accion 2018\[Plan Accion Integrado ADRES Vigencia 2018 con Cuadro de Mando V6..xlsx]Plan de Accion 2018'!#REF!,X40&lt;&gt;"N/A"))</xm:f>
            <x14:dxf>
              <fill>
                <patternFill>
                  <bgColor rgb="FF00B050"/>
                </patternFill>
              </fill>
            </x14:dxf>
          </x14:cfRule>
          <x14:cfRule type="expression" priority="10819" stopIfTrue="1" id="{4141D14D-CC83-43C3-81D8-1851608665FD}">
            <xm:f>AND(IF(X40&lt;'F:\Users\norela.briceno\Documents\Plan de acción\Plan Accion 2018\[Plan Accion Integrado ADRES Vigencia 2018 con Cuadro de Mando V6..xlsx]Plan de Accion 2018'!#REF!,X40&lt;&gt;"N/A"))</xm:f>
            <x14:dxf>
              <fill>
                <patternFill>
                  <bgColor indexed="10"/>
                </patternFill>
              </fill>
            </x14:dxf>
          </x14:cfRule>
          <xm:sqref>X40</xm:sqref>
        </x14:conditionalFormatting>
        <x14:conditionalFormatting xmlns:xm="http://schemas.microsoft.com/office/excel/2006/main">
          <x14:cfRule type="expression" priority="10814" id="{2B819D09-4389-40C3-B990-03035C98CDA1}">
            <xm:f>AND(IF(AE40&gt;'F:\Users\norela.briceno\Documents\Plan de acción\Plan Accion 2018\[Plan Accion Integrado ADRES Vigencia 2018 con Cuadro de Mando V6..xlsx]Plan de Accion 2018'!#REF!,AE40&lt;&gt;¨N/A¨))</xm:f>
            <x14:dxf>
              <fill>
                <patternFill>
                  <bgColor theme="1" tint="0.499984740745262"/>
                </patternFill>
              </fill>
            </x14:dxf>
          </x14:cfRule>
          <x14:cfRule type="expression" priority="10815" stopIfTrue="1" id="{C12A55F3-2DAF-4C59-8C1A-FA2A091F8E9C}">
            <xm:f>AND(IF(AE40='F:\Users\norela.briceno\Documents\Plan de acción\Plan Accion 2018\[Plan Accion Integrado ADRES Vigencia 2018 con Cuadro de Mando V6..xlsx]Plan de Accion 2018'!#REF!,AE40&lt;&gt;"N/A"))</xm:f>
            <x14:dxf>
              <fill>
                <patternFill>
                  <bgColor rgb="FF00B050"/>
                </patternFill>
              </fill>
            </x14:dxf>
          </x14:cfRule>
          <x14:cfRule type="expression" priority="10816" stopIfTrue="1" id="{72C33960-58E4-4118-9482-E342DA2B0545}">
            <xm:f>AND(IF(AE40&lt;'F:\Users\norela.briceno\Documents\Plan de acción\Plan Accion 2018\[Plan Accion Integrado ADRES Vigencia 2018 con Cuadro de Mando V6..xlsx]Plan de Accion 2018'!#REF!,AE40&lt;&gt;"N/A"))</xm:f>
            <x14:dxf>
              <fill>
                <patternFill>
                  <bgColor indexed="10"/>
                </patternFill>
              </fill>
            </x14:dxf>
          </x14:cfRule>
          <xm:sqref>AE40</xm:sqref>
        </x14:conditionalFormatting>
        <x14:conditionalFormatting xmlns:xm="http://schemas.microsoft.com/office/excel/2006/main">
          <x14:cfRule type="expression" priority="10761" id="{F912145C-40F5-44C5-86B3-D54497FEE1FD}">
            <xm:f>AND(IF(J54&gt;'F:\Users\norela.briceno\Documents\Plan de acción\Plan Accion 2018\[Plan Accion Integrado ADRES Vigencia 2018 con Cuadro de Mando V6..xlsx]Plan de Accion 2018'!#REF!,J54&lt;&gt;¨N/A¨))</xm:f>
            <x14:dxf>
              <fill>
                <patternFill>
                  <bgColor theme="1" tint="0.499984740745262"/>
                </patternFill>
              </fill>
            </x14:dxf>
          </x14:cfRule>
          <x14:cfRule type="expression" priority="10762" stopIfTrue="1" id="{AAE75C81-0DED-49B0-8290-56C58D38E38B}">
            <xm:f>AND(IF(J54='F:\Users\norela.briceno\Documents\Plan de acción\Plan Accion 2018\[Plan Accion Integrado ADRES Vigencia 2018 con Cuadro de Mando V6..xlsx]Plan de Accion 2018'!#REF!,J54&lt;&gt;"N/A"))</xm:f>
            <x14:dxf>
              <fill>
                <patternFill>
                  <bgColor rgb="FF00B050"/>
                </patternFill>
              </fill>
            </x14:dxf>
          </x14:cfRule>
          <x14:cfRule type="expression" priority="10763" stopIfTrue="1" id="{B01AF5D2-4262-4204-8F8E-617B14E6AC7C}">
            <xm:f>AND(IF(J54&lt;'F:\Users\norela.briceno\Documents\Plan de acción\Plan Accion 2018\[Plan Accion Integrado ADRES Vigencia 2018 con Cuadro de Mando V6..xlsx]Plan de Accion 2018'!#REF!,J54&lt;&gt;"N/A"))</xm:f>
            <x14:dxf>
              <fill>
                <patternFill>
                  <bgColor indexed="10"/>
                </patternFill>
              </fill>
            </x14:dxf>
          </x14:cfRule>
          <xm:sqref>J54:J55 Q54:Q55 AE54:AE55 X54:X55 J57 Q57 X57 AE57</xm:sqref>
        </x14:conditionalFormatting>
        <x14:conditionalFormatting xmlns:xm="http://schemas.microsoft.com/office/excel/2006/main">
          <x14:cfRule type="expression" priority="10758" id="{C8CE10D7-BB85-4E22-9797-FEA40DDB3694}">
            <xm:f>AND(IF(J54&gt;'F:\Users\norela.briceno\Documents\Plan de acción\Plan Accion 2018\[Plan Accion Integrado ADRES Vigencia 2018 con Cuadro de Mando V6..xlsx]Plan de Accion 2018'!#REF!,J54&lt;&gt;¨N/A¨))</xm:f>
            <x14:dxf>
              <fill>
                <patternFill>
                  <bgColor theme="1" tint="0.499984740745262"/>
                </patternFill>
              </fill>
            </x14:dxf>
          </x14:cfRule>
          <x14:cfRule type="expression" priority="10759" stopIfTrue="1" id="{4D0A659C-F7A9-494A-86C7-5B862809579D}">
            <xm:f>AND(IF(J54='F:\Users\norela.briceno\Documents\Plan de acción\Plan Accion 2018\[Plan Accion Integrado ADRES Vigencia 2018 con Cuadro de Mando V6..xlsx]Plan de Accion 2018'!#REF!,J54&lt;&gt;"N/A"))</xm:f>
            <x14:dxf>
              <fill>
                <patternFill>
                  <bgColor rgb="FF00B050"/>
                </patternFill>
              </fill>
            </x14:dxf>
          </x14:cfRule>
          <x14:cfRule type="expression" priority="10760" stopIfTrue="1" id="{CB48F9A7-0FD1-4AA9-9517-8C0833F27595}">
            <xm:f>AND(IF(J54&lt;'F:\Users\norela.briceno\Documents\Plan de acción\Plan Accion 2018\[Plan Accion Integrado ADRES Vigencia 2018 con Cuadro de Mando V6..xlsx]Plan de Accion 2018'!#REF!,J54&lt;&gt;"N/A"))</xm:f>
            <x14:dxf>
              <fill>
                <patternFill>
                  <bgColor indexed="10"/>
                </patternFill>
              </fill>
            </x14:dxf>
          </x14:cfRule>
          <xm:sqref>J54:J55 J57</xm:sqref>
        </x14:conditionalFormatting>
        <x14:conditionalFormatting xmlns:xm="http://schemas.microsoft.com/office/excel/2006/main">
          <x14:cfRule type="expression" priority="10755" id="{2AEBFB92-8CF5-4508-804E-990696FDC32E}">
            <xm:f>AND(IF(Q54&gt;'F:\Users\norela.briceno\Documents\Plan de acción\Plan Accion 2018\[Plan Accion Integrado ADRES Vigencia 2018 con Cuadro de Mando V6..xlsx]Plan de Accion 2018'!#REF!,Q54&lt;&gt;¨N/A¨))</xm:f>
            <x14:dxf>
              <fill>
                <patternFill>
                  <bgColor theme="1" tint="0.499984740745262"/>
                </patternFill>
              </fill>
            </x14:dxf>
          </x14:cfRule>
          <x14:cfRule type="expression" priority="10756" stopIfTrue="1" id="{FAE9FED6-2CE3-4952-ABCF-9318724C8045}">
            <xm:f>AND(IF(Q54='F:\Users\norela.briceno\Documents\Plan de acción\Plan Accion 2018\[Plan Accion Integrado ADRES Vigencia 2018 con Cuadro de Mando V6..xlsx]Plan de Accion 2018'!#REF!,Q54&lt;&gt;"N/A"))</xm:f>
            <x14:dxf>
              <fill>
                <patternFill>
                  <bgColor rgb="FF00B050"/>
                </patternFill>
              </fill>
            </x14:dxf>
          </x14:cfRule>
          <x14:cfRule type="expression" priority="10757" stopIfTrue="1" id="{FA3AC104-0167-4355-8A6D-4D3C5B55D4B8}">
            <xm:f>AND(IF(Q54&lt;'F:\Users\norela.briceno\Documents\Plan de acción\Plan Accion 2018\[Plan Accion Integrado ADRES Vigencia 2018 con Cuadro de Mando V6..xlsx]Plan de Accion 2018'!#REF!,Q54&lt;&gt;"N/A"))</xm:f>
            <x14:dxf>
              <fill>
                <patternFill>
                  <bgColor indexed="10"/>
                </patternFill>
              </fill>
            </x14:dxf>
          </x14:cfRule>
          <xm:sqref>Q54:Q55 Q57</xm:sqref>
        </x14:conditionalFormatting>
        <x14:conditionalFormatting xmlns:xm="http://schemas.microsoft.com/office/excel/2006/main">
          <x14:cfRule type="expression" priority="10752" id="{E4F2DE0E-301E-4293-A52F-0F71DF0398BD}">
            <xm:f>AND(IF(X54&gt;'F:\Users\norela.briceno\Documents\Plan de acción\Plan Accion 2018\[Plan Accion Integrado ADRES Vigencia 2018 con Cuadro de Mando V6..xlsx]Plan de Accion 2018'!#REF!,X54&lt;&gt;¨N/A¨))</xm:f>
            <x14:dxf>
              <fill>
                <patternFill>
                  <bgColor theme="1" tint="0.499984740745262"/>
                </patternFill>
              </fill>
            </x14:dxf>
          </x14:cfRule>
          <x14:cfRule type="expression" priority="10753" stopIfTrue="1" id="{6DFFFA9F-823C-4117-9B99-9EBE98326E4F}">
            <xm:f>AND(IF(X54='F:\Users\norela.briceno\Documents\Plan de acción\Plan Accion 2018\[Plan Accion Integrado ADRES Vigencia 2018 con Cuadro de Mando V6..xlsx]Plan de Accion 2018'!#REF!,X54&lt;&gt;"N/A"))</xm:f>
            <x14:dxf>
              <fill>
                <patternFill>
                  <bgColor rgb="FF00B050"/>
                </patternFill>
              </fill>
            </x14:dxf>
          </x14:cfRule>
          <x14:cfRule type="expression" priority="10754" stopIfTrue="1" id="{298C3704-9483-4C8C-8827-F91C7352827C}">
            <xm:f>AND(IF(X54&lt;'F:\Users\norela.briceno\Documents\Plan de acción\Plan Accion 2018\[Plan Accion Integrado ADRES Vigencia 2018 con Cuadro de Mando V6..xlsx]Plan de Accion 2018'!#REF!,X54&lt;&gt;"N/A"))</xm:f>
            <x14:dxf>
              <fill>
                <patternFill>
                  <bgColor indexed="10"/>
                </patternFill>
              </fill>
            </x14:dxf>
          </x14:cfRule>
          <xm:sqref>X54:X55 X57</xm:sqref>
        </x14:conditionalFormatting>
        <x14:conditionalFormatting xmlns:xm="http://schemas.microsoft.com/office/excel/2006/main">
          <x14:cfRule type="expression" priority="10749" id="{27C4B1C2-5212-4F56-A93F-63776A3226F3}">
            <xm:f>AND(IF(AE54&gt;'F:\Users\norela.briceno\Documents\Plan de acción\Plan Accion 2018\[Plan Accion Integrado ADRES Vigencia 2018 con Cuadro de Mando V6..xlsx]Plan de Accion 2018'!#REF!,AE54&lt;&gt;¨N/A¨))</xm:f>
            <x14:dxf>
              <fill>
                <patternFill>
                  <bgColor theme="1" tint="0.499984740745262"/>
                </patternFill>
              </fill>
            </x14:dxf>
          </x14:cfRule>
          <x14:cfRule type="expression" priority="10750" stopIfTrue="1" id="{47242C76-4D32-482F-A53F-F5734F566E0E}">
            <xm:f>AND(IF(AE54='F:\Users\norela.briceno\Documents\Plan de acción\Plan Accion 2018\[Plan Accion Integrado ADRES Vigencia 2018 con Cuadro de Mando V6..xlsx]Plan de Accion 2018'!#REF!,AE54&lt;&gt;"N/A"))</xm:f>
            <x14:dxf>
              <fill>
                <patternFill>
                  <bgColor rgb="FF00B050"/>
                </patternFill>
              </fill>
            </x14:dxf>
          </x14:cfRule>
          <x14:cfRule type="expression" priority="10751" stopIfTrue="1" id="{580B687B-0BF3-4270-B166-D3B6C0D3D483}">
            <xm:f>AND(IF(AE54&lt;'F:\Users\norela.briceno\Documents\Plan de acción\Plan Accion 2018\[Plan Accion Integrado ADRES Vigencia 2018 con Cuadro de Mando V6..xlsx]Plan de Accion 2018'!#REF!,AE54&lt;&gt;"N/A"))</xm:f>
            <x14:dxf>
              <fill>
                <patternFill>
                  <bgColor indexed="10"/>
                </patternFill>
              </fill>
            </x14:dxf>
          </x14:cfRule>
          <xm:sqref>AE54:AE55 AE57</xm:sqref>
        </x14:conditionalFormatting>
        <x14:conditionalFormatting xmlns:xm="http://schemas.microsoft.com/office/excel/2006/main">
          <x14:cfRule type="expression" priority="10411" id="{84D42019-0F45-4A27-9D69-610E6BC18D10}">
            <xm:f>AND(IF(J226&gt;'F:\Users\norela.briceno\Documents\Plan de acción\Plan Accion 2018\[Plan Accion Integrado ADRES Vigencia 2018 con Cuadro de Mando V6..xlsx]Plan de Accion 2018'!#REF!,J226&lt;&gt;¨N/A¨))</xm:f>
            <x14:dxf>
              <fill>
                <patternFill>
                  <bgColor theme="1" tint="0.499984740745262"/>
                </patternFill>
              </fill>
            </x14:dxf>
          </x14:cfRule>
          <x14:cfRule type="expression" priority="10412" stopIfTrue="1" id="{35CDD236-6341-44FD-9971-B7ADF6D973E7}">
            <xm:f>AND(IF(J226='F:\Users\norela.briceno\Documents\Plan de acción\Plan Accion 2018\[Plan Accion Integrado ADRES Vigencia 2018 con Cuadro de Mando V6..xlsx]Plan de Accion 2018'!#REF!,J226&lt;&gt;"N/A"))</xm:f>
            <x14:dxf>
              <fill>
                <patternFill>
                  <bgColor rgb="FF00B050"/>
                </patternFill>
              </fill>
            </x14:dxf>
          </x14:cfRule>
          <x14:cfRule type="expression" priority="10413" stopIfTrue="1" id="{6231B713-CC2E-4B3C-A101-D996861CA843}">
            <xm:f>AND(IF(J226&lt;'F:\Users\norela.briceno\Documents\Plan de acción\Plan Accion 2018\[Plan Accion Integrado ADRES Vigencia 2018 con Cuadro de Mando V6..xlsx]Plan de Accion 2018'!#REF!,J226&lt;&gt;"N/A"))</xm:f>
            <x14:dxf>
              <fill>
                <patternFill>
                  <bgColor indexed="10"/>
                </patternFill>
              </fill>
            </x14:dxf>
          </x14:cfRule>
          <xm:sqref>J226 Q226 X226 AE226</xm:sqref>
        </x14:conditionalFormatting>
        <x14:conditionalFormatting xmlns:xm="http://schemas.microsoft.com/office/excel/2006/main">
          <x14:cfRule type="expression" priority="10353" id="{64ED3E82-69EB-4FE2-A88C-5B3AA6947D88}">
            <xm:f>AND(IF(J227&gt;'F:\Users\norela.briceno\Documents\Plan de acción\Plan Accion 2018\[Plan Accion Integrado ADRES Vigencia 2018 con Cuadro de Mando V6..xlsx]Plan de Accion 2018'!#REF!,J227&lt;&gt;¨N/A¨))</xm:f>
            <x14:dxf>
              <fill>
                <patternFill>
                  <bgColor theme="1" tint="0.499984740745262"/>
                </patternFill>
              </fill>
            </x14:dxf>
          </x14:cfRule>
          <x14:cfRule type="expression" priority="10354" stopIfTrue="1" id="{72BD0372-F372-41EC-9885-D5BDD717896A}">
            <xm:f>AND(IF(J227='F:\Users\norela.briceno\Documents\Plan de acción\Plan Accion 2018\[Plan Accion Integrado ADRES Vigencia 2018 con Cuadro de Mando V6..xlsx]Plan de Accion 2018'!#REF!,J227&lt;&gt;"N/A"))</xm:f>
            <x14:dxf>
              <fill>
                <patternFill>
                  <bgColor rgb="FF00B050"/>
                </patternFill>
              </fill>
            </x14:dxf>
          </x14:cfRule>
          <x14:cfRule type="expression" priority="10355" stopIfTrue="1" id="{1B204EF3-61D0-4CDC-8ABD-B900A9E17DDE}">
            <xm:f>AND(IF(J227&lt;'F:\Users\norela.briceno\Documents\Plan de acción\Plan Accion 2018\[Plan Accion Integrado ADRES Vigencia 2018 con Cuadro de Mando V6..xlsx]Plan de Accion 2018'!#REF!,J227&lt;&gt;"N/A"))</xm:f>
            <x14:dxf>
              <fill>
                <patternFill>
                  <bgColor indexed="10"/>
                </patternFill>
              </fill>
            </x14:dxf>
          </x14:cfRule>
          <xm:sqref>J227 Q227 X227 AE227</xm:sqref>
        </x14:conditionalFormatting>
        <x14:conditionalFormatting xmlns:xm="http://schemas.microsoft.com/office/excel/2006/main">
          <x14:cfRule type="expression" priority="10005" id="{CA2B5940-510B-4440-915F-9B413FF0688D}">
            <xm:f>AND(IF(J238&gt;'F:\Users\norela.briceno\Documents\Plan de acción\Plan Accion 2018\[Plan Accion Integrado ADRES Vigencia 2018 con Cuadro de Mando V6..xlsx]Plan de Accion 2018'!#REF!,J238&lt;&gt;¨N/A¨))</xm:f>
            <x14:dxf>
              <fill>
                <patternFill>
                  <bgColor theme="1" tint="0.499984740745262"/>
                </patternFill>
              </fill>
            </x14:dxf>
          </x14:cfRule>
          <x14:cfRule type="expression" priority="10006" stopIfTrue="1" id="{F54094FC-C09C-44CC-97E5-6629B5AD2B8E}">
            <xm:f>AND(IF(J238='F:\Users\norela.briceno\Documents\Plan de acción\Plan Accion 2018\[Plan Accion Integrado ADRES Vigencia 2018 con Cuadro de Mando V6..xlsx]Plan de Accion 2018'!#REF!,J238&lt;&gt;"N/A"))</xm:f>
            <x14:dxf>
              <fill>
                <patternFill>
                  <bgColor rgb="FF00B050"/>
                </patternFill>
              </fill>
            </x14:dxf>
          </x14:cfRule>
          <x14:cfRule type="expression" priority="10007" stopIfTrue="1" id="{DF32A529-F652-4DD2-801F-E65D7667DADC}">
            <xm:f>AND(IF(J238&lt;'F:\Users\norela.briceno\Documents\Plan de acción\Plan Accion 2018\[Plan Accion Integrado ADRES Vigencia 2018 con Cuadro de Mando V6..xlsx]Plan de Accion 2018'!#REF!,J238&lt;&gt;"N/A"))</xm:f>
            <x14:dxf>
              <fill>
                <patternFill>
                  <bgColor indexed="10"/>
                </patternFill>
              </fill>
            </x14:dxf>
          </x14:cfRule>
          <xm:sqref>J238 Q238 X238 AE238</xm:sqref>
        </x14:conditionalFormatting>
        <x14:conditionalFormatting xmlns:xm="http://schemas.microsoft.com/office/excel/2006/main">
          <x14:cfRule type="expression" priority="9967" id="{56C0F5E0-D1E3-42A4-9E9A-30636DA5545D}">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9968" stopIfTrue="1" id="{D6EFE195-4FFD-4177-8AD9-2650950B3102}">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9969" stopIfTrue="1" id="{015840C4-44BC-480D-BB70-85D4C31A041D}">
            <xm:f>AND(IF(J64&lt;'F:\Users\norela.briceno\Documents\Plan de acción\Plan Accion 2018\[Plan Accion Integrado ADRES Vigencia 2018 con Cuadro de Mando V6..xlsx]Plan de Accion 2018'!#REF!,J64&lt;&gt;"N/A"))</xm:f>
            <x14:dxf>
              <fill>
                <patternFill>
                  <bgColor indexed="10"/>
                </patternFill>
              </fill>
            </x14:dxf>
          </x14:cfRule>
          <xm:sqref>J64 Q64 AE64 X64</xm:sqref>
        </x14:conditionalFormatting>
        <x14:conditionalFormatting xmlns:xm="http://schemas.microsoft.com/office/excel/2006/main">
          <x14:cfRule type="expression" priority="9964" id="{386EE220-C729-4D69-B2BA-77FB85067610}">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9965" stopIfTrue="1" id="{9E4BAF48-B226-4060-A2B2-D4D01B2D47B1}">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9966" stopIfTrue="1" id="{A18D8C3E-4E4C-4A9F-9886-ACC77CF26B37}">
            <xm:f>AND(IF(J64&lt;'F:\Users\norela.briceno\Documents\Plan de acción\Plan Accion 2018\[Plan Accion Integrado ADRES Vigencia 2018 con Cuadro de Mando V6..xlsx]Plan de Accion 2018'!#REF!,J64&lt;&gt;"N/A"))</xm:f>
            <x14:dxf>
              <fill>
                <patternFill>
                  <bgColor indexed="10"/>
                </patternFill>
              </fill>
            </x14:dxf>
          </x14:cfRule>
          <xm:sqref>J64</xm:sqref>
        </x14:conditionalFormatting>
        <x14:conditionalFormatting xmlns:xm="http://schemas.microsoft.com/office/excel/2006/main">
          <x14:cfRule type="expression" priority="9961" id="{B19EF24B-94D7-41E4-A2EE-44ACC1972D4B}">
            <xm:f>AND(IF(Q64&gt;'F:\Users\norela.briceno\Documents\Plan de acción\Plan Accion 2018\[Plan Accion Integrado ADRES Vigencia 2018 con Cuadro de Mando V6..xlsx]Plan de Accion 2018'!#REF!,Q64&lt;&gt;¨N/A¨))</xm:f>
            <x14:dxf>
              <fill>
                <patternFill>
                  <bgColor theme="1" tint="0.499984740745262"/>
                </patternFill>
              </fill>
            </x14:dxf>
          </x14:cfRule>
          <x14:cfRule type="expression" priority="9962" stopIfTrue="1" id="{7D42F99B-D33D-4904-9943-D552AC1C4C7B}">
            <xm:f>AND(IF(Q64='F:\Users\norela.briceno\Documents\Plan de acción\Plan Accion 2018\[Plan Accion Integrado ADRES Vigencia 2018 con Cuadro de Mando V6..xlsx]Plan de Accion 2018'!#REF!,Q64&lt;&gt;"N/A"))</xm:f>
            <x14:dxf>
              <fill>
                <patternFill>
                  <bgColor rgb="FF00B050"/>
                </patternFill>
              </fill>
            </x14:dxf>
          </x14:cfRule>
          <x14:cfRule type="expression" priority="9963" stopIfTrue="1" id="{4E1A9FFA-F5E8-4CAB-A1C2-466BDCF2913C}">
            <xm:f>AND(IF(Q64&lt;'F:\Users\norela.briceno\Documents\Plan de acción\Plan Accion 2018\[Plan Accion Integrado ADRES Vigencia 2018 con Cuadro de Mando V6..xlsx]Plan de Accion 2018'!#REF!,Q64&lt;&gt;"N/A"))</xm:f>
            <x14:dxf>
              <fill>
                <patternFill>
                  <bgColor indexed="10"/>
                </patternFill>
              </fill>
            </x14:dxf>
          </x14:cfRule>
          <xm:sqref>Q64</xm:sqref>
        </x14:conditionalFormatting>
        <x14:conditionalFormatting xmlns:xm="http://schemas.microsoft.com/office/excel/2006/main">
          <x14:cfRule type="expression" priority="9958" id="{5947F36A-9A32-4C1D-A88B-E49B1B8B82DC}">
            <xm:f>AND(IF(X64&gt;'F:\Users\norela.briceno\Documents\Plan de acción\Plan Accion 2018\[Plan Accion Integrado ADRES Vigencia 2018 con Cuadro de Mando V6..xlsx]Plan de Accion 2018'!#REF!,X64&lt;&gt;¨N/A¨))</xm:f>
            <x14:dxf>
              <fill>
                <patternFill>
                  <bgColor theme="1" tint="0.499984740745262"/>
                </patternFill>
              </fill>
            </x14:dxf>
          </x14:cfRule>
          <x14:cfRule type="expression" priority="9959" stopIfTrue="1" id="{691B70C9-B7D4-4346-8DC2-1CAD03113665}">
            <xm:f>AND(IF(X64='F:\Users\norela.briceno\Documents\Plan de acción\Plan Accion 2018\[Plan Accion Integrado ADRES Vigencia 2018 con Cuadro de Mando V6..xlsx]Plan de Accion 2018'!#REF!,X64&lt;&gt;"N/A"))</xm:f>
            <x14:dxf>
              <fill>
                <patternFill>
                  <bgColor rgb="FF00B050"/>
                </patternFill>
              </fill>
            </x14:dxf>
          </x14:cfRule>
          <x14:cfRule type="expression" priority="9960" stopIfTrue="1" id="{ACB5EE29-E181-465B-BDA0-686DC8563147}">
            <xm:f>AND(IF(X64&lt;'F:\Users\norela.briceno\Documents\Plan de acción\Plan Accion 2018\[Plan Accion Integrado ADRES Vigencia 2018 con Cuadro de Mando V6..xlsx]Plan de Accion 2018'!#REF!,X64&lt;&gt;"N/A"))</xm:f>
            <x14:dxf>
              <fill>
                <patternFill>
                  <bgColor indexed="10"/>
                </patternFill>
              </fill>
            </x14:dxf>
          </x14:cfRule>
          <xm:sqref>X64</xm:sqref>
        </x14:conditionalFormatting>
        <x14:conditionalFormatting xmlns:xm="http://schemas.microsoft.com/office/excel/2006/main">
          <x14:cfRule type="expression" priority="9955" id="{2541FD96-C574-476E-AA6B-A5B2A9E5EF6D}">
            <xm:f>AND(IF(AE64&gt;'F:\Users\norela.briceno\Documents\Plan de acción\Plan Accion 2018\[Plan Accion Integrado ADRES Vigencia 2018 con Cuadro de Mando V6..xlsx]Plan de Accion 2018'!#REF!,AE64&lt;&gt;¨N/A¨))</xm:f>
            <x14:dxf>
              <fill>
                <patternFill>
                  <bgColor theme="1" tint="0.499984740745262"/>
                </patternFill>
              </fill>
            </x14:dxf>
          </x14:cfRule>
          <x14:cfRule type="expression" priority="9956" stopIfTrue="1" id="{6D3A43E1-D57D-49A1-9660-F41C57A2C899}">
            <xm:f>AND(IF(AE64='F:\Users\norela.briceno\Documents\Plan de acción\Plan Accion 2018\[Plan Accion Integrado ADRES Vigencia 2018 con Cuadro de Mando V6..xlsx]Plan de Accion 2018'!#REF!,AE64&lt;&gt;"N/A"))</xm:f>
            <x14:dxf>
              <fill>
                <patternFill>
                  <bgColor rgb="FF00B050"/>
                </patternFill>
              </fill>
            </x14:dxf>
          </x14:cfRule>
          <x14:cfRule type="expression" priority="9957" stopIfTrue="1" id="{4D70B40A-54FB-4278-802A-F4B26C1D1DBF}">
            <xm:f>AND(IF(AE64&lt;'F:\Users\norela.briceno\Documents\Plan de acción\Plan Accion 2018\[Plan Accion Integrado ADRES Vigencia 2018 con Cuadro de Mando V6..xlsx]Plan de Accion 2018'!#REF!,AE64&lt;&gt;"N/A"))</xm:f>
            <x14:dxf>
              <fill>
                <patternFill>
                  <bgColor indexed="10"/>
                </patternFill>
              </fill>
            </x14:dxf>
          </x14:cfRule>
          <xm:sqref>AE64</xm:sqref>
        </x14:conditionalFormatting>
        <x14:conditionalFormatting xmlns:xm="http://schemas.microsoft.com/office/excel/2006/main">
          <x14:cfRule type="expression" priority="9854" id="{240D181E-B548-4DA5-9F36-9CF07150F9E5}">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9855" stopIfTrue="1" id="{AA3F16C3-5B3B-4704-BD3E-422F66E89EB9}">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9856" stopIfTrue="1" id="{3A080ABC-5441-41BF-A0AE-627B24E59653}">
            <xm:f>AND(IF(J65&lt;'F:\Users\norela.briceno\Documents\Plan de acción\Plan Accion 2018\[Plan Accion Integrado ADRES Vigencia 2018 con Cuadro de Mando V6..xlsx]Plan de Accion 2018'!#REF!,J65&lt;&gt;"N/A"))</xm:f>
            <x14:dxf>
              <fill>
                <patternFill>
                  <bgColor indexed="10"/>
                </patternFill>
              </fill>
            </x14:dxf>
          </x14:cfRule>
          <xm:sqref>J65 Q65 AE65 X65</xm:sqref>
        </x14:conditionalFormatting>
        <x14:conditionalFormatting xmlns:xm="http://schemas.microsoft.com/office/excel/2006/main">
          <x14:cfRule type="expression" priority="9851" id="{277C247B-1E05-4EC2-A1B7-4FFADE5A761C}">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9852" stopIfTrue="1" id="{7C352CC0-A63B-4C17-ACBD-3D61A19565AF}">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9853" stopIfTrue="1" id="{80E8C43B-1095-40EB-BEAD-7862DB9E7C4E}">
            <xm:f>AND(IF(J65&lt;'F:\Users\norela.briceno\Documents\Plan de acción\Plan Accion 2018\[Plan Accion Integrado ADRES Vigencia 2018 con Cuadro de Mando V6..xlsx]Plan de Accion 2018'!#REF!,J65&lt;&gt;"N/A"))</xm:f>
            <x14:dxf>
              <fill>
                <patternFill>
                  <bgColor indexed="10"/>
                </patternFill>
              </fill>
            </x14:dxf>
          </x14:cfRule>
          <xm:sqref>J65</xm:sqref>
        </x14:conditionalFormatting>
        <x14:conditionalFormatting xmlns:xm="http://schemas.microsoft.com/office/excel/2006/main">
          <x14:cfRule type="expression" priority="9848" id="{1597A607-26D9-47FA-9946-37A7F2BADE26}">
            <xm:f>AND(IF(Q65&gt;'F:\Users\norela.briceno\Documents\Plan de acción\Plan Accion 2018\[Plan Accion Integrado ADRES Vigencia 2018 con Cuadro de Mando V6..xlsx]Plan de Accion 2018'!#REF!,Q65&lt;&gt;¨N/A¨))</xm:f>
            <x14:dxf>
              <fill>
                <patternFill>
                  <bgColor theme="1" tint="0.499984740745262"/>
                </patternFill>
              </fill>
            </x14:dxf>
          </x14:cfRule>
          <x14:cfRule type="expression" priority="9849" stopIfTrue="1" id="{BE200115-300C-4B98-9021-C5BFFF43EF80}">
            <xm:f>AND(IF(Q65='F:\Users\norela.briceno\Documents\Plan de acción\Plan Accion 2018\[Plan Accion Integrado ADRES Vigencia 2018 con Cuadro de Mando V6..xlsx]Plan de Accion 2018'!#REF!,Q65&lt;&gt;"N/A"))</xm:f>
            <x14:dxf>
              <fill>
                <patternFill>
                  <bgColor rgb="FF00B050"/>
                </patternFill>
              </fill>
            </x14:dxf>
          </x14:cfRule>
          <x14:cfRule type="expression" priority="9850" stopIfTrue="1" id="{172CCCDA-BC7A-4895-84B3-317B61DF4153}">
            <xm:f>AND(IF(Q65&lt;'F:\Users\norela.briceno\Documents\Plan de acción\Plan Accion 2018\[Plan Accion Integrado ADRES Vigencia 2018 con Cuadro de Mando V6..xlsx]Plan de Accion 2018'!#REF!,Q65&lt;&gt;"N/A"))</xm:f>
            <x14:dxf>
              <fill>
                <patternFill>
                  <bgColor indexed="10"/>
                </patternFill>
              </fill>
            </x14:dxf>
          </x14:cfRule>
          <xm:sqref>Q65</xm:sqref>
        </x14:conditionalFormatting>
        <x14:conditionalFormatting xmlns:xm="http://schemas.microsoft.com/office/excel/2006/main">
          <x14:cfRule type="expression" priority="9845" id="{D9FC9253-8758-4209-8004-22DA1682CA49}">
            <xm:f>AND(IF(X65&gt;'F:\Users\norela.briceno\Documents\Plan de acción\Plan Accion 2018\[Plan Accion Integrado ADRES Vigencia 2018 con Cuadro de Mando V6..xlsx]Plan de Accion 2018'!#REF!,X65&lt;&gt;¨N/A¨))</xm:f>
            <x14:dxf>
              <fill>
                <patternFill>
                  <bgColor theme="1" tint="0.499984740745262"/>
                </patternFill>
              </fill>
            </x14:dxf>
          </x14:cfRule>
          <x14:cfRule type="expression" priority="9846" stopIfTrue="1" id="{5E74A8E6-440C-456C-A703-B1A52A3CFC6E}">
            <xm:f>AND(IF(X65='F:\Users\norela.briceno\Documents\Plan de acción\Plan Accion 2018\[Plan Accion Integrado ADRES Vigencia 2018 con Cuadro de Mando V6..xlsx]Plan de Accion 2018'!#REF!,X65&lt;&gt;"N/A"))</xm:f>
            <x14:dxf>
              <fill>
                <patternFill>
                  <bgColor rgb="FF00B050"/>
                </patternFill>
              </fill>
            </x14:dxf>
          </x14:cfRule>
          <x14:cfRule type="expression" priority="9847" stopIfTrue="1" id="{31BEB808-890A-4B85-A684-A51CA4B30B5C}">
            <xm:f>AND(IF(X65&lt;'F:\Users\norela.briceno\Documents\Plan de acción\Plan Accion 2018\[Plan Accion Integrado ADRES Vigencia 2018 con Cuadro de Mando V6..xlsx]Plan de Accion 2018'!#REF!,X65&lt;&gt;"N/A"))</xm:f>
            <x14:dxf>
              <fill>
                <patternFill>
                  <bgColor indexed="10"/>
                </patternFill>
              </fill>
            </x14:dxf>
          </x14:cfRule>
          <xm:sqref>X65</xm:sqref>
        </x14:conditionalFormatting>
        <x14:conditionalFormatting xmlns:xm="http://schemas.microsoft.com/office/excel/2006/main">
          <x14:cfRule type="expression" priority="9842" id="{7730DE9B-16F5-4E57-BA7E-4F453BD9C86F}">
            <xm:f>AND(IF(AE65&gt;'F:\Users\norela.briceno\Documents\Plan de acción\Plan Accion 2018\[Plan Accion Integrado ADRES Vigencia 2018 con Cuadro de Mando V6..xlsx]Plan de Accion 2018'!#REF!,AE65&lt;&gt;¨N/A¨))</xm:f>
            <x14:dxf>
              <fill>
                <patternFill>
                  <bgColor theme="1" tint="0.499984740745262"/>
                </patternFill>
              </fill>
            </x14:dxf>
          </x14:cfRule>
          <x14:cfRule type="expression" priority="9843" stopIfTrue="1" id="{5C7829B8-74FF-48F2-9603-721B730976EE}">
            <xm:f>AND(IF(AE65='F:\Users\norela.briceno\Documents\Plan de acción\Plan Accion 2018\[Plan Accion Integrado ADRES Vigencia 2018 con Cuadro de Mando V6..xlsx]Plan de Accion 2018'!#REF!,AE65&lt;&gt;"N/A"))</xm:f>
            <x14:dxf>
              <fill>
                <patternFill>
                  <bgColor rgb="FF00B050"/>
                </patternFill>
              </fill>
            </x14:dxf>
          </x14:cfRule>
          <x14:cfRule type="expression" priority="9844" stopIfTrue="1" id="{354CF8C9-7338-499D-919A-416C0C19F41C}">
            <xm:f>AND(IF(AE65&lt;'F:\Users\norela.briceno\Documents\Plan de acción\Plan Accion 2018\[Plan Accion Integrado ADRES Vigencia 2018 con Cuadro de Mando V6..xlsx]Plan de Accion 2018'!#REF!,AE65&lt;&gt;"N/A"))</xm:f>
            <x14:dxf>
              <fill>
                <patternFill>
                  <bgColor indexed="10"/>
                </patternFill>
              </fill>
            </x14:dxf>
          </x14:cfRule>
          <xm:sqref>AE65</xm:sqref>
        </x14:conditionalFormatting>
        <x14:conditionalFormatting xmlns:xm="http://schemas.microsoft.com/office/excel/2006/main">
          <x14:cfRule type="expression" priority="9704" id="{AB076C6C-EB09-4A49-A23E-0715DDAFACDF}">
            <xm:f>AND(IF(J82&gt;'F:\Users\norela.briceno\Documents\Plan de acción\Plan Accion 2018\[Plan Accion Integrado ADRES Vigencia 2018 con Cuadro de Mando V6..xlsx]Plan de Accion 2018'!#REF!,J82&lt;&gt;¨N/A¨))</xm:f>
            <x14:dxf>
              <fill>
                <patternFill>
                  <bgColor theme="1" tint="0.499984740745262"/>
                </patternFill>
              </fill>
            </x14:dxf>
          </x14:cfRule>
          <x14:cfRule type="expression" priority="9705" stopIfTrue="1" id="{77DC3356-677E-4D18-A4DF-D2AFC26247DF}">
            <xm:f>AND(IF(J82='F:\Users\norela.briceno\Documents\Plan de acción\Plan Accion 2018\[Plan Accion Integrado ADRES Vigencia 2018 con Cuadro de Mando V6..xlsx]Plan de Accion 2018'!#REF!,J82&lt;&gt;"N/A"))</xm:f>
            <x14:dxf>
              <fill>
                <patternFill>
                  <bgColor rgb="FF00B050"/>
                </patternFill>
              </fill>
            </x14:dxf>
          </x14:cfRule>
          <x14:cfRule type="expression" priority="9706" stopIfTrue="1" id="{B253DC3C-E10D-4065-9222-48720D956640}">
            <xm:f>AND(IF(J82&lt;'F:\Users\norela.briceno\Documents\Plan de acción\Plan Accion 2018\[Plan Accion Integrado ADRES Vigencia 2018 con Cuadro de Mando V6..xlsx]Plan de Accion 2018'!#REF!,J82&lt;&gt;"N/A"))</xm:f>
            <x14:dxf>
              <fill>
                <patternFill>
                  <bgColor indexed="10"/>
                </patternFill>
              </fill>
            </x14:dxf>
          </x14:cfRule>
          <xm:sqref>J82:J86 Q82:Q86 AE82:AE86 X82:X86</xm:sqref>
        </x14:conditionalFormatting>
        <x14:conditionalFormatting xmlns:xm="http://schemas.microsoft.com/office/excel/2006/main">
          <x14:cfRule type="expression" priority="9701" id="{1F1A6CE1-E506-437C-A387-73DD8B40CBFC}">
            <xm:f>AND(IF(J82&gt;'F:\Users\norela.briceno\Documents\Plan de acción\Plan Accion 2018\[Plan Accion Integrado ADRES Vigencia 2018 con Cuadro de Mando V6..xlsx]Plan de Accion 2018'!#REF!,J82&lt;&gt;¨N/A¨))</xm:f>
            <x14:dxf>
              <fill>
                <patternFill>
                  <bgColor theme="1" tint="0.499984740745262"/>
                </patternFill>
              </fill>
            </x14:dxf>
          </x14:cfRule>
          <x14:cfRule type="expression" priority="9702" stopIfTrue="1" id="{F477455F-DD17-4C56-B87D-E9FE1C9C72DD}">
            <xm:f>AND(IF(J82='F:\Users\norela.briceno\Documents\Plan de acción\Plan Accion 2018\[Plan Accion Integrado ADRES Vigencia 2018 con Cuadro de Mando V6..xlsx]Plan de Accion 2018'!#REF!,J82&lt;&gt;"N/A"))</xm:f>
            <x14:dxf>
              <fill>
                <patternFill>
                  <bgColor rgb="FF00B050"/>
                </patternFill>
              </fill>
            </x14:dxf>
          </x14:cfRule>
          <x14:cfRule type="expression" priority="9703" stopIfTrue="1" id="{3B12C471-2773-424E-80C2-4F87BEA02573}">
            <xm:f>AND(IF(J82&lt;'F:\Users\norela.briceno\Documents\Plan de acción\Plan Accion 2018\[Plan Accion Integrado ADRES Vigencia 2018 con Cuadro de Mando V6..xlsx]Plan de Accion 2018'!#REF!,J82&lt;&gt;"N/A"))</xm:f>
            <x14:dxf>
              <fill>
                <patternFill>
                  <bgColor indexed="10"/>
                </patternFill>
              </fill>
            </x14:dxf>
          </x14:cfRule>
          <xm:sqref>J82:J86</xm:sqref>
        </x14:conditionalFormatting>
        <x14:conditionalFormatting xmlns:xm="http://schemas.microsoft.com/office/excel/2006/main">
          <x14:cfRule type="expression" priority="9698" id="{239455FA-039D-4F0E-99F2-A3B5B2E997EC}">
            <xm:f>AND(IF(Q82&gt;'F:\Users\norela.briceno\Documents\Plan de acción\Plan Accion 2018\[Plan Accion Integrado ADRES Vigencia 2018 con Cuadro de Mando V6..xlsx]Plan de Accion 2018'!#REF!,Q82&lt;&gt;¨N/A¨))</xm:f>
            <x14:dxf>
              <fill>
                <patternFill>
                  <bgColor theme="1" tint="0.499984740745262"/>
                </patternFill>
              </fill>
            </x14:dxf>
          </x14:cfRule>
          <x14:cfRule type="expression" priority="9699" stopIfTrue="1" id="{9E176D54-84A3-43C0-BB10-3106C598706F}">
            <xm:f>AND(IF(Q82='F:\Users\norela.briceno\Documents\Plan de acción\Plan Accion 2018\[Plan Accion Integrado ADRES Vigencia 2018 con Cuadro de Mando V6..xlsx]Plan de Accion 2018'!#REF!,Q82&lt;&gt;"N/A"))</xm:f>
            <x14:dxf>
              <fill>
                <patternFill>
                  <bgColor rgb="FF00B050"/>
                </patternFill>
              </fill>
            </x14:dxf>
          </x14:cfRule>
          <x14:cfRule type="expression" priority="9700" stopIfTrue="1" id="{0EE302BE-377C-42D4-8550-100B95B06863}">
            <xm:f>AND(IF(Q82&lt;'F:\Users\norela.briceno\Documents\Plan de acción\Plan Accion 2018\[Plan Accion Integrado ADRES Vigencia 2018 con Cuadro de Mando V6..xlsx]Plan de Accion 2018'!#REF!,Q82&lt;&gt;"N/A"))</xm:f>
            <x14:dxf>
              <fill>
                <patternFill>
                  <bgColor indexed="10"/>
                </patternFill>
              </fill>
            </x14:dxf>
          </x14:cfRule>
          <xm:sqref>Q82:Q86</xm:sqref>
        </x14:conditionalFormatting>
        <x14:conditionalFormatting xmlns:xm="http://schemas.microsoft.com/office/excel/2006/main">
          <x14:cfRule type="expression" priority="9695" id="{A4F74C1A-1931-4374-982F-AA4D90128176}">
            <xm:f>AND(IF(X82&gt;'F:\Users\norela.briceno\Documents\Plan de acción\Plan Accion 2018\[Plan Accion Integrado ADRES Vigencia 2018 con Cuadro de Mando V6..xlsx]Plan de Accion 2018'!#REF!,X82&lt;&gt;¨N/A¨))</xm:f>
            <x14:dxf>
              <fill>
                <patternFill>
                  <bgColor theme="1" tint="0.499984740745262"/>
                </patternFill>
              </fill>
            </x14:dxf>
          </x14:cfRule>
          <x14:cfRule type="expression" priority="9696" stopIfTrue="1" id="{AF947819-8A75-4ED0-BD4D-0CF75295264E}">
            <xm:f>AND(IF(X82='F:\Users\norela.briceno\Documents\Plan de acción\Plan Accion 2018\[Plan Accion Integrado ADRES Vigencia 2018 con Cuadro de Mando V6..xlsx]Plan de Accion 2018'!#REF!,X82&lt;&gt;"N/A"))</xm:f>
            <x14:dxf>
              <fill>
                <patternFill>
                  <bgColor rgb="FF00B050"/>
                </patternFill>
              </fill>
            </x14:dxf>
          </x14:cfRule>
          <x14:cfRule type="expression" priority="9697" stopIfTrue="1" id="{F4378D0D-BCED-452C-93BB-8E35FA42E6E2}">
            <xm:f>AND(IF(X82&lt;'F:\Users\norela.briceno\Documents\Plan de acción\Plan Accion 2018\[Plan Accion Integrado ADRES Vigencia 2018 con Cuadro de Mando V6..xlsx]Plan de Accion 2018'!#REF!,X82&lt;&gt;"N/A"))</xm:f>
            <x14:dxf>
              <fill>
                <patternFill>
                  <bgColor indexed="10"/>
                </patternFill>
              </fill>
            </x14:dxf>
          </x14:cfRule>
          <xm:sqref>X82:X86</xm:sqref>
        </x14:conditionalFormatting>
        <x14:conditionalFormatting xmlns:xm="http://schemas.microsoft.com/office/excel/2006/main">
          <x14:cfRule type="expression" priority="9692" id="{1DAD549B-EDCC-4E1F-9FAF-D8C90C766EDB}">
            <xm:f>AND(IF(AE82&gt;'F:\Users\norela.briceno\Documents\Plan de acción\Plan Accion 2018\[Plan Accion Integrado ADRES Vigencia 2018 con Cuadro de Mando V6..xlsx]Plan de Accion 2018'!#REF!,AE82&lt;&gt;¨N/A¨))</xm:f>
            <x14:dxf>
              <fill>
                <patternFill>
                  <bgColor theme="1" tint="0.499984740745262"/>
                </patternFill>
              </fill>
            </x14:dxf>
          </x14:cfRule>
          <x14:cfRule type="expression" priority="9693" stopIfTrue="1" id="{41433009-701D-402E-9492-9230D30C415F}">
            <xm:f>AND(IF(AE82='F:\Users\norela.briceno\Documents\Plan de acción\Plan Accion 2018\[Plan Accion Integrado ADRES Vigencia 2018 con Cuadro de Mando V6..xlsx]Plan de Accion 2018'!#REF!,AE82&lt;&gt;"N/A"))</xm:f>
            <x14:dxf>
              <fill>
                <patternFill>
                  <bgColor rgb="FF00B050"/>
                </patternFill>
              </fill>
            </x14:dxf>
          </x14:cfRule>
          <x14:cfRule type="expression" priority="9694" stopIfTrue="1" id="{446EA403-6BB1-4F62-887D-E78FEDF297F5}">
            <xm:f>AND(IF(AE82&lt;'F:\Users\norela.briceno\Documents\Plan de acción\Plan Accion 2018\[Plan Accion Integrado ADRES Vigencia 2018 con Cuadro de Mando V6..xlsx]Plan de Accion 2018'!#REF!,AE82&lt;&gt;"N/A"))</xm:f>
            <x14:dxf>
              <fill>
                <patternFill>
                  <bgColor indexed="10"/>
                </patternFill>
              </fill>
            </x14:dxf>
          </x14:cfRule>
          <xm:sqref>AE82:AE86</xm:sqref>
        </x14:conditionalFormatting>
        <x14:conditionalFormatting xmlns:xm="http://schemas.microsoft.com/office/excel/2006/main">
          <x14:cfRule type="expression" priority="9629" id="{4B9ED026-1F1A-41C1-9E9B-67BF45C81410}">
            <xm:f>AND(IF(J87&gt;'F:\Users\norela.briceno\Documents\Plan de acción\Plan Accion 2018\[Plan Accion Integrado ADRES Vigencia 2018 con Cuadro de Mando V6..xlsx]Plan de Accion 2018'!#REF!,J87&lt;&gt;¨N/A¨))</xm:f>
            <x14:dxf>
              <fill>
                <patternFill>
                  <bgColor theme="1" tint="0.499984740745262"/>
                </patternFill>
              </fill>
            </x14:dxf>
          </x14:cfRule>
          <x14:cfRule type="expression" priority="9630" stopIfTrue="1" id="{5F43DDDB-DF00-45EB-819D-FD9CFD68CF3A}">
            <xm:f>AND(IF(J87='F:\Users\norela.briceno\Documents\Plan de acción\Plan Accion 2018\[Plan Accion Integrado ADRES Vigencia 2018 con Cuadro de Mando V6..xlsx]Plan de Accion 2018'!#REF!,J87&lt;&gt;"N/A"))</xm:f>
            <x14:dxf>
              <fill>
                <patternFill>
                  <bgColor rgb="FF00B050"/>
                </patternFill>
              </fill>
            </x14:dxf>
          </x14:cfRule>
          <x14:cfRule type="expression" priority="9631" stopIfTrue="1" id="{8AF9E8F0-43DF-4EA9-B1CF-8186F7389145}">
            <xm:f>AND(IF(J87&lt;'F:\Users\norela.briceno\Documents\Plan de acción\Plan Accion 2018\[Plan Accion Integrado ADRES Vigencia 2018 con Cuadro de Mando V6..xlsx]Plan de Accion 2018'!#REF!,J87&lt;&gt;"N/A"))</xm:f>
            <x14:dxf>
              <fill>
                <patternFill>
                  <bgColor indexed="10"/>
                </patternFill>
              </fill>
            </x14:dxf>
          </x14:cfRule>
          <xm:sqref>J87:J94 Q87:Q94 AE87:AE94 X87:X94</xm:sqref>
        </x14:conditionalFormatting>
        <x14:conditionalFormatting xmlns:xm="http://schemas.microsoft.com/office/excel/2006/main">
          <x14:cfRule type="expression" priority="9626" id="{1E17324E-FC03-4817-B19A-7A8B5A69C78A}">
            <xm:f>AND(IF(J87&gt;'F:\Users\norela.briceno\Documents\Plan de acción\Plan Accion 2018\[Plan Accion Integrado ADRES Vigencia 2018 con Cuadro de Mando V6..xlsx]Plan de Accion 2018'!#REF!,J87&lt;&gt;¨N/A¨))</xm:f>
            <x14:dxf>
              <fill>
                <patternFill>
                  <bgColor theme="1" tint="0.499984740745262"/>
                </patternFill>
              </fill>
            </x14:dxf>
          </x14:cfRule>
          <x14:cfRule type="expression" priority="9627" stopIfTrue="1" id="{C446C5CB-4364-4530-B3F5-F92052F29C08}">
            <xm:f>AND(IF(J87='F:\Users\norela.briceno\Documents\Plan de acción\Plan Accion 2018\[Plan Accion Integrado ADRES Vigencia 2018 con Cuadro de Mando V6..xlsx]Plan de Accion 2018'!#REF!,J87&lt;&gt;"N/A"))</xm:f>
            <x14:dxf>
              <fill>
                <patternFill>
                  <bgColor rgb="FF00B050"/>
                </patternFill>
              </fill>
            </x14:dxf>
          </x14:cfRule>
          <x14:cfRule type="expression" priority="9628" stopIfTrue="1" id="{CB3C9C92-43BB-4484-B376-F1410BE3FF29}">
            <xm:f>AND(IF(J87&lt;'F:\Users\norela.briceno\Documents\Plan de acción\Plan Accion 2018\[Plan Accion Integrado ADRES Vigencia 2018 con Cuadro de Mando V6..xlsx]Plan de Accion 2018'!#REF!,J87&lt;&gt;"N/A"))</xm:f>
            <x14:dxf>
              <fill>
                <patternFill>
                  <bgColor indexed="10"/>
                </patternFill>
              </fill>
            </x14:dxf>
          </x14:cfRule>
          <xm:sqref>J87:J94</xm:sqref>
        </x14:conditionalFormatting>
        <x14:conditionalFormatting xmlns:xm="http://schemas.microsoft.com/office/excel/2006/main">
          <x14:cfRule type="expression" priority="9623" id="{EF22D614-6381-4FBD-8426-9AB90971CDF0}">
            <xm:f>AND(IF(Q87&gt;'F:\Users\norela.briceno\Documents\Plan de acción\Plan Accion 2018\[Plan Accion Integrado ADRES Vigencia 2018 con Cuadro de Mando V6..xlsx]Plan de Accion 2018'!#REF!,Q87&lt;&gt;¨N/A¨))</xm:f>
            <x14:dxf>
              <fill>
                <patternFill>
                  <bgColor theme="1" tint="0.499984740745262"/>
                </patternFill>
              </fill>
            </x14:dxf>
          </x14:cfRule>
          <x14:cfRule type="expression" priority="9624" stopIfTrue="1" id="{C265BC57-0612-4E75-ACD8-86236B30E3AB}">
            <xm:f>AND(IF(Q87='F:\Users\norela.briceno\Documents\Plan de acción\Plan Accion 2018\[Plan Accion Integrado ADRES Vigencia 2018 con Cuadro de Mando V6..xlsx]Plan de Accion 2018'!#REF!,Q87&lt;&gt;"N/A"))</xm:f>
            <x14:dxf>
              <fill>
                <patternFill>
                  <bgColor rgb="FF00B050"/>
                </patternFill>
              </fill>
            </x14:dxf>
          </x14:cfRule>
          <x14:cfRule type="expression" priority="9625" stopIfTrue="1" id="{891B283E-9EDC-4BBC-AE0F-8669302732DE}">
            <xm:f>AND(IF(Q87&lt;'F:\Users\norela.briceno\Documents\Plan de acción\Plan Accion 2018\[Plan Accion Integrado ADRES Vigencia 2018 con Cuadro de Mando V6..xlsx]Plan de Accion 2018'!#REF!,Q87&lt;&gt;"N/A"))</xm:f>
            <x14:dxf>
              <fill>
                <patternFill>
                  <bgColor indexed="10"/>
                </patternFill>
              </fill>
            </x14:dxf>
          </x14:cfRule>
          <xm:sqref>Q87:Q94</xm:sqref>
        </x14:conditionalFormatting>
        <x14:conditionalFormatting xmlns:xm="http://schemas.microsoft.com/office/excel/2006/main">
          <x14:cfRule type="expression" priority="9620" id="{75A636CA-7DCE-4EC8-830D-0DF9A0242FCE}">
            <xm:f>AND(IF(X87&gt;'F:\Users\norela.briceno\Documents\Plan de acción\Plan Accion 2018\[Plan Accion Integrado ADRES Vigencia 2018 con Cuadro de Mando V6..xlsx]Plan de Accion 2018'!#REF!,X87&lt;&gt;¨N/A¨))</xm:f>
            <x14:dxf>
              <fill>
                <patternFill>
                  <bgColor theme="1" tint="0.499984740745262"/>
                </patternFill>
              </fill>
            </x14:dxf>
          </x14:cfRule>
          <x14:cfRule type="expression" priority="9621" stopIfTrue="1" id="{D3ED750C-B1FD-4904-829C-B67CF2655DA0}">
            <xm:f>AND(IF(X87='F:\Users\norela.briceno\Documents\Plan de acción\Plan Accion 2018\[Plan Accion Integrado ADRES Vigencia 2018 con Cuadro de Mando V6..xlsx]Plan de Accion 2018'!#REF!,X87&lt;&gt;"N/A"))</xm:f>
            <x14:dxf>
              <fill>
                <patternFill>
                  <bgColor rgb="FF00B050"/>
                </patternFill>
              </fill>
            </x14:dxf>
          </x14:cfRule>
          <x14:cfRule type="expression" priority="9622" stopIfTrue="1" id="{0BF87665-CA1D-424C-94D6-ED7291C96E2C}">
            <xm:f>AND(IF(X87&lt;'F:\Users\norela.briceno\Documents\Plan de acción\Plan Accion 2018\[Plan Accion Integrado ADRES Vigencia 2018 con Cuadro de Mando V6..xlsx]Plan de Accion 2018'!#REF!,X87&lt;&gt;"N/A"))</xm:f>
            <x14:dxf>
              <fill>
                <patternFill>
                  <bgColor indexed="10"/>
                </patternFill>
              </fill>
            </x14:dxf>
          </x14:cfRule>
          <xm:sqref>X87:X94</xm:sqref>
        </x14:conditionalFormatting>
        <x14:conditionalFormatting xmlns:xm="http://schemas.microsoft.com/office/excel/2006/main">
          <x14:cfRule type="expression" priority="9617" id="{37B18A94-A42E-4635-B9C1-1D9DF06DE6BF}">
            <xm:f>AND(IF(AE87&gt;'F:\Users\norela.briceno\Documents\Plan de acción\Plan Accion 2018\[Plan Accion Integrado ADRES Vigencia 2018 con Cuadro de Mando V6..xlsx]Plan de Accion 2018'!#REF!,AE87&lt;&gt;¨N/A¨))</xm:f>
            <x14:dxf>
              <fill>
                <patternFill>
                  <bgColor theme="1" tint="0.499984740745262"/>
                </patternFill>
              </fill>
            </x14:dxf>
          </x14:cfRule>
          <x14:cfRule type="expression" priority="9618" stopIfTrue="1" id="{2CF224C8-E017-4D67-9A5D-4201C95BADDD}">
            <xm:f>AND(IF(AE87='F:\Users\norela.briceno\Documents\Plan de acción\Plan Accion 2018\[Plan Accion Integrado ADRES Vigencia 2018 con Cuadro de Mando V6..xlsx]Plan de Accion 2018'!#REF!,AE87&lt;&gt;"N/A"))</xm:f>
            <x14:dxf>
              <fill>
                <patternFill>
                  <bgColor rgb="FF00B050"/>
                </patternFill>
              </fill>
            </x14:dxf>
          </x14:cfRule>
          <x14:cfRule type="expression" priority="9619" stopIfTrue="1" id="{8B3F7801-A99D-42DA-A52E-A5888E62650C}">
            <xm:f>AND(IF(AE87&lt;'F:\Users\norela.briceno\Documents\Plan de acción\Plan Accion 2018\[Plan Accion Integrado ADRES Vigencia 2018 con Cuadro de Mando V6..xlsx]Plan de Accion 2018'!#REF!,AE87&lt;&gt;"N/A"))</xm:f>
            <x14:dxf>
              <fill>
                <patternFill>
                  <bgColor indexed="10"/>
                </patternFill>
              </fill>
            </x14:dxf>
          </x14:cfRule>
          <xm:sqref>AE87:AE94</xm:sqref>
        </x14:conditionalFormatting>
        <x14:conditionalFormatting xmlns:xm="http://schemas.microsoft.com/office/excel/2006/main">
          <x14:cfRule type="expression" priority="9524" id="{53C51005-2A71-437E-81E8-503A9A16D1C6}">
            <xm:f>AND(IF(J95&gt;'F:\Users\norela.briceno\Documents\Plan de acción\Plan Accion 2018\[Plan Accion Integrado ADRES Vigencia 2018 con Cuadro de Mando V6..xlsx]Plan de Accion 2018'!#REF!,J95&lt;&gt;¨N/A¨))</xm:f>
            <x14:dxf>
              <fill>
                <patternFill>
                  <bgColor theme="1" tint="0.499984740745262"/>
                </patternFill>
              </fill>
            </x14:dxf>
          </x14:cfRule>
          <x14:cfRule type="expression" priority="9525" stopIfTrue="1" id="{B9A5D313-824E-4E99-AA2F-427D14209561}">
            <xm:f>AND(IF(J95='F:\Users\norela.briceno\Documents\Plan de acción\Plan Accion 2018\[Plan Accion Integrado ADRES Vigencia 2018 con Cuadro de Mando V6..xlsx]Plan de Accion 2018'!#REF!,J95&lt;&gt;"N/A"))</xm:f>
            <x14:dxf>
              <fill>
                <patternFill>
                  <bgColor rgb="FF00B050"/>
                </patternFill>
              </fill>
            </x14:dxf>
          </x14:cfRule>
          <x14:cfRule type="expression" priority="9526" stopIfTrue="1" id="{463F36C8-E64A-4D85-B233-A70B91D17A33}">
            <xm:f>AND(IF(J95&lt;'F:\Users\norela.briceno\Documents\Plan de acción\Plan Accion 2018\[Plan Accion Integrado ADRES Vigencia 2018 con Cuadro de Mando V6..xlsx]Plan de Accion 2018'!#REF!,J95&lt;&gt;"N/A"))</xm:f>
            <x14:dxf>
              <fill>
                <patternFill>
                  <bgColor indexed="10"/>
                </patternFill>
              </fill>
            </x14:dxf>
          </x14:cfRule>
          <xm:sqref>J95 Q95 AE95 X95</xm:sqref>
        </x14:conditionalFormatting>
        <x14:conditionalFormatting xmlns:xm="http://schemas.microsoft.com/office/excel/2006/main">
          <x14:cfRule type="expression" priority="9521" id="{F26DE3D4-0C2B-47B3-AFB4-B8BECEF06843}">
            <xm:f>AND(IF(J95&gt;'F:\Users\norela.briceno\Documents\Plan de acción\Plan Accion 2018\[Plan Accion Integrado ADRES Vigencia 2018 con Cuadro de Mando V6..xlsx]Plan de Accion 2018'!#REF!,J95&lt;&gt;¨N/A¨))</xm:f>
            <x14:dxf>
              <fill>
                <patternFill>
                  <bgColor theme="1" tint="0.499984740745262"/>
                </patternFill>
              </fill>
            </x14:dxf>
          </x14:cfRule>
          <x14:cfRule type="expression" priority="9522" stopIfTrue="1" id="{3483F931-0387-4F09-B068-F8529A1E66E4}">
            <xm:f>AND(IF(J95='F:\Users\norela.briceno\Documents\Plan de acción\Plan Accion 2018\[Plan Accion Integrado ADRES Vigencia 2018 con Cuadro de Mando V6..xlsx]Plan de Accion 2018'!#REF!,J95&lt;&gt;"N/A"))</xm:f>
            <x14:dxf>
              <fill>
                <patternFill>
                  <bgColor rgb="FF00B050"/>
                </patternFill>
              </fill>
            </x14:dxf>
          </x14:cfRule>
          <x14:cfRule type="expression" priority="9523" stopIfTrue="1" id="{589BCABB-68CB-4C3D-B5EF-5C9FC02BE327}">
            <xm:f>AND(IF(J95&lt;'F:\Users\norela.briceno\Documents\Plan de acción\Plan Accion 2018\[Plan Accion Integrado ADRES Vigencia 2018 con Cuadro de Mando V6..xlsx]Plan de Accion 2018'!#REF!,J95&lt;&gt;"N/A"))</xm:f>
            <x14:dxf>
              <fill>
                <patternFill>
                  <bgColor indexed="10"/>
                </patternFill>
              </fill>
            </x14:dxf>
          </x14:cfRule>
          <xm:sqref>J95</xm:sqref>
        </x14:conditionalFormatting>
        <x14:conditionalFormatting xmlns:xm="http://schemas.microsoft.com/office/excel/2006/main">
          <x14:cfRule type="expression" priority="9518" id="{065F16C1-E4FB-46DC-B2EE-14E1C551A968}">
            <xm:f>AND(IF(Q95&gt;'F:\Users\norela.briceno\Documents\Plan de acción\Plan Accion 2018\[Plan Accion Integrado ADRES Vigencia 2018 con Cuadro de Mando V6..xlsx]Plan de Accion 2018'!#REF!,Q95&lt;&gt;¨N/A¨))</xm:f>
            <x14:dxf>
              <fill>
                <patternFill>
                  <bgColor theme="1" tint="0.499984740745262"/>
                </patternFill>
              </fill>
            </x14:dxf>
          </x14:cfRule>
          <x14:cfRule type="expression" priority="9519" stopIfTrue="1" id="{7AD4A33F-130A-454F-83CA-E50DC8AFBDB5}">
            <xm:f>AND(IF(Q95='F:\Users\norela.briceno\Documents\Plan de acción\Plan Accion 2018\[Plan Accion Integrado ADRES Vigencia 2018 con Cuadro de Mando V6..xlsx]Plan de Accion 2018'!#REF!,Q95&lt;&gt;"N/A"))</xm:f>
            <x14:dxf>
              <fill>
                <patternFill>
                  <bgColor rgb="FF00B050"/>
                </patternFill>
              </fill>
            </x14:dxf>
          </x14:cfRule>
          <x14:cfRule type="expression" priority="9520" stopIfTrue="1" id="{9378AD81-E052-4DE5-B6A7-211AA5B84A73}">
            <xm:f>AND(IF(Q95&lt;'F:\Users\norela.briceno\Documents\Plan de acción\Plan Accion 2018\[Plan Accion Integrado ADRES Vigencia 2018 con Cuadro de Mando V6..xlsx]Plan de Accion 2018'!#REF!,Q95&lt;&gt;"N/A"))</xm:f>
            <x14:dxf>
              <fill>
                <patternFill>
                  <bgColor indexed="10"/>
                </patternFill>
              </fill>
            </x14:dxf>
          </x14:cfRule>
          <xm:sqref>Q95</xm:sqref>
        </x14:conditionalFormatting>
        <x14:conditionalFormatting xmlns:xm="http://schemas.microsoft.com/office/excel/2006/main">
          <x14:cfRule type="expression" priority="9515" id="{09D9FF6C-6B19-4716-B16B-088BD385C9A0}">
            <xm:f>AND(IF(X95&gt;'F:\Users\norela.briceno\Documents\Plan de acción\Plan Accion 2018\[Plan Accion Integrado ADRES Vigencia 2018 con Cuadro de Mando V6..xlsx]Plan de Accion 2018'!#REF!,X95&lt;&gt;¨N/A¨))</xm:f>
            <x14:dxf>
              <fill>
                <patternFill>
                  <bgColor theme="1" tint="0.499984740745262"/>
                </patternFill>
              </fill>
            </x14:dxf>
          </x14:cfRule>
          <x14:cfRule type="expression" priority="9516" stopIfTrue="1" id="{5B825C0A-EAC1-4308-8266-9970125A5BE2}">
            <xm:f>AND(IF(X95='F:\Users\norela.briceno\Documents\Plan de acción\Plan Accion 2018\[Plan Accion Integrado ADRES Vigencia 2018 con Cuadro de Mando V6..xlsx]Plan de Accion 2018'!#REF!,X95&lt;&gt;"N/A"))</xm:f>
            <x14:dxf>
              <fill>
                <patternFill>
                  <bgColor rgb="FF00B050"/>
                </patternFill>
              </fill>
            </x14:dxf>
          </x14:cfRule>
          <x14:cfRule type="expression" priority="9517" stopIfTrue="1" id="{AC9FE457-6058-4659-8427-959FC8F304AA}">
            <xm:f>AND(IF(X95&lt;'F:\Users\norela.briceno\Documents\Plan de acción\Plan Accion 2018\[Plan Accion Integrado ADRES Vigencia 2018 con Cuadro de Mando V6..xlsx]Plan de Accion 2018'!#REF!,X95&lt;&gt;"N/A"))</xm:f>
            <x14:dxf>
              <fill>
                <patternFill>
                  <bgColor indexed="10"/>
                </patternFill>
              </fill>
            </x14:dxf>
          </x14:cfRule>
          <xm:sqref>X95</xm:sqref>
        </x14:conditionalFormatting>
        <x14:conditionalFormatting xmlns:xm="http://schemas.microsoft.com/office/excel/2006/main">
          <x14:cfRule type="expression" priority="9512" id="{F0EB1602-8F1A-4FCD-B7F0-12D211BF4DFD}">
            <xm:f>AND(IF(AE95&gt;'F:\Users\norela.briceno\Documents\Plan de acción\Plan Accion 2018\[Plan Accion Integrado ADRES Vigencia 2018 con Cuadro de Mando V6..xlsx]Plan de Accion 2018'!#REF!,AE95&lt;&gt;¨N/A¨))</xm:f>
            <x14:dxf>
              <fill>
                <patternFill>
                  <bgColor theme="1" tint="0.499984740745262"/>
                </patternFill>
              </fill>
            </x14:dxf>
          </x14:cfRule>
          <x14:cfRule type="expression" priority="9513" stopIfTrue="1" id="{E3AA2E07-27E8-4FB5-9521-3FE7CDF17403}">
            <xm:f>AND(IF(AE95='F:\Users\norela.briceno\Documents\Plan de acción\Plan Accion 2018\[Plan Accion Integrado ADRES Vigencia 2018 con Cuadro de Mando V6..xlsx]Plan de Accion 2018'!#REF!,AE95&lt;&gt;"N/A"))</xm:f>
            <x14:dxf>
              <fill>
                <patternFill>
                  <bgColor rgb="FF00B050"/>
                </patternFill>
              </fill>
            </x14:dxf>
          </x14:cfRule>
          <x14:cfRule type="expression" priority="9514" stopIfTrue="1" id="{262A5DDF-4685-47D8-AC11-DD86CDF7B07F}">
            <xm:f>AND(IF(AE95&lt;'F:\Users\norela.briceno\Documents\Plan de acción\Plan Accion 2018\[Plan Accion Integrado ADRES Vigencia 2018 con Cuadro de Mando V6..xlsx]Plan de Accion 2018'!#REF!,AE95&lt;&gt;"N/A"))</xm:f>
            <x14:dxf>
              <fill>
                <patternFill>
                  <bgColor indexed="10"/>
                </patternFill>
              </fill>
            </x14:dxf>
          </x14:cfRule>
          <xm:sqref>AE95</xm:sqref>
        </x14:conditionalFormatting>
        <x14:conditionalFormatting xmlns:xm="http://schemas.microsoft.com/office/excel/2006/main">
          <x14:cfRule type="expression" priority="9449" id="{DDA5985C-B503-427C-B961-AA897B874158}">
            <xm:f>AND(IF(J96&gt;'F:\Users\norela.briceno\Documents\Plan de acción\Plan Accion 2018\[Plan Accion Integrado ADRES Vigencia 2018 con Cuadro de Mando V6..xlsx]Plan de Accion 2018'!#REF!,J96&lt;&gt;¨N/A¨))</xm:f>
            <x14:dxf>
              <fill>
                <patternFill>
                  <bgColor theme="1" tint="0.499984740745262"/>
                </patternFill>
              </fill>
            </x14:dxf>
          </x14:cfRule>
          <x14:cfRule type="expression" priority="9450" stopIfTrue="1" id="{97DEACE8-306D-44D2-874C-91D185469876}">
            <xm:f>AND(IF(J96='F:\Users\norela.briceno\Documents\Plan de acción\Plan Accion 2018\[Plan Accion Integrado ADRES Vigencia 2018 con Cuadro de Mando V6..xlsx]Plan de Accion 2018'!#REF!,J96&lt;&gt;"N/A"))</xm:f>
            <x14:dxf>
              <fill>
                <patternFill>
                  <bgColor rgb="FF00B050"/>
                </patternFill>
              </fill>
            </x14:dxf>
          </x14:cfRule>
          <x14:cfRule type="expression" priority="9451" stopIfTrue="1" id="{8966E3D8-383E-4E38-8A66-A9E750A01A12}">
            <xm:f>AND(IF(J96&lt;'F:\Users\norela.briceno\Documents\Plan de acción\Plan Accion 2018\[Plan Accion Integrado ADRES Vigencia 2018 con Cuadro de Mando V6..xlsx]Plan de Accion 2018'!#REF!,J96&lt;&gt;"N/A"))</xm:f>
            <x14:dxf>
              <fill>
                <patternFill>
                  <bgColor indexed="10"/>
                </patternFill>
              </fill>
            </x14:dxf>
          </x14:cfRule>
          <xm:sqref>J96:J117 Q96:Q117 AE96:AE117 X96:X117</xm:sqref>
        </x14:conditionalFormatting>
        <x14:conditionalFormatting xmlns:xm="http://schemas.microsoft.com/office/excel/2006/main">
          <x14:cfRule type="expression" priority="9446" id="{3418BA35-C727-430B-B422-CB25964BD0A1}">
            <xm:f>AND(IF(J96&gt;'F:\Users\norela.briceno\Documents\Plan de acción\Plan Accion 2018\[Plan Accion Integrado ADRES Vigencia 2018 con Cuadro de Mando V6..xlsx]Plan de Accion 2018'!#REF!,J96&lt;&gt;¨N/A¨))</xm:f>
            <x14:dxf>
              <fill>
                <patternFill>
                  <bgColor theme="1" tint="0.499984740745262"/>
                </patternFill>
              </fill>
            </x14:dxf>
          </x14:cfRule>
          <x14:cfRule type="expression" priority="9447" stopIfTrue="1" id="{FBCB086B-B343-467A-8236-BB03217682D2}">
            <xm:f>AND(IF(J96='F:\Users\norela.briceno\Documents\Plan de acción\Plan Accion 2018\[Plan Accion Integrado ADRES Vigencia 2018 con Cuadro de Mando V6..xlsx]Plan de Accion 2018'!#REF!,J96&lt;&gt;"N/A"))</xm:f>
            <x14:dxf>
              <fill>
                <patternFill>
                  <bgColor rgb="FF00B050"/>
                </patternFill>
              </fill>
            </x14:dxf>
          </x14:cfRule>
          <x14:cfRule type="expression" priority="9448" stopIfTrue="1" id="{BAEB053A-0E2B-47E3-8A5E-75DFB636B863}">
            <xm:f>AND(IF(J96&lt;'F:\Users\norela.briceno\Documents\Plan de acción\Plan Accion 2018\[Plan Accion Integrado ADRES Vigencia 2018 con Cuadro de Mando V6..xlsx]Plan de Accion 2018'!#REF!,J96&lt;&gt;"N/A"))</xm:f>
            <x14:dxf>
              <fill>
                <patternFill>
                  <bgColor indexed="10"/>
                </patternFill>
              </fill>
            </x14:dxf>
          </x14:cfRule>
          <xm:sqref>J96:J117</xm:sqref>
        </x14:conditionalFormatting>
        <x14:conditionalFormatting xmlns:xm="http://schemas.microsoft.com/office/excel/2006/main">
          <x14:cfRule type="expression" priority="9443" id="{96E84A85-A8D1-4ADF-918E-E441211359CB}">
            <xm:f>AND(IF(Q96&gt;'F:\Users\norela.briceno\Documents\Plan de acción\Plan Accion 2018\[Plan Accion Integrado ADRES Vigencia 2018 con Cuadro de Mando V6..xlsx]Plan de Accion 2018'!#REF!,Q96&lt;&gt;¨N/A¨))</xm:f>
            <x14:dxf>
              <fill>
                <patternFill>
                  <bgColor theme="1" tint="0.499984740745262"/>
                </patternFill>
              </fill>
            </x14:dxf>
          </x14:cfRule>
          <x14:cfRule type="expression" priority="9444" stopIfTrue="1" id="{7F5945B6-C3B8-42BE-BA80-0639CF3782D2}">
            <xm:f>AND(IF(Q96='F:\Users\norela.briceno\Documents\Plan de acción\Plan Accion 2018\[Plan Accion Integrado ADRES Vigencia 2018 con Cuadro de Mando V6..xlsx]Plan de Accion 2018'!#REF!,Q96&lt;&gt;"N/A"))</xm:f>
            <x14:dxf>
              <fill>
                <patternFill>
                  <bgColor rgb="FF00B050"/>
                </patternFill>
              </fill>
            </x14:dxf>
          </x14:cfRule>
          <x14:cfRule type="expression" priority="9445" stopIfTrue="1" id="{B4E8FE5C-EBB5-46F9-B585-68C7606389B1}">
            <xm:f>AND(IF(Q96&lt;'F:\Users\norela.briceno\Documents\Plan de acción\Plan Accion 2018\[Plan Accion Integrado ADRES Vigencia 2018 con Cuadro de Mando V6..xlsx]Plan de Accion 2018'!#REF!,Q96&lt;&gt;"N/A"))</xm:f>
            <x14:dxf>
              <fill>
                <patternFill>
                  <bgColor indexed="10"/>
                </patternFill>
              </fill>
            </x14:dxf>
          </x14:cfRule>
          <xm:sqref>Q96:Q117</xm:sqref>
        </x14:conditionalFormatting>
        <x14:conditionalFormatting xmlns:xm="http://schemas.microsoft.com/office/excel/2006/main">
          <x14:cfRule type="expression" priority="9440" id="{E63EC1C9-7EBD-455E-9DF6-F11742D28D7A}">
            <xm:f>AND(IF(X96&gt;'F:\Users\norela.briceno\Documents\Plan de acción\Plan Accion 2018\[Plan Accion Integrado ADRES Vigencia 2018 con Cuadro de Mando V6..xlsx]Plan de Accion 2018'!#REF!,X96&lt;&gt;¨N/A¨))</xm:f>
            <x14:dxf>
              <fill>
                <patternFill>
                  <bgColor theme="1" tint="0.499984740745262"/>
                </patternFill>
              </fill>
            </x14:dxf>
          </x14:cfRule>
          <x14:cfRule type="expression" priority="9441" stopIfTrue="1" id="{4B907935-CDEF-4703-96A5-D20F4EB6A06F}">
            <xm:f>AND(IF(X96='F:\Users\norela.briceno\Documents\Plan de acción\Plan Accion 2018\[Plan Accion Integrado ADRES Vigencia 2018 con Cuadro de Mando V6..xlsx]Plan de Accion 2018'!#REF!,X96&lt;&gt;"N/A"))</xm:f>
            <x14:dxf>
              <fill>
                <patternFill>
                  <bgColor rgb="FF00B050"/>
                </patternFill>
              </fill>
            </x14:dxf>
          </x14:cfRule>
          <x14:cfRule type="expression" priority="9442" stopIfTrue="1" id="{32AA0DD3-9195-49E4-B4F7-9F4425802FB1}">
            <xm:f>AND(IF(X96&lt;'F:\Users\norela.briceno\Documents\Plan de acción\Plan Accion 2018\[Plan Accion Integrado ADRES Vigencia 2018 con Cuadro de Mando V6..xlsx]Plan de Accion 2018'!#REF!,X96&lt;&gt;"N/A"))</xm:f>
            <x14:dxf>
              <fill>
                <patternFill>
                  <bgColor indexed="10"/>
                </patternFill>
              </fill>
            </x14:dxf>
          </x14:cfRule>
          <xm:sqref>X96:X117</xm:sqref>
        </x14:conditionalFormatting>
        <x14:conditionalFormatting xmlns:xm="http://schemas.microsoft.com/office/excel/2006/main">
          <x14:cfRule type="expression" priority="9437" id="{95AC7BE9-8445-4724-9A2B-1DD720A3828E}">
            <xm:f>AND(IF(AE96&gt;'F:\Users\norela.briceno\Documents\Plan de acción\Plan Accion 2018\[Plan Accion Integrado ADRES Vigencia 2018 con Cuadro de Mando V6..xlsx]Plan de Accion 2018'!#REF!,AE96&lt;&gt;¨N/A¨))</xm:f>
            <x14:dxf>
              <fill>
                <patternFill>
                  <bgColor theme="1" tint="0.499984740745262"/>
                </patternFill>
              </fill>
            </x14:dxf>
          </x14:cfRule>
          <x14:cfRule type="expression" priority="9438" stopIfTrue="1" id="{C8B2E0D7-5A7C-405B-BCB5-9C154BA2197D}">
            <xm:f>AND(IF(AE96='F:\Users\norela.briceno\Documents\Plan de acción\Plan Accion 2018\[Plan Accion Integrado ADRES Vigencia 2018 con Cuadro de Mando V6..xlsx]Plan de Accion 2018'!#REF!,AE96&lt;&gt;"N/A"))</xm:f>
            <x14:dxf>
              <fill>
                <patternFill>
                  <bgColor rgb="FF00B050"/>
                </patternFill>
              </fill>
            </x14:dxf>
          </x14:cfRule>
          <x14:cfRule type="expression" priority="9439" stopIfTrue="1" id="{B54586AB-D094-44AF-9C60-5EAE48D719C6}">
            <xm:f>AND(IF(AE96&lt;'F:\Users\norela.briceno\Documents\Plan de acción\Plan Accion 2018\[Plan Accion Integrado ADRES Vigencia 2018 con Cuadro de Mando V6..xlsx]Plan de Accion 2018'!#REF!,AE96&lt;&gt;"N/A"))</xm:f>
            <x14:dxf>
              <fill>
                <patternFill>
                  <bgColor indexed="10"/>
                </patternFill>
              </fill>
            </x14:dxf>
          </x14:cfRule>
          <xm:sqref>AE96:AE117</xm:sqref>
        </x14:conditionalFormatting>
        <x14:conditionalFormatting xmlns:xm="http://schemas.microsoft.com/office/excel/2006/main">
          <x14:cfRule type="expression" priority="9284" id="{B70428B5-5412-455C-9D66-B4C9D3E9961D}">
            <xm:f>AND(IF(J118&gt;'F:\Users\norela.briceno\Documents\Plan de acción\Plan Accion 2018\[Plan Accion Integrado ADRES Vigencia 2018 con Cuadro de Mando V6..xlsx]Plan de Accion 2018'!#REF!,J118&lt;&gt;¨N/A¨))</xm:f>
            <x14:dxf>
              <fill>
                <patternFill>
                  <bgColor theme="1" tint="0.499984740745262"/>
                </patternFill>
              </fill>
            </x14:dxf>
          </x14:cfRule>
          <x14:cfRule type="expression" priority="9285" stopIfTrue="1" id="{1FC856C5-F5CD-4366-8821-109D5E65BAD3}">
            <xm:f>AND(IF(J118='F:\Users\norela.briceno\Documents\Plan de acción\Plan Accion 2018\[Plan Accion Integrado ADRES Vigencia 2018 con Cuadro de Mando V6..xlsx]Plan de Accion 2018'!#REF!,J118&lt;&gt;"N/A"))</xm:f>
            <x14:dxf>
              <fill>
                <patternFill>
                  <bgColor rgb="FF00B050"/>
                </patternFill>
              </fill>
            </x14:dxf>
          </x14:cfRule>
          <x14:cfRule type="expression" priority="9286" stopIfTrue="1" id="{E33EF621-2250-44A9-AC0A-CF5B67DD60F2}">
            <xm:f>AND(IF(J118&lt;'F:\Users\norela.briceno\Documents\Plan de acción\Plan Accion 2018\[Plan Accion Integrado ADRES Vigencia 2018 con Cuadro de Mando V6..xlsx]Plan de Accion 2018'!#REF!,J118&lt;&gt;"N/A"))</xm:f>
            <x14:dxf>
              <fill>
                <patternFill>
                  <bgColor indexed="10"/>
                </patternFill>
              </fill>
            </x14:dxf>
          </x14:cfRule>
          <xm:sqref>J118 Q118 AE118 X118</xm:sqref>
        </x14:conditionalFormatting>
        <x14:conditionalFormatting xmlns:xm="http://schemas.microsoft.com/office/excel/2006/main">
          <x14:cfRule type="expression" priority="9281" id="{9FA15440-489A-4610-B242-8DE0375AD69E}">
            <xm:f>AND(IF(J118&gt;'F:\Users\norela.briceno\Documents\Plan de acción\Plan Accion 2018\[Plan Accion Integrado ADRES Vigencia 2018 con Cuadro de Mando V6..xlsx]Plan de Accion 2018'!#REF!,J118&lt;&gt;¨N/A¨))</xm:f>
            <x14:dxf>
              <fill>
                <patternFill>
                  <bgColor theme="1" tint="0.499984740745262"/>
                </patternFill>
              </fill>
            </x14:dxf>
          </x14:cfRule>
          <x14:cfRule type="expression" priority="9282" stopIfTrue="1" id="{C7A0E5E3-0621-4CDB-AADD-D0228A3F969A}">
            <xm:f>AND(IF(J118='F:\Users\norela.briceno\Documents\Plan de acción\Plan Accion 2018\[Plan Accion Integrado ADRES Vigencia 2018 con Cuadro de Mando V6..xlsx]Plan de Accion 2018'!#REF!,J118&lt;&gt;"N/A"))</xm:f>
            <x14:dxf>
              <fill>
                <patternFill>
                  <bgColor rgb="FF00B050"/>
                </patternFill>
              </fill>
            </x14:dxf>
          </x14:cfRule>
          <x14:cfRule type="expression" priority="9283" stopIfTrue="1" id="{5B86F360-1BF4-4FAA-9698-C81DDEF4C15F}">
            <xm:f>AND(IF(J118&lt;'F:\Users\norela.briceno\Documents\Plan de acción\Plan Accion 2018\[Plan Accion Integrado ADRES Vigencia 2018 con Cuadro de Mando V6..xlsx]Plan de Accion 2018'!#REF!,J118&lt;&gt;"N/A"))</xm:f>
            <x14:dxf>
              <fill>
                <patternFill>
                  <bgColor indexed="10"/>
                </patternFill>
              </fill>
            </x14:dxf>
          </x14:cfRule>
          <xm:sqref>J118</xm:sqref>
        </x14:conditionalFormatting>
        <x14:conditionalFormatting xmlns:xm="http://schemas.microsoft.com/office/excel/2006/main">
          <x14:cfRule type="expression" priority="9278" id="{7FA396A9-F100-4837-8924-0EA54B254102}">
            <xm:f>AND(IF(Q118&gt;'F:\Users\norela.briceno\Documents\Plan de acción\Plan Accion 2018\[Plan Accion Integrado ADRES Vigencia 2018 con Cuadro de Mando V6..xlsx]Plan de Accion 2018'!#REF!,Q118&lt;&gt;¨N/A¨))</xm:f>
            <x14:dxf>
              <fill>
                <patternFill>
                  <bgColor theme="1" tint="0.499984740745262"/>
                </patternFill>
              </fill>
            </x14:dxf>
          </x14:cfRule>
          <x14:cfRule type="expression" priority="9279" stopIfTrue="1" id="{0D672DFE-7690-4AC7-B6D0-C723F97F3F52}">
            <xm:f>AND(IF(Q118='F:\Users\norela.briceno\Documents\Plan de acción\Plan Accion 2018\[Plan Accion Integrado ADRES Vigencia 2018 con Cuadro de Mando V6..xlsx]Plan de Accion 2018'!#REF!,Q118&lt;&gt;"N/A"))</xm:f>
            <x14:dxf>
              <fill>
                <patternFill>
                  <bgColor rgb="FF00B050"/>
                </patternFill>
              </fill>
            </x14:dxf>
          </x14:cfRule>
          <x14:cfRule type="expression" priority="9280" stopIfTrue="1" id="{73B969CE-1FC6-4820-872E-51C2675505B9}">
            <xm:f>AND(IF(Q118&lt;'F:\Users\norela.briceno\Documents\Plan de acción\Plan Accion 2018\[Plan Accion Integrado ADRES Vigencia 2018 con Cuadro de Mando V6..xlsx]Plan de Accion 2018'!#REF!,Q118&lt;&gt;"N/A"))</xm:f>
            <x14:dxf>
              <fill>
                <patternFill>
                  <bgColor indexed="10"/>
                </patternFill>
              </fill>
            </x14:dxf>
          </x14:cfRule>
          <xm:sqref>Q118</xm:sqref>
        </x14:conditionalFormatting>
        <x14:conditionalFormatting xmlns:xm="http://schemas.microsoft.com/office/excel/2006/main">
          <x14:cfRule type="expression" priority="9275" id="{3FABB6D4-F9C4-4C12-B5F8-B00757E81F9A}">
            <xm:f>AND(IF(X118&gt;'F:\Users\norela.briceno\Documents\Plan de acción\Plan Accion 2018\[Plan Accion Integrado ADRES Vigencia 2018 con Cuadro de Mando V6..xlsx]Plan de Accion 2018'!#REF!,X118&lt;&gt;¨N/A¨))</xm:f>
            <x14:dxf>
              <fill>
                <patternFill>
                  <bgColor theme="1" tint="0.499984740745262"/>
                </patternFill>
              </fill>
            </x14:dxf>
          </x14:cfRule>
          <x14:cfRule type="expression" priority="9276" stopIfTrue="1" id="{ED4046BE-BAFC-43ED-BA2B-F3712F891437}">
            <xm:f>AND(IF(X118='F:\Users\norela.briceno\Documents\Plan de acción\Plan Accion 2018\[Plan Accion Integrado ADRES Vigencia 2018 con Cuadro de Mando V6..xlsx]Plan de Accion 2018'!#REF!,X118&lt;&gt;"N/A"))</xm:f>
            <x14:dxf>
              <fill>
                <patternFill>
                  <bgColor rgb="FF00B050"/>
                </patternFill>
              </fill>
            </x14:dxf>
          </x14:cfRule>
          <x14:cfRule type="expression" priority="9277" stopIfTrue="1" id="{19D164A0-664B-4343-AFFC-DD43F8C33E42}">
            <xm:f>AND(IF(X118&lt;'F:\Users\norela.briceno\Documents\Plan de acción\Plan Accion 2018\[Plan Accion Integrado ADRES Vigencia 2018 con Cuadro de Mando V6..xlsx]Plan de Accion 2018'!#REF!,X118&lt;&gt;"N/A"))</xm:f>
            <x14:dxf>
              <fill>
                <patternFill>
                  <bgColor indexed="10"/>
                </patternFill>
              </fill>
            </x14:dxf>
          </x14:cfRule>
          <xm:sqref>X118</xm:sqref>
        </x14:conditionalFormatting>
        <x14:conditionalFormatting xmlns:xm="http://schemas.microsoft.com/office/excel/2006/main">
          <x14:cfRule type="expression" priority="9272" id="{A6956164-8236-4A5F-9370-9A9B56D2E9A9}">
            <xm:f>AND(IF(AE118&gt;'F:\Users\norela.briceno\Documents\Plan de acción\Plan Accion 2018\[Plan Accion Integrado ADRES Vigencia 2018 con Cuadro de Mando V6..xlsx]Plan de Accion 2018'!#REF!,AE118&lt;&gt;¨N/A¨))</xm:f>
            <x14:dxf>
              <fill>
                <patternFill>
                  <bgColor theme="1" tint="0.499984740745262"/>
                </patternFill>
              </fill>
            </x14:dxf>
          </x14:cfRule>
          <x14:cfRule type="expression" priority="9273" stopIfTrue="1" id="{57EBD2A6-B35D-4E40-B313-296AE186F933}">
            <xm:f>AND(IF(AE118='F:\Users\norela.briceno\Documents\Plan de acción\Plan Accion 2018\[Plan Accion Integrado ADRES Vigencia 2018 con Cuadro de Mando V6..xlsx]Plan de Accion 2018'!#REF!,AE118&lt;&gt;"N/A"))</xm:f>
            <x14:dxf>
              <fill>
                <patternFill>
                  <bgColor rgb="FF00B050"/>
                </patternFill>
              </fill>
            </x14:dxf>
          </x14:cfRule>
          <x14:cfRule type="expression" priority="9274" stopIfTrue="1" id="{DA7B5A03-5D1B-4724-8EE2-19938A68C89B}">
            <xm:f>AND(IF(AE118&lt;'F:\Users\norela.briceno\Documents\Plan de acción\Plan Accion 2018\[Plan Accion Integrado ADRES Vigencia 2018 con Cuadro de Mando V6..xlsx]Plan de Accion 2018'!#REF!,AE118&lt;&gt;"N/A"))</xm:f>
            <x14:dxf>
              <fill>
                <patternFill>
                  <bgColor indexed="10"/>
                </patternFill>
              </fill>
            </x14:dxf>
          </x14:cfRule>
          <xm:sqref>AE118</xm:sqref>
        </x14:conditionalFormatting>
        <x14:conditionalFormatting xmlns:xm="http://schemas.microsoft.com/office/excel/2006/main">
          <x14:cfRule type="expression" priority="9199" id="{7297B0F6-BE73-4CCC-A042-D26EA8CFE6D2}">
            <xm:f>AND(IF(J119&gt;'F:\Users\norela.briceno\Documents\Plan de acción\Plan Accion 2018\[Plan Accion Integrado ADRES Vigencia 2018 con Cuadro de Mando V6..xlsx]Plan de Accion 2018'!#REF!,J119&lt;&gt;¨N/A¨))</xm:f>
            <x14:dxf>
              <fill>
                <patternFill>
                  <bgColor theme="1" tint="0.499984740745262"/>
                </patternFill>
              </fill>
            </x14:dxf>
          </x14:cfRule>
          <x14:cfRule type="expression" priority="9200" stopIfTrue="1" id="{EFAD7420-55B7-43A2-A1DB-4B76B8D762B5}">
            <xm:f>AND(IF(J119='F:\Users\norela.briceno\Documents\Plan de acción\Plan Accion 2018\[Plan Accion Integrado ADRES Vigencia 2018 con Cuadro de Mando V6..xlsx]Plan de Accion 2018'!#REF!,J119&lt;&gt;"N/A"))</xm:f>
            <x14:dxf>
              <fill>
                <patternFill>
                  <bgColor rgb="FF00B050"/>
                </patternFill>
              </fill>
            </x14:dxf>
          </x14:cfRule>
          <x14:cfRule type="expression" priority="9201" stopIfTrue="1" id="{BE390E43-647D-4F7E-918E-E9E53B34E0A7}">
            <xm:f>AND(IF(J119&lt;'F:\Users\norela.briceno\Documents\Plan de acción\Plan Accion 2018\[Plan Accion Integrado ADRES Vigencia 2018 con Cuadro de Mando V6..xlsx]Plan de Accion 2018'!#REF!,J119&lt;&gt;"N/A"))</xm:f>
            <x14:dxf>
              <fill>
                <patternFill>
                  <bgColor indexed="10"/>
                </patternFill>
              </fill>
            </x14:dxf>
          </x14:cfRule>
          <xm:sqref>J119 Q119 AE119 X119</xm:sqref>
        </x14:conditionalFormatting>
        <x14:conditionalFormatting xmlns:xm="http://schemas.microsoft.com/office/excel/2006/main">
          <x14:cfRule type="expression" priority="9196" id="{205C9F47-AA63-4495-A188-F9F82D1E0CA5}">
            <xm:f>AND(IF(J119&gt;'F:\Users\norela.briceno\Documents\Plan de acción\Plan Accion 2018\[Plan Accion Integrado ADRES Vigencia 2018 con Cuadro de Mando V6..xlsx]Plan de Accion 2018'!#REF!,J119&lt;&gt;¨N/A¨))</xm:f>
            <x14:dxf>
              <fill>
                <patternFill>
                  <bgColor theme="1" tint="0.499984740745262"/>
                </patternFill>
              </fill>
            </x14:dxf>
          </x14:cfRule>
          <x14:cfRule type="expression" priority="9197" stopIfTrue="1" id="{EE349937-4810-4765-A4B7-BCC187867CE2}">
            <xm:f>AND(IF(J119='F:\Users\norela.briceno\Documents\Plan de acción\Plan Accion 2018\[Plan Accion Integrado ADRES Vigencia 2018 con Cuadro de Mando V6..xlsx]Plan de Accion 2018'!#REF!,J119&lt;&gt;"N/A"))</xm:f>
            <x14:dxf>
              <fill>
                <patternFill>
                  <bgColor rgb="FF00B050"/>
                </patternFill>
              </fill>
            </x14:dxf>
          </x14:cfRule>
          <x14:cfRule type="expression" priority="9198" stopIfTrue="1" id="{CC062B61-6CF7-48DD-B327-167048940045}">
            <xm:f>AND(IF(J119&lt;'F:\Users\norela.briceno\Documents\Plan de acción\Plan Accion 2018\[Plan Accion Integrado ADRES Vigencia 2018 con Cuadro de Mando V6..xlsx]Plan de Accion 2018'!#REF!,J119&lt;&gt;"N/A"))</xm:f>
            <x14:dxf>
              <fill>
                <patternFill>
                  <bgColor indexed="10"/>
                </patternFill>
              </fill>
            </x14:dxf>
          </x14:cfRule>
          <xm:sqref>J119</xm:sqref>
        </x14:conditionalFormatting>
        <x14:conditionalFormatting xmlns:xm="http://schemas.microsoft.com/office/excel/2006/main">
          <x14:cfRule type="expression" priority="9193" id="{D3DBD128-39AB-43BA-9DD1-45F01CE378B2}">
            <xm:f>AND(IF(Q119&gt;'F:\Users\norela.briceno\Documents\Plan de acción\Plan Accion 2018\[Plan Accion Integrado ADRES Vigencia 2018 con Cuadro de Mando V6..xlsx]Plan de Accion 2018'!#REF!,Q119&lt;&gt;¨N/A¨))</xm:f>
            <x14:dxf>
              <fill>
                <patternFill>
                  <bgColor theme="1" tint="0.499984740745262"/>
                </patternFill>
              </fill>
            </x14:dxf>
          </x14:cfRule>
          <x14:cfRule type="expression" priority="9194" stopIfTrue="1" id="{67E87854-CA43-48A9-B6B4-E0307AA88FBB}">
            <xm:f>AND(IF(Q119='F:\Users\norela.briceno\Documents\Plan de acción\Plan Accion 2018\[Plan Accion Integrado ADRES Vigencia 2018 con Cuadro de Mando V6..xlsx]Plan de Accion 2018'!#REF!,Q119&lt;&gt;"N/A"))</xm:f>
            <x14:dxf>
              <fill>
                <patternFill>
                  <bgColor rgb="FF00B050"/>
                </patternFill>
              </fill>
            </x14:dxf>
          </x14:cfRule>
          <x14:cfRule type="expression" priority="9195" stopIfTrue="1" id="{09C36372-661A-492B-BC33-54EE731C8066}">
            <xm:f>AND(IF(Q119&lt;'F:\Users\norela.briceno\Documents\Plan de acción\Plan Accion 2018\[Plan Accion Integrado ADRES Vigencia 2018 con Cuadro de Mando V6..xlsx]Plan de Accion 2018'!#REF!,Q119&lt;&gt;"N/A"))</xm:f>
            <x14:dxf>
              <fill>
                <patternFill>
                  <bgColor indexed="10"/>
                </patternFill>
              </fill>
            </x14:dxf>
          </x14:cfRule>
          <xm:sqref>Q119</xm:sqref>
        </x14:conditionalFormatting>
        <x14:conditionalFormatting xmlns:xm="http://schemas.microsoft.com/office/excel/2006/main">
          <x14:cfRule type="expression" priority="9190" id="{44077BD7-1FDC-4B1F-8E7D-826B7DD64937}">
            <xm:f>AND(IF(X119&gt;'F:\Users\norela.briceno\Documents\Plan de acción\Plan Accion 2018\[Plan Accion Integrado ADRES Vigencia 2018 con Cuadro de Mando V6..xlsx]Plan de Accion 2018'!#REF!,X119&lt;&gt;¨N/A¨))</xm:f>
            <x14:dxf>
              <fill>
                <patternFill>
                  <bgColor theme="1" tint="0.499984740745262"/>
                </patternFill>
              </fill>
            </x14:dxf>
          </x14:cfRule>
          <x14:cfRule type="expression" priority="9191" stopIfTrue="1" id="{392DB548-6FB3-4FEA-9CD5-0770C1131164}">
            <xm:f>AND(IF(X119='F:\Users\norela.briceno\Documents\Plan de acción\Plan Accion 2018\[Plan Accion Integrado ADRES Vigencia 2018 con Cuadro de Mando V6..xlsx]Plan de Accion 2018'!#REF!,X119&lt;&gt;"N/A"))</xm:f>
            <x14:dxf>
              <fill>
                <patternFill>
                  <bgColor rgb="FF00B050"/>
                </patternFill>
              </fill>
            </x14:dxf>
          </x14:cfRule>
          <x14:cfRule type="expression" priority="9192" stopIfTrue="1" id="{E2FDE6B0-E42B-4375-9DFC-5370991E9EFF}">
            <xm:f>AND(IF(X119&lt;'F:\Users\norela.briceno\Documents\Plan de acción\Plan Accion 2018\[Plan Accion Integrado ADRES Vigencia 2018 con Cuadro de Mando V6..xlsx]Plan de Accion 2018'!#REF!,X119&lt;&gt;"N/A"))</xm:f>
            <x14:dxf>
              <fill>
                <patternFill>
                  <bgColor indexed="10"/>
                </patternFill>
              </fill>
            </x14:dxf>
          </x14:cfRule>
          <xm:sqref>X119</xm:sqref>
        </x14:conditionalFormatting>
        <x14:conditionalFormatting xmlns:xm="http://schemas.microsoft.com/office/excel/2006/main">
          <x14:cfRule type="expression" priority="9187" id="{B9FE1234-3181-4216-933F-D0062C2974B0}">
            <xm:f>AND(IF(AE119&gt;'F:\Users\norela.briceno\Documents\Plan de acción\Plan Accion 2018\[Plan Accion Integrado ADRES Vigencia 2018 con Cuadro de Mando V6..xlsx]Plan de Accion 2018'!#REF!,AE119&lt;&gt;¨N/A¨))</xm:f>
            <x14:dxf>
              <fill>
                <patternFill>
                  <bgColor theme="1" tint="0.499984740745262"/>
                </patternFill>
              </fill>
            </x14:dxf>
          </x14:cfRule>
          <x14:cfRule type="expression" priority="9188" stopIfTrue="1" id="{469A97B9-2512-4CDC-8056-AA297032EB44}">
            <xm:f>AND(IF(AE119='F:\Users\norela.briceno\Documents\Plan de acción\Plan Accion 2018\[Plan Accion Integrado ADRES Vigencia 2018 con Cuadro de Mando V6..xlsx]Plan de Accion 2018'!#REF!,AE119&lt;&gt;"N/A"))</xm:f>
            <x14:dxf>
              <fill>
                <patternFill>
                  <bgColor rgb="FF00B050"/>
                </patternFill>
              </fill>
            </x14:dxf>
          </x14:cfRule>
          <x14:cfRule type="expression" priority="9189" stopIfTrue="1" id="{FAE651FF-2EEB-4363-82A9-F689BFF982DE}">
            <xm:f>AND(IF(AE119&lt;'F:\Users\norela.briceno\Documents\Plan de acción\Plan Accion 2018\[Plan Accion Integrado ADRES Vigencia 2018 con Cuadro de Mando V6..xlsx]Plan de Accion 2018'!#REF!,AE119&lt;&gt;"N/A"))</xm:f>
            <x14:dxf>
              <fill>
                <patternFill>
                  <bgColor indexed="10"/>
                </patternFill>
              </fill>
            </x14:dxf>
          </x14:cfRule>
          <xm:sqref>AE119</xm:sqref>
        </x14:conditionalFormatting>
        <x14:conditionalFormatting xmlns:xm="http://schemas.microsoft.com/office/excel/2006/main">
          <x14:cfRule type="expression" priority="9104" id="{7926FE22-2995-4E51-B818-A25C7D0AF7B6}">
            <xm:f>AND(IF(J120&gt;'F:\Users\norela.briceno\Documents\Plan de acción\Plan Accion 2018\[Plan Accion Integrado ADRES Vigencia 2018 con Cuadro de Mando V6..xlsx]Plan de Accion 2018'!#REF!,J120&lt;&gt;¨N/A¨))</xm:f>
            <x14:dxf>
              <fill>
                <patternFill>
                  <bgColor theme="1" tint="0.499984740745262"/>
                </patternFill>
              </fill>
            </x14:dxf>
          </x14:cfRule>
          <x14:cfRule type="expression" priority="9105" stopIfTrue="1" id="{35E70380-2D43-446A-ACD5-F8B68008283D}">
            <xm:f>AND(IF(J120='F:\Users\norela.briceno\Documents\Plan de acción\Plan Accion 2018\[Plan Accion Integrado ADRES Vigencia 2018 con Cuadro de Mando V6..xlsx]Plan de Accion 2018'!#REF!,J120&lt;&gt;"N/A"))</xm:f>
            <x14:dxf>
              <fill>
                <patternFill>
                  <bgColor rgb="FF00B050"/>
                </patternFill>
              </fill>
            </x14:dxf>
          </x14:cfRule>
          <x14:cfRule type="expression" priority="9106" stopIfTrue="1" id="{B2387472-0577-48EC-8832-A3D0EAD0D0F6}">
            <xm:f>AND(IF(J120&lt;'F:\Users\norela.briceno\Documents\Plan de acción\Plan Accion 2018\[Plan Accion Integrado ADRES Vigencia 2018 con Cuadro de Mando V6..xlsx]Plan de Accion 2018'!#REF!,J120&lt;&gt;"N/A"))</xm:f>
            <x14:dxf>
              <fill>
                <patternFill>
                  <bgColor indexed="10"/>
                </patternFill>
              </fill>
            </x14:dxf>
          </x14:cfRule>
          <xm:sqref>J120 Q120 AE120 X120</xm:sqref>
        </x14:conditionalFormatting>
        <x14:conditionalFormatting xmlns:xm="http://schemas.microsoft.com/office/excel/2006/main">
          <x14:cfRule type="expression" priority="9101" id="{4228F7E5-3DE9-43BD-9BFE-997DF0B6FB8A}">
            <xm:f>AND(IF(J120&gt;'F:\Users\norela.briceno\Documents\Plan de acción\Plan Accion 2018\[Plan Accion Integrado ADRES Vigencia 2018 con Cuadro de Mando V6..xlsx]Plan de Accion 2018'!#REF!,J120&lt;&gt;¨N/A¨))</xm:f>
            <x14:dxf>
              <fill>
                <patternFill>
                  <bgColor theme="1" tint="0.499984740745262"/>
                </patternFill>
              </fill>
            </x14:dxf>
          </x14:cfRule>
          <x14:cfRule type="expression" priority="9102" stopIfTrue="1" id="{2CB281CD-6724-4A85-9848-DD5AFB42056D}">
            <xm:f>AND(IF(J120='F:\Users\norela.briceno\Documents\Plan de acción\Plan Accion 2018\[Plan Accion Integrado ADRES Vigencia 2018 con Cuadro de Mando V6..xlsx]Plan de Accion 2018'!#REF!,J120&lt;&gt;"N/A"))</xm:f>
            <x14:dxf>
              <fill>
                <patternFill>
                  <bgColor rgb="FF00B050"/>
                </patternFill>
              </fill>
            </x14:dxf>
          </x14:cfRule>
          <x14:cfRule type="expression" priority="9103" stopIfTrue="1" id="{70D39E03-FFB9-45E7-96F8-AFC091CBAF82}">
            <xm:f>AND(IF(J120&lt;'F:\Users\norela.briceno\Documents\Plan de acción\Plan Accion 2018\[Plan Accion Integrado ADRES Vigencia 2018 con Cuadro de Mando V6..xlsx]Plan de Accion 2018'!#REF!,J120&lt;&gt;"N/A"))</xm:f>
            <x14:dxf>
              <fill>
                <patternFill>
                  <bgColor indexed="10"/>
                </patternFill>
              </fill>
            </x14:dxf>
          </x14:cfRule>
          <xm:sqref>J120</xm:sqref>
        </x14:conditionalFormatting>
        <x14:conditionalFormatting xmlns:xm="http://schemas.microsoft.com/office/excel/2006/main">
          <x14:cfRule type="expression" priority="9098" id="{AD495438-792F-4E30-936E-81E6A8FA5777}">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9099" stopIfTrue="1" id="{A16BD7B5-7B44-4268-A65B-BD3DB47752BE}">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9100" stopIfTrue="1" id="{AD498195-6575-4CF8-B94F-E9B102E30D3C}">
            <xm:f>AND(IF(Q120&lt;'F:\Users\norela.briceno\Documents\Plan de acción\Plan Accion 2018\[Plan Accion Integrado ADRES Vigencia 2018 con Cuadro de Mando V6..xlsx]Plan de Accion 2018'!#REF!,Q120&lt;&gt;"N/A"))</xm:f>
            <x14:dxf>
              <fill>
                <patternFill>
                  <bgColor indexed="10"/>
                </patternFill>
              </fill>
            </x14:dxf>
          </x14:cfRule>
          <xm:sqref>Q120</xm:sqref>
        </x14:conditionalFormatting>
        <x14:conditionalFormatting xmlns:xm="http://schemas.microsoft.com/office/excel/2006/main">
          <x14:cfRule type="expression" priority="9095" id="{B090EC68-3CE7-43B6-A0D3-0DB636FA4EE6}">
            <xm:f>AND(IF(X120&gt;'F:\Users\norela.briceno\Documents\Plan de acción\Plan Accion 2018\[Plan Accion Integrado ADRES Vigencia 2018 con Cuadro de Mando V6..xlsx]Plan de Accion 2018'!#REF!,X120&lt;&gt;¨N/A¨))</xm:f>
            <x14:dxf>
              <fill>
                <patternFill>
                  <bgColor theme="1" tint="0.499984740745262"/>
                </patternFill>
              </fill>
            </x14:dxf>
          </x14:cfRule>
          <x14:cfRule type="expression" priority="9096" stopIfTrue="1" id="{6F7A52DC-0353-46A0-B336-21A1A7055D31}">
            <xm:f>AND(IF(X120='F:\Users\norela.briceno\Documents\Plan de acción\Plan Accion 2018\[Plan Accion Integrado ADRES Vigencia 2018 con Cuadro de Mando V6..xlsx]Plan de Accion 2018'!#REF!,X120&lt;&gt;"N/A"))</xm:f>
            <x14:dxf>
              <fill>
                <patternFill>
                  <bgColor rgb="FF00B050"/>
                </patternFill>
              </fill>
            </x14:dxf>
          </x14:cfRule>
          <x14:cfRule type="expression" priority="9097" stopIfTrue="1" id="{AA9C5935-C2B2-4C22-85F3-5F798A542C54}">
            <xm:f>AND(IF(X120&lt;'F:\Users\norela.briceno\Documents\Plan de acción\Plan Accion 2018\[Plan Accion Integrado ADRES Vigencia 2018 con Cuadro de Mando V6..xlsx]Plan de Accion 2018'!#REF!,X120&lt;&gt;"N/A"))</xm:f>
            <x14:dxf>
              <fill>
                <patternFill>
                  <bgColor indexed="10"/>
                </patternFill>
              </fill>
            </x14:dxf>
          </x14:cfRule>
          <xm:sqref>X120</xm:sqref>
        </x14:conditionalFormatting>
        <x14:conditionalFormatting xmlns:xm="http://schemas.microsoft.com/office/excel/2006/main">
          <x14:cfRule type="expression" priority="9092" id="{1BD48536-521E-4113-AD73-1A293762BEB8}">
            <xm:f>AND(IF(AE120&gt;'F:\Users\norela.briceno\Documents\Plan de acción\Plan Accion 2018\[Plan Accion Integrado ADRES Vigencia 2018 con Cuadro de Mando V6..xlsx]Plan de Accion 2018'!#REF!,AE120&lt;&gt;¨N/A¨))</xm:f>
            <x14:dxf>
              <fill>
                <patternFill>
                  <bgColor theme="1" tint="0.499984740745262"/>
                </patternFill>
              </fill>
            </x14:dxf>
          </x14:cfRule>
          <x14:cfRule type="expression" priority="9093" stopIfTrue="1" id="{59A3A163-377B-428D-A5AB-85C12F7B3C54}">
            <xm:f>AND(IF(AE120='F:\Users\norela.briceno\Documents\Plan de acción\Plan Accion 2018\[Plan Accion Integrado ADRES Vigencia 2018 con Cuadro de Mando V6..xlsx]Plan de Accion 2018'!#REF!,AE120&lt;&gt;"N/A"))</xm:f>
            <x14:dxf>
              <fill>
                <patternFill>
                  <bgColor rgb="FF00B050"/>
                </patternFill>
              </fill>
            </x14:dxf>
          </x14:cfRule>
          <x14:cfRule type="expression" priority="9094" stopIfTrue="1" id="{6A5D46F7-B0B2-47C9-91C6-215320CA0F3B}">
            <xm:f>AND(IF(AE120&lt;'F:\Users\norela.briceno\Documents\Plan de acción\Plan Accion 2018\[Plan Accion Integrado ADRES Vigencia 2018 con Cuadro de Mando V6..xlsx]Plan de Accion 2018'!#REF!,AE120&lt;&gt;"N/A"))</xm:f>
            <x14:dxf>
              <fill>
                <patternFill>
                  <bgColor indexed="10"/>
                </patternFill>
              </fill>
            </x14:dxf>
          </x14:cfRule>
          <xm:sqref>AE120</xm:sqref>
        </x14:conditionalFormatting>
        <x14:conditionalFormatting xmlns:xm="http://schemas.microsoft.com/office/excel/2006/main">
          <x14:cfRule type="expression" priority="8663" id="{86CE8B8A-777E-4C5C-85FC-4F5199AA7190}">
            <xm:f>AND(IF(Q251&gt;'F:\Users\norela.briceno\Documents\Plan de acción\Plan Accion 2018\[Plan Accion Integrado ADRES Vigencia 2018 con Cuadro de Mando V6..xlsx]Plan de Accion 2018'!#REF!,Q251&lt;&gt;¨N/A¨))</xm:f>
            <x14:dxf>
              <fill>
                <patternFill>
                  <bgColor theme="1" tint="0.499984740745262"/>
                </patternFill>
              </fill>
            </x14:dxf>
          </x14:cfRule>
          <x14:cfRule type="expression" priority="8664" stopIfTrue="1" id="{6C326B98-F85A-4692-A70B-ECE703E760BE}">
            <xm:f>AND(IF(Q251='F:\Users\norela.briceno\Documents\Plan de acción\Plan Accion 2018\[Plan Accion Integrado ADRES Vigencia 2018 con Cuadro de Mando V6..xlsx]Plan de Accion 2018'!#REF!,Q251&lt;&gt;"N/A"))</xm:f>
            <x14:dxf>
              <fill>
                <patternFill>
                  <bgColor rgb="FF00B050"/>
                </patternFill>
              </fill>
            </x14:dxf>
          </x14:cfRule>
          <x14:cfRule type="expression" priority="8665" stopIfTrue="1" id="{75FF7377-4C52-4720-BEA2-2478E701E33A}">
            <xm:f>AND(IF(Q251&lt;'F:\Users\norela.briceno\Documents\Plan de acción\Plan Accion 2018\[Plan Accion Integrado ADRES Vigencia 2018 con Cuadro de Mando V6..xlsx]Plan de Accion 2018'!#REF!,Q251&lt;&gt;"N/A"))</xm:f>
            <x14:dxf>
              <fill>
                <patternFill>
                  <bgColor indexed="10"/>
                </patternFill>
              </fill>
            </x14:dxf>
          </x14:cfRule>
          <xm:sqref>Q251 X251 AE251</xm:sqref>
        </x14:conditionalFormatting>
        <x14:conditionalFormatting xmlns:xm="http://schemas.microsoft.com/office/excel/2006/main">
          <x14:cfRule type="expression" priority="8547" id="{B498F48D-668B-4604-89A3-5535E257CE22}">
            <xm:f>AND(IF(J292&gt;'F:\Users\norela.briceno\Documents\Plan de acción\Plan Accion 2018\[Plan Accion Integrado ADRES Vigencia 2018 con Cuadro de Mando V6..xlsx]Plan de Accion 2018'!#REF!,J292&lt;&gt;¨N/A¨))</xm:f>
            <x14:dxf>
              <fill>
                <patternFill>
                  <bgColor theme="1" tint="0.499984740745262"/>
                </patternFill>
              </fill>
            </x14:dxf>
          </x14:cfRule>
          <x14:cfRule type="expression" priority="8548" stopIfTrue="1" id="{A52FD756-8E80-47BC-8DF5-477E92BDA10F}">
            <xm:f>AND(IF(J292='F:\Users\norela.briceno\Documents\Plan de acción\Plan Accion 2018\[Plan Accion Integrado ADRES Vigencia 2018 con Cuadro de Mando V6..xlsx]Plan de Accion 2018'!#REF!,J292&lt;&gt;"N/A"))</xm:f>
            <x14:dxf>
              <fill>
                <patternFill>
                  <bgColor rgb="FF00B050"/>
                </patternFill>
              </fill>
            </x14:dxf>
          </x14:cfRule>
          <x14:cfRule type="expression" priority="8549" stopIfTrue="1" id="{BD89FB49-3FF4-4CE9-B84B-A8A69E5253CC}">
            <xm:f>AND(IF(J292&lt;'F:\Users\norela.briceno\Documents\Plan de acción\Plan Accion 2018\[Plan Accion Integrado ADRES Vigencia 2018 con Cuadro de Mando V6..xlsx]Plan de Accion 2018'!#REF!,J292&lt;&gt;"N/A"))</xm:f>
            <x14:dxf>
              <fill>
                <patternFill>
                  <bgColor indexed="10"/>
                </patternFill>
              </fill>
            </x14:dxf>
          </x14:cfRule>
          <xm:sqref>J292</xm:sqref>
        </x14:conditionalFormatting>
        <x14:conditionalFormatting xmlns:xm="http://schemas.microsoft.com/office/excel/2006/main">
          <x14:cfRule type="expression" priority="8544" id="{12738314-8AF3-4D43-8A85-62FE81996449}">
            <xm:f>AND(IF(Q292&gt;'F:\Users\norela.briceno\Documents\Plan de acción\Plan Accion 2018\[Plan Accion Integrado ADRES Vigencia 2018 con Cuadro de Mando V6..xlsx]Plan de Accion 2018'!#REF!,Q292&lt;&gt;¨N/A¨))</xm:f>
            <x14:dxf>
              <fill>
                <patternFill>
                  <bgColor theme="1" tint="0.499984740745262"/>
                </patternFill>
              </fill>
            </x14:dxf>
          </x14:cfRule>
          <x14:cfRule type="expression" priority="8545" stopIfTrue="1" id="{330F60C8-FAC7-432D-B7E0-B23DA96894F6}">
            <xm:f>AND(IF(Q292='F:\Users\norela.briceno\Documents\Plan de acción\Plan Accion 2018\[Plan Accion Integrado ADRES Vigencia 2018 con Cuadro de Mando V6..xlsx]Plan de Accion 2018'!#REF!,Q292&lt;&gt;"N/A"))</xm:f>
            <x14:dxf>
              <fill>
                <patternFill>
                  <bgColor rgb="FF00B050"/>
                </patternFill>
              </fill>
            </x14:dxf>
          </x14:cfRule>
          <x14:cfRule type="expression" priority="8546" stopIfTrue="1" id="{02EF9788-F58F-49B5-9653-0F98EF9839D3}">
            <xm:f>AND(IF(Q292&lt;'F:\Users\norela.briceno\Documents\Plan de acción\Plan Accion 2018\[Plan Accion Integrado ADRES Vigencia 2018 con Cuadro de Mando V6..xlsx]Plan de Accion 2018'!#REF!,Q292&lt;&gt;"N/A"))</xm:f>
            <x14:dxf>
              <fill>
                <patternFill>
                  <bgColor indexed="10"/>
                </patternFill>
              </fill>
            </x14:dxf>
          </x14:cfRule>
          <xm:sqref>Q292</xm:sqref>
        </x14:conditionalFormatting>
        <x14:conditionalFormatting xmlns:xm="http://schemas.microsoft.com/office/excel/2006/main">
          <x14:cfRule type="expression" priority="8541" id="{4073E6DA-67EE-4EA3-97CD-6DEC2BBB7BA9}">
            <xm:f>AND(IF(X292&gt;'F:\Users\norela.briceno\Documents\Plan de acción\Plan Accion 2018\[Plan Accion Integrado ADRES Vigencia 2018 con Cuadro de Mando V6..xlsx]Plan de Accion 2018'!#REF!,X292&lt;&gt;¨N/A¨))</xm:f>
            <x14:dxf>
              <fill>
                <patternFill>
                  <bgColor theme="1" tint="0.499984740745262"/>
                </patternFill>
              </fill>
            </x14:dxf>
          </x14:cfRule>
          <x14:cfRule type="expression" priority="8542" stopIfTrue="1" id="{D53CA729-7D72-4521-9852-7BEBF671A1E4}">
            <xm:f>AND(IF(X292='F:\Users\norela.briceno\Documents\Plan de acción\Plan Accion 2018\[Plan Accion Integrado ADRES Vigencia 2018 con Cuadro de Mando V6..xlsx]Plan de Accion 2018'!#REF!,X292&lt;&gt;"N/A"))</xm:f>
            <x14:dxf>
              <fill>
                <patternFill>
                  <bgColor rgb="FF00B050"/>
                </patternFill>
              </fill>
            </x14:dxf>
          </x14:cfRule>
          <x14:cfRule type="expression" priority="8543" stopIfTrue="1" id="{196DAB96-28AF-4C68-8462-A15001A86183}">
            <xm:f>AND(IF(X292&lt;'F:\Users\norela.briceno\Documents\Plan de acción\Plan Accion 2018\[Plan Accion Integrado ADRES Vigencia 2018 con Cuadro de Mando V6..xlsx]Plan de Accion 2018'!#REF!,X292&lt;&gt;"N/A"))</xm:f>
            <x14:dxf>
              <fill>
                <patternFill>
                  <bgColor indexed="10"/>
                </patternFill>
              </fill>
            </x14:dxf>
          </x14:cfRule>
          <xm:sqref>X292</xm:sqref>
        </x14:conditionalFormatting>
        <x14:conditionalFormatting xmlns:xm="http://schemas.microsoft.com/office/excel/2006/main">
          <x14:cfRule type="expression" priority="8538" id="{E3BC53D6-1C11-4304-B0C5-0666D0B2EA7F}">
            <xm:f>AND(IF(AE292&gt;'F:\Users\norela.briceno\Documents\Plan de acción\Plan Accion 2018\[Plan Accion Integrado ADRES Vigencia 2018 con Cuadro de Mando V6..xlsx]Plan de Accion 2018'!#REF!,AE292&lt;&gt;¨N/A¨))</xm:f>
            <x14:dxf>
              <fill>
                <patternFill>
                  <bgColor theme="1" tint="0.499984740745262"/>
                </patternFill>
              </fill>
            </x14:dxf>
          </x14:cfRule>
          <x14:cfRule type="expression" priority="8539" stopIfTrue="1" id="{5D72DDAB-F038-45E0-8125-8DD4E48506E5}">
            <xm:f>AND(IF(AE292='F:\Users\norela.briceno\Documents\Plan de acción\Plan Accion 2018\[Plan Accion Integrado ADRES Vigencia 2018 con Cuadro de Mando V6..xlsx]Plan de Accion 2018'!#REF!,AE292&lt;&gt;"N/A"))</xm:f>
            <x14:dxf>
              <fill>
                <patternFill>
                  <bgColor rgb="FF00B050"/>
                </patternFill>
              </fill>
            </x14:dxf>
          </x14:cfRule>
          <x14:cfRule type="expression" priority="8540" stopIfTrue="1" id="{9A7B0834-7225-4E81-A2B3-74A0446FEA1A}">
            <xm:f>AND(IF(AE292&lt;'F:\Users\norela.briceno\Documents\Plan de acción\Plan Accion 2018\[Plan Accion Integrado ADRES Vigencia 2018 con Cuadro de Mando V6..xlsx]Plan de Accion 2018'!#REF!,AE292&lt;&gt;"N/A"))</xm:f>
            <x14:dxf>
              <fill>
                <patternFill>
                  <bgColor indexed="10"/>
                </patternFill>
              </fill>
            </x14:dxf>
          </x14:cfRule>
          <xm:sqref>AE292</xm:sqref>
        </x14:conditionalFormatting>
        <x14:conditionalFormatting xmlns:xm="http://schemas.microsoft.com/office/excel/2006/main">
          <x14:cfRule type="expression" priority="7587" id="{BB1DEA91-DB21-48BB-971A-F3CD09F84B28}">
            <xm:f>AND(IF(J169&gt;'F:\Users\norela.briceno\Documents\Plan de acción\Plan Accion 2018\[Plan Accion Integrado ADRES Vigencia 2018 con Cuadro de Mando V6..xlsx]Plan de Accion 2018'!#REF!,J169&lt;&gt;¨N/A¨))</xm:f>
            <x14:dxf>
              <fill>
                <patternFill>
                  <bgColor theme="1" tint="0.499984740745262"/>
                </patternFill>
              </fill>
            </x14:dxf>
          </x14:cfRule>
          <x14:cfRule type="expression" priority="7588" stopIfTrue="1" id="{DD27D550-F108-4195-9B2E-715209D249A2}">
            <xm:f>AND(IF(J169='F:\Users\norela.briceno\Documents\Plan de acción\Plan Accion 2018\[Plan Accion Integrado ADRES Vigencia 2018 con Cuadro de Mando V6..xlsx]Plan de Accion 2018'!#REF!,J169&lt;&gt;"N/A"))</xm:f>
            <x14:dxf>
              <fill>
                <patternFill>
                  <bgColor rgb="FF00B050"/>
                </patternFill>
              </fill>
            </x14:dxf>
          </x14:cfRule>
          <x14:cfRule type="expression" priority="7589" stopIfTrue="1" id="{359BA309-402F-47FE-8633-9BEDD44E7F35}">
            <xm:f>AND(IF(J169&lt;'F:\Users\norela.briceno\Documents\Plan de acción\Plan Accion 2018\[Plan Accion Integrado ADRES Vigencia 2018 con Cuadro de Mando V6..xlsx]Plan de Accion 2018'!#REF!,J169&lt;&gt;"N/A"))</xm:f>
            <x14:dxf>
              <fill>
                <patternFill>
                  <bgColor indexed="10"/>
                </patternFill>
              </fill>
            </x14:dxf>
          </x14:cfRule>
          <xm:sqref>J169 Q169 X169 AE169</xm:sqref>
        </x14:conditionalFormatting>
        <x14:conditionalFormatting xmlns:xm="http://schemas.microsoft.com/office/excel/2006/main">
          <x14:cfRule type="expression" priority="7529" id="{2FBA290D-C523-4432-A71B-87A0E866E5E3}">
            <xm:f>AND(IF(J172&gt;'F:\Users\norela.briceno\Documents\Plan de acción\Plan Accion 2018\[Plan Accion Integrado ADRES Vigencia 2018 con Cuadro de Mando V6..xlsx]Plan de Accion 2018'!#REF!,J172&lt;&gt;¨N/A¨))</xm:f>
            <x14:dxf>
              <fill>
                <patternFill>
                  <bgColor theme="1" tint="0.499984740745262"/>
                </patternFill>
              </fill>
            </x14:dxf>
          </x14:cfRule>
          <x14:cfRule type="expression" priority="7530" stopIfTrue="1" id="{5C9CB2C4-BC7D-4DB3-A111-0B0D264C4DB2}">
            <xm:f>AND(IF(J172='F:\Users\norela.briceno\Documents\Plan de acción\Plan Accion 2018\[Plan Accion Integrado ADRES Vigencia 2018 con Cuadro de Mando V6..xlsx]Plan de Accion 2018'!#REF!,J172&lt;&gt;"N/A"))</xm:f>
            <x14:dxf>
              <fill>
                <patternFill>
                  <bgColor rgb="FF00B050"/>
                </patternFill>
              </fill>
            </x14:dxf>
          </x14:cfRule>
          <x14:cfRule type="expression" priority="7531" stopIfTrue="1" id="{4295D51C-4057-42B7-8759-A44E26E2B48B}">
            <xm:f>AND(IF(J172&lt;'F:\Users\norela.briceno\Documents\Plan de acción\Plan Accion 2018\[Plan Accion Integrado ADRES Vigencia 2018 con Cuadro de Mando V6..xlsx]Plan de Accion 2018'!#REF!,J172&lt;&gt;"N/A"))</xm:f>
            <x14:dxf>
              <fill>
                <patternFill>
                  <bgColor indexed="10"/>
                </patternFill>
              </fill>
            </x14:dxf>
          </x14:cfRule>
          <xm:sqref>J172 Q172 X172 AE172</xm:sqref>
        </x14:conditionalFormatting>
        <x14:conditionalFormatting xmlns:xm="http://schemas.microsoft.com/office/excel/2006/main">
          <x14:cfRule type="expression" priority="7426" id="{9633AC76-3A1F-4227-A6BD-A41A6D17BD9E}">
            <xm:f>AND(IF(J173&gt;'F:\Users\norela.briceno\Documents\Plan de acción\Plan Accion 2018\[Plan Accion Integrado ADRES Vigencia 2018 con Cuadro de Mando V6..xlsx]Plan de Accion 2018'!#REF!,J173&lt;&gt;¨N/A¨))</xm:f>
            <x14:dxf>
              <fill>
                <patternFill>
                  <bgColor theme="1" tint="0.499984740745262"/>
                </patternFill>
              </fill>
            </x14:dxf>
          </x14:cfRule>
          <x14:cfRule type="expression" priority="7427" stopIfTrue="1" id="{DC66EB59-7474-4889-B198-D5B72C6485D1}">
            <xm:f>AND(IF(J173='F:\Users\norela.briceno\Documents\Plan de acción\Plan Accion 2018\[Plan Accion Integrado ADRES Vigencia 2018 con Cuadro de Mando V6..xlsx]Plan de Accion 2018'!#REF!,J173&lt;&gt;"N/A"))</xm:f>
            <x14:dxf>
              <fill>
                <patternFill>
                  <bgColor rgb="FF00B050"/>
                </patternFill>
              </fill>
            </x14:dxf>
          </x14:cfRule>
          <x14:cfRule type="expression" priority="7428" stopIfTrue="1" id="{5BBA468C-7ABE-4F2B-AC1D-ECC735FFAADF}">
            <xm:f>AND(IF(J173&lt;'F:\Users\norela.briceno\Documents\Plan de acción\Plan Accion 2018\[Plan Accion Integrado ADRES Vigencia 2018 con Cuadro de Mando V6..xlsx]Plan de Accion 2018'!#REF!,J173&lt;&gt;"N/A"))</xm:f>
            <x14:dxf>
              <fill>
                <patternFill>
                  <bgColor indexed="10"/>
                </patternFill>
              </fill>
            </x14:dxf>
          </x14:cfRule>
          <xm:sqref>J173:J176 Q173:Q176 X173:X176 AE173:AE176 J179 Q179 X179 AE179</xm:sqref>
        </x14:conditionalFormatting>
        <x14:conditionalFormatting xmlns:xm="http://schemas.microsoft.com/office/excel/2006/main">
          <x14:cfRule type="expression" priority="7202" id="{A45C105C-2A49-45D3-AE8A-33CEB14F76C0}">
            <xm:f>AND(IF(J264&gt;'F:\Users\norela.briceno\Documents\Plan de acción\Plan Accion 2018\[Plan Accion Integrado ADRES Vigencia 2018 con Cuadro de Mando V6..xlsx]Plan de Accion 2018'!#REF!,J264&lt;&gt;¨N/A¨))</xm:f>
            <x14:dxf>
              <fill>
                <patternFill>
                  <bgColor theme="1" tint="0.499984740745262"/>
                </patternFill>
              </fill>
            </x14:dxf>
          </x14:cfRule>
          <x14:cfRule type="expression" priority="7203" stopIfTrue="1" id="{4C32F10F-A452-420F-83C2-DE7A34FA1A2E}">
            <xm:f>AND(IF(J264='F:\Users\norela.briceno\Documents\Plan de acción\Plan Accion 2018\[Plan Accion Integrado ADRES Vigencia 2018 con Cuadro de Mando V6..xlsx]Plan de Accion 2018'!#REF!,J264&lt;&gt;"N/A"))</xm:f>
            <x14:dxf>
              <fill>
                <patternFill>
                  <bgColor rgb="FF00B050"/>
                </patternFill>
              </fill>
            </x14:dxf>
          </x14:cfRule>
          <x14:cfRule type="expression" priority="7204" stopIfTrue="1" id="{4FF9BA86-B65B-42F3-A0D1-D62FBE2FA709}">
            <xm:f>AND(IF(J264&lt;'F:\Users\norela.briceno\Documents\Plan de acción\Plan Accion 2018\[Plan Accion Integrado ADRES Vigencia 2018 con Cuadro de Mando V6..xlsx]Plan de Accion 2018'!#REF!,J264&lt;&gt;"N/A"))</xm:f>
            <x14:dxf>
              <fill>
                <patternFill>
                  <bgColor indexed="10"/>
                </patternFill>
              </fill>
            </x14:dxf>
          </x14:cfRule>
          <xm:sqref>J264:J265 Q264:Q265 X264:X265 AE264:AE265 AE267 X267 Q267 J267</xm:sqref>
        </x14:conditionalFormatting>
        <x14:conditionalFormatting xmlns:xm="http://schemas.microsoft.com/office/excel/2006/main">
          <x14:cfRule type="expression" priority="7139" id="{CF2C4B7F-A253-4790-8F65-5E84A4F75B46}">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7140" stopIfTrue="1" id="{033B4C75-25E4-4D6F-88AD-D9BAA3DF720A}">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7141" stopIfTrue="1" id="{659F863F-AA4C-498C-B66C-66E7CE2A2370}">
            <xm:f>AND(IF(J121&lt;'F:\Users\norela.briceno\Documents\Plan de acción\Plan Accion 2018\[Plan Accion Integrado ADRES Vigencia 2018 con Cuadro de Mando V6..xlsx]Plan de Accion 2018'!#REF!,J121&lt;&gt;"N/A"))</xm:f>
            <x14:dxf>
              <fill>
                <patternFill>
                  <bgColor indexed="10"/>
                </patternFill>
              </fill>
            </x14:dxf>
          </x14:cfRule>
          <xm:sqref>J121 Q121 AE121 X121</xm:sqref>
        </x14:conditionalFormatting>
        <x14:conditionalFormatting xmlns:xm="http://schemas.microsoft.com/office/excel/2006/main">
          <x14:cfRule type="expression" priority="7136" id="{3658FB8C-28BC-4401-B0F2-B796185BAC2F}">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7137" stopIfTrue="1" id="{E0C5F6DD-084B-4CD2-A042-2DE6EB29D7A0}">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7138" stopIfTrue="1" id="{7228D932-5428-4901-AB21-2A6E859C9DED}">
            <xm:f>AND(IF(J121&lt;'F:\Users\norela.briceno\Documents\Plan de acción\Plan Accion 2018\[Plan Accion Integrado ADRES Vigencia 2018 con Cuadro de Mando V6..xlsx]Plan de Accion 2018'!#REF!,J121&lt;&gt;"N/A"))</xm:f>
            <x14:dxf>
              <fill>
                <patternFill>
                  <bgColor indexed="10"/>
                </patternFill>
              </fill>
            </x14:dxf>
          </x14:cfRule>
          <xm:sqref>J121</xm:sqref>
        </x14:conditionalFormatting>
        <x14:conditionalFormatting xmlns:xm="http://schemas.microsoft.com/office/excel/2006/main">
          <x14:cfRule type="expression" priority="7133" id="{91E37C97-931C-4089-BE0F-8560F36AF848}">
            <xm:f>AND(IF(Q121&gt;'F:\Users\norela.briceno\Documents\Plan de acción\Plan Accion 2018\[Plan Accion Integrado ADRES Vigencia 2018 con Cuadro de Mando V6..xlsx]Plan de Accion 2018'!#REF!,Q121&lt;&gt;¨N/A¨))</xm:f>
            <x14:dxf>
              <fill>
                <patternFill>
                  <bgColor theme="1" tint="0.499984740745262"/>
                </patternFill>
              </fill>
            </x14:dxf>
          </x14:cfRule>
          <x14:cfRule type="expression" priority="7134" stopIfTrue="1" id="{F477F5C4-53F0-441E-AD10-76545EE9BEB4}">
            <xm:f>AND(IF(Q121='F:\Users\norela.briceno\Documents\Plan de acción\Plan Accion 2018\[Plan Accion Integrado ADRES Vigencia 2018 con Cuadro de Mando V6..xlsx]Plan de Accion 2018'!#REF!,Q121&lt;&gt;"N/A"))</xm:f>
            <x14:dxf>
              <fill>
                <patternFill>
                  <bgColor rgb="FF00B050"/>
                </patternFill>
              </fill>
            </x14:dxf>
          </x14:cfRule>
          <x14:cfRule type="expression" priority="7135" stopIfTrue="1" id="{A4C60913-8BA8-4335-9E9D-9EFCAEC73959}">
            <xm:f>AND(IF(Q121&lt;'F:\Users\norela.briceno\Documents\Plan de acción\Plan Accion 2018\[Plan Accion Integrado ADRES Vigencia 2018 con Cuadro de Mando V6..xlsx]Plan de Accion 2018'!#REF!,Q121&lt;&gt;"N/A"))</xm:f>
            <x14:dxf>
              <fill>
                <patternFill>
                  <bgColor indexed="10"/>
                </patternFill>
              </fill>
            </x14:dxf>
          </x14:cfRule>
          <xm:sqref>Q121</xm:sqref>
        </x14:conditionalFormatting>
        <x14:conditionalFormatting xmlns:xm="http://schemas.microsoft.com/office/excel/2006/main">
          <x14:cfRule type="expression" priority="7130" id="{ED5381FD-FD88-4D09-BF60-1B32DA93C9D9}">
            <xm:f>AND(IF(X121&gt;'F:\Users\norela.briceno\Documents\Plan de acción\Plan Accion 2018\[Plan Accion Integrado ADRES Vigencia 2018 con Cuadro de Mando V6..xlsx]Plan de Accion 2018'!#REF!,X121&lt;&gt;¨N/A¨))</xm:f>
            <x14:dxf>
              <fill>
                <patternFill>
                  <bgColor theme="1" tint="0.499984740745262"/>
                </patternFill>
              </fill>
            </x14:dxf>
          </x14:cfRule>
          <x14:cfRule type="expression" priority="7131" stopIfTrue="1" id="{BD68C0CA-3440-495A-8473-4B125D670725}">
            <xm:f>AND(IF(X121='F:\Users\norela.briceno\Documents\Plan de acción\Plan Accion 2018\[Plan Accion Integrado ADRES Vigencia 2018 con Cuadro de Mando V6..xlsx]Plan de Accion 2018'!#REF!,X121&lt;&gt;"N/A"))</xm:f>
            <x14:dxf>
              <fill>
                <patternFill>
                  <bgColor rgb="FF00B050"/>
                </patternFill>
              </fill>
            </x14:dxf>
          </x14:cfRule>
          <x14:cfRule type="expression" priority="7132" stopIfTrue="1" id="{E1EDF770-F129-46D0-9EFE-25532079EEDA}">
            <xm:f>AND(IF(X121&lt;'F:\Users\norela.briceno\Documents\Plan de acción\Plan Accion 2018\[Plan Accion Integrado ADRES Vigencia 2018 con Cuadro de Mando V6..xlsx]Plan de Accion 2018'!#REF!,X121&lt;&gt;"N/A"))</xm:f>
            <x14:dxf>
              <fill>
                <patternFill>
                  <bgColor indexed="10"/>
                </patternFill>
              </fill>
            </x14:dxf>
          </x14:cfRule>
          <xm:sqref>X121</xm:sqref>
        </x14:conditionalFormatting>
        <x14:conditionalFormatting xmlns:xm="http://schemas.microsoft.com/office/excel/2006/main">
          <x14:cfRule type="expression" priority="7127" id="{A454F945-8A2D-40E2-8A76-0A7AD3BE76AC}">
            <xm:f>AND(IF(AE121&gt;'F:\Users\norela.briceno\Documents\Plan de acción\Plan Accion 2018\[Plan Accion Integrado ADRES Vigencia 2018 con Cuadro de Mando V6..xlsx]Plan de Accion 2018'!#REF!,AE121&lt;&gt;¨N/A¨))</xm:f>
            <x14:dxf>
              <fill>
                <patternFill>
                  <bgColor theme="1" tint="0.499984740745262"/>
                </patternFill>
              </fill>
            </x14:dxf>
          </x14:cfRule>
          <x14:cfRule type="expression" priority="7128" stopIfTrue="1" id="{72FE9218-C7CD-4BBD-AF52-8A8BCE52486D}">
            <xm:f>AND(IF(AE121='F:\Users\norela.briceno\Documents\Plan de acción\Plan Accion 2018\[Plan Accion Integrado ADRES Vigencia 2018 con Cuadro de Mando V6..xlsx]Plan de Accion 2018'!#REF!,AE121&lt;&gt;"N/A"))</xm:f>
            <x14:dxf>
              <fill>
                <patternFill>
                  <bgColor rgb="FF00B050"/>
                </patternFill>
              </fill>
            </x14:dxf>
          </x14:cfRule>
          <x14:cfRule type="expression" priority="7129" stopIfTrue="1" id="{FC9C61A6-DB59-47ED-97E2-90F3C10A2A2C}">
            <xm:f>AND(IF(AE121&lt;'F:\Users\norela.briceno\Documents\Plan de acción\Plan Accion 2018\[Plan Accion Integrado ADRES Vigencia 2018 con Cuadro de Mando V6..xlsx]Plan de Accion 2018'!#REF!,AE121&lt;&gt;"N/A"))</xm:f>
            <x14:dxf>
              <fill>
                <patternFill>
                  <bgColor indexed="10"/>
                </patternFill>
              </fill>
            </x14:dxf>
          </x14:cfRule>
          <xm:sqref>AE121</xm:sqref>
        </x14:conditionalFormatting>
        <x14:conditionalFormatting xmlns:xm="http://schemas.microsoft.com/office/excel/2006/main">
          <x14:cfRule type="expression" priority="7064" id="{782E4834-7DAD-4C16-AF51-B22D8EF0562A}">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7065" stopIfTrue="1" id="{89C95779-BD3D-4879-AD12-551957F0370C}">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7066" stopIfTrue="1" id="{945FF42D-3F93-4FDB-94B3-638DB42A7CB8}">
            <xm:f>AND(IF(J122&lt;'F:\Users\norela.briceno\Documents\Plan de acción\Plan Accion 2018\[Plan Accion Integrado ADRES Vigencia 2018 con Cuadro de Mando V6..xlsx]Plan de Accion 2018'!#REF!,J122&lt;&gt;"N/A"))</xm:f>
            <x14:dxf>
              <fill>
                <patternFill>
                  <bgColor indexed="10"/>
                </patternFill>
              </fill>
            </x14:dxf>
          </x14:cfRule>
          <xm:sqref>J122 Q122 AE122 X122</xm:sqref>
        </x14:conditionalFormatting>
        <x14:conditionalFormatting xmlns:xm="http://schemas.microsoft.com/office/excel/2006/main">
          <x14:cfRule type="expression" priority="7061" id="{88A62AFE-5533-4106-AFDF-E11DF18E1782}">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7062" stopIfTrue="1" id="{4877D6F2-2231-4987-B7E8-EE9D25EC4827}">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7063" stopIfTrue="1" id="{2251D3BE-A8FC-4E9B-8662-D08EA88D9C75}">
            <xm:f>AND(IF(J122&lt;'F:\Users\norela.briceno\Documents\Plan de acción\Plan Accion 2018\[Plan Accion Integrado ADRES Vigencia 2018 con Cuadro de Mando V6..xlsx]Plan de Accion 2018'!#REF!,J122&lt;&gt;"N/A"))</xm:f>
            <x14:dxf>
              <fill>
                <patternFill>
                  <bgColor indexed="10"/>
                </patternFill>
              </fill>
            </x14:dxf>
          </x14:cfRule>
          <xm:sqref>J122</xm:sqref>
        </x14:conditionalFormatting>
        <x14:conditionalFormatting xmlns:xm="http://schemas.microsoft.com/office/excel/2006/main">
          <x14:cfRule type="expression" priority="7058" id="{A413909D-5572-43AA-B2CF-B194DE0E8D9F}">
            <xm:f>AND(IF(Q122&gt;'F:\Users\norela.briceno\Documents\Plan de acción\Plan Accion 2018\[Plan Accion Integrado ADRES Vigencia 2018 con Cuadro de Mando V6..xlsx]Plan de Accion 2018'!#REF!,Q122&lt;&gt;¨N/A¨))</xm:f>
            <x14:dxf>
              <fill>
                <patternFill>
                  <bgColor theme="1" tint="0.499984740745262"/>
                </patternFill>
              </fill>
            </x14:dxf>
          </x14:cfRule>
          <x14:cfRule type="expression" priority="7059" stopIfTrue="1" id="{B462D742-5C36-4BB4-8D74-916143FBA5E0}">
            <xm:f>AND(IF(Q122='F:\Users\norela.briceno\Documents\Plan de acción\Plan Accion 2018\[Plan Accion Integrado ADRES Vigencia 2018 con Cuadro de Mando V6..xlsx]Plan de Accion 2018'!#REF!,Q122&lt;&gt;"N/A"))</xm:f>
            <x14:dxf>
              <fill>
                <patternFill>
                  <bgColor rgb="FF00B050"/>
                </patternFill>
              </fill>
            </x14:dxf>
          </x14:cfRule>
          <x14:cfRule type="expression" priority="7060" stopIfTrue="1" id="{BFD5C913-1E75-4250-8EA7-8DFA11019B87}">
            <xm:f>AND(IF(Q122&lt;'F:\Users\norela.briceno\Documents\Plan de acción\Plan Accion 2018\[Plan Accion Integrado ADRES Vigencia 2018 con Cuadro de Mando V6..xlsx]Plan de Accion 2018'!#REF!,Q122&lt;&gt;"N/A"))</xm:f>
            <x14:dxf>
              <fill>
                <patternFill>
                  <bgColor indexed="10"/>
                </patternFill>
              </fill>
            </x14:dxf>
          </x14:cfRule>
          <xm:sqref>Q122</xm:sqref>
        </x14:conditionalFormatting>
        <x14:conditionalFormatting xmlns:xm="http://schemas.microsoft.com/office/excel/2006/main">
          <x14:cfRule type="expression" priority="7055" id="{2DCFCAAA-0FA4-4F5E-AFDB-0833478A196C}">
            <xm:f>AND(IF(X122&gt;'F:\Users\norela.briceno\Documents\Plan de acción\Plan Accion 2018\[Plan Accion Integrado ADRES Vigencia 2018 con Cuadro de Mando V6..xlsx]Plan de Accion 2018'!#REF!,X122&lt;&gt;¨N/A¨))</xm:f>
            <x14:dxf>
              <fill>
                <patternFill>
                  <bgColor theme="1" tint="0.499984740745262"/>
                </patternFill>
              </fill>
            </x14:dxf>
          </x14:cfRule>
          <x14:cfRule type="expression" priority="7056" stopIfTrue="1" id="{F1E7EB48-06AB-411A-81A3-EFFA073BB575}">
            <xm:f>AND(IF(X122='F:\Users\norela.briceno\Documents\Plan de acción\Plan Accion 2018\[Plan Accion Integrado ADRES Vigencia 2018 con Cuadro de Mando V6..xlsx]Plan de Accion 2018'!#REF!,X122&lt;&gt;"N/A"))</xm:f>
            <x14:dxf>
              <fill>
                <patternFill>
                  <bgColor rgb="FF00B050"/>
                </patternFill>
              </fill>
            </x14:dxf>
          </x14:cfRule>
          <x14:cfRule type="expression" priority="7057" stopIfTrue="1" id="{1831E6AA-4D78-4899-B4E1-7C4935AE9FA8}">
            <xm:f>AND(IF(X122&lt;'F:\Users\norela.briceno\Documents\Plan de acción\Plan Accion 2018\[Plan Accion Integrado ADRES Vigencia 2018 con Cuadro de Mando V6..xlsx]Plan de Accion 2018'!#REF!,X122&lt;&gt;"N/A"))</xm:f>
            <x14:dxf>
              <fill>
                <patternFill>
                  <bgColor indexed="10"/>
                </patternFill>
              </fill>
            </x14:dxf>
          </x14:cfRule>
          <xm:sqref>X122</xm:sqref>
        </x14:conditionalFormatting>
        <x14:conditionalFormatting xmlns:xm="http://schemas.microsoft.com/office/excel/2006/main">
          <x14:cfRule type="expression" priority="7052" id="{9B265DC5-D75A-46B9-AD53-3EEB3B9E79D8}">
            <xm:f>AND(IF(AE122&gt;'F:\Users\norela.briceno\Documents\Plan de acción\Plan Accion 2018\[Plan Accion Integrado ADRES Vigencia 2018 con Cuadro de Mando V6..xlsx]Plan de Accion 2018'!#REF!,AE122&lt;&gt;¨N/A¨))</xm:f>
            <x14:dxf>
              <fill>
                <patternFill>
                  <bgColor theme="1" tint="0.499984740745262"/>
                </patternFill>
              </fill>
            </x14:dxf>
          </x14:cfRule>
          <x14:cfRule type="expression" priority="7053" stopIfTrue="1" id="{BF80F981-1497-4122-8258-CBCE0F9EE5A5}">
            <xm:f>AND(IF(AE122='F:\Users\norela.briceno\Documents\Plan de acción\Plan Accion 2018\[Plan Accion Integrado ADRES Vigencia 2018 con Cuadro de Mando V6..xlsx]Plan de Accion 2018'!#REF!,AE122&lt;&gt;"N/A"))</xm:f>
            <x14:dxf>
              <fill>
                <patternFill>
                  <bgColor rgb="FF00B050"/>
                </patternFill>
              </fill>
            </x14:dxf>
          </x14:cfRule>
          <x14:cfRule type="expression" priority="7054" stopIfTrue="1" id="{C9560BBE-2BDB-40C5-9026-599B8ACE2597}">
            <xm:f>AND(IF(AE122&lt;'F:\Users\norela.briceno\Documents\Plan de acción\Plan Accion 2018\[Plan Accion Integrado ADRES Vigencia 2018 con Cuadro de Mando V6..xlsx]Plan de Accion 2018'!#REF!,AE122&lt;&gt;"N/A"))</xm:f>
            <x14:dxf>
              <fill>
                <patternFill>
                  <bgColor indexed="10"/>
                </patternFill>
              </fill>
            </x14:dxf>
          </x14:cfRule>
          <xm:sqref>AE122</xm:sqref>
        </x14:conditionalFormatting>
        <x14:conditionalFormatting xmlns:xm="http://schemas.microsoft.com/office/excel/2006/main">
          <x14:cfRule type="expression" priority="6989" id="{8CF43DB3-0218-4140-B29D-A00C83ABD463}">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6990" stopIfTrue="1" id="{CD212740-506B-46C9-B941-9FA42EC40827}">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6991" stopIfTrue="1" id="{126313E7-74AA-4BAC-9AC9-F4C7D13D03D8}">
            <xm:f>AND(IF(J123&lt;'F:\Users\norela.briceno\Documents\Plan de acción\Plan Accion 2018\[Plan Accion Integrado ADRES Vigencia 2018 con Cuadro de Mando V6..xlsx]Plan de Accion 2018'!#REF!,J123&lt;&gt;"N/A"))</xm:f>
            <x14:dxf>
              <fill>
                <patternFill>
                  <bgColor indexed="10"/>
                </patternFill>
              </fill>
            </x14:dxf>
          </x14:cfRule>
          <xm:sqref>J123 Q123 AE123 X123</xm:sqref>
        </x14:conditionalFormatting>
        <x14:conditionalFormatting xmlns:xm="http://schemas.microsoft.com/office/excel/2006/main">
          <x14:cfRule type="expression" priority="6986" id="{8D23BECE-BA99-456B-A1B4-7915472D07E0}">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6987" stopIfTrue="1" id="{5F521D38-815F-4BDF-ADC3-723A59209A5D}">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6988" stopIfTrue="1" id="{27F484E9-0630-4D7F-B2BC-DCF1D2644D42}">
            <xm:f>AND(IF(J123&lt;'F:\Users\norela.briceno\Documents\Plan de acción\Plan Accion 2018\[Plan Accion Integrado ADRES Vigencia 2018 con Cuadro de Mando V6..xlsx]Plan de Accion 2018'!#REF!,J123&lt;&gt;"N/A"))</xm:f>
            <x14:dxf>
              <fill>
                <patternFill>
                  <bgColor indexed="10"/>
                </patternFill>
              </fill>
            </x14:dxf>
          </x14:cfRule>
          <xm:sqref>J123</xm:sqref>
        </x14:conditionalFormatting>
        <x14:conditionalFormatting xmlns:xm="http://schemas.microsoft.com/office/excel/2006/main">
          <x14:cfRule type="expression" priority="6983" id="{2706EC46-81E0-4666-901F-32180D731BAC}">
            <xm:f>AND(IF(Q123&gt;'F:\Users\norela.briceno\Documents\Plan de acción\Plan Accion 2018\[Plan Accion Integrado ADRES Vigencia 2018 con Cuadro de Mando V6..xlsx]Plan de Accion 2018'!#REF!,Q123&lt;&gt;¨N/A¨))</xm:f>
            <x14:dxf>
              <fill>
                <patternFill>
                  <bgColor theme="1" tint="0.499984740745262"/>
                </patternFill>
              </fill>
            </x14:dxf>
          </x14:cfRule>
          <x14:cfRule type="expression" priority="6984" stopIfTrue="1" id="{0546FBE7-E65A-4B5B-8CE2-5FF0EAED6814}">
            <xm:f>AND(IF(Q123='F:\Users\norela.briceno\Documents\Plan de acción\Plan Accion 2018\[Plan Accion Integrado ADRES Vigencia 2018 con Cuadro de Mando V6..xlsx]Plan de Accion 2018'!#REF!,Q123&lt;&gt;"N/A"))</xm:f>
            <x14:dxf>
              <fill>
                <patternFill>
                  <bgColor rgb="FF00B050"/>
                </patternFill>
              </fill>
            </x14:dxf>
          </x14:cfRule>
          <x14:cfRule type="expression" priority="6985" stopIfTrue="1" id="{FCDCB31E-292E-47BF-AC2A-A06AA30656A9}">
            <xm:f>AND(IF(Q123&lt;'F:\Users\norela.briceno\Documents\Plan de acción\Plan Accion 2018\[Plan Accion Integrado ADRES Vigencia 2018 con Cuadro de Mando V6..xlsx]Plan de Accion 2018'!#REF!,Q123&lt;&gt;"N/A"))</xm:f>
            <x14:dxf>
              <fill>
                <patternFill>
                  <bgColor indexed="10"/>
                </patternFill>
              </fill>
            </x14:dxf>
          </x14:cfRule>
          <xm:sqref>Q123</xm:sqref>
        </x14:conditionalFormatting>
        <x14:conditionalFormatting xmlns:xm="http://schemas.microsoft.com/office/excel/2006/main">
          <x14:cfRule type="expression" priority="6980" id="{B7CE00CC-CA22-418C-B434-8295573BC15A}">
            <xm:f>AND(IF(X123&gt;'F:\Users\norela.briceno\Documents\Plan de acción\Plan Accion 2018\[Plan Accion Integrado ADRES Vigencia 2018 con Cuadro de Mando V6..xlsx]Plan de Accion 2018'!#REF!,X123&lt;&gt;¨N/A¨))</xm:f>
            <x14:dxf>
              <fill>
                <patternFill>
                  <bgColor theme="1" tint="0.499984740745262"/>
                </patternFill>
              </fill>
            </x14:dxf>
          </x14:cfRule>
          <x14:cfRule type="expression" priority="6981" stopIfTrue="1" id="{C0CC77B7-A1FE-4F3A-B7D9-C1A0F72D916E}">
            <xm:f>AND(IF(X123='F:\Users\norela.briceno\Documents\Plan de acción\Plan Accion 2018\[Plan Accion Integrado ADRES Vigencia 2018 con Cuadro de Mando V6..xlsx]Plan de Accion 2018'!#REF!,X123&lt;&gt;"N/A"))</xm:f>
            <x14:dxf>
              <fill>
                <patternFill>
                  <bgColor rgb="FF00B050"/>
                </patternFill>
              </fill>
            </x14:dxf>
          </x14:cfRule>
          <x14:cfRule type="expression" priority="6982" stopIfTrue="1" id="{CC7299D0-8CC8-4592-A3E9-9C70AABB5367}">
            <xm:f>AND(IF(X123&lt;'F:\Users\norela.briceno\Documents\Plan de acción\Plan Accion 2018\[Plan Accion Integrado ADRES Vigencia 2018 con Cuadro de Mando V6..xlsx]Plan de Accion 2018'!#REF!,X123&lt;&gt;"N/A"))</xm:f>
            <x14:dxf>
              <fill>
                <patternFill>
                  <bgColor indexed="10"/>
                </patternFill>
              </fill>
            </x14:dxf>
          </x14:cfRule>
          <xm:sqref>X123</xm:sqref>
        </x14:conditionalFormatting>
        <x14:conditionalFormatting xmlns:xm="http://schemas.microsoft.com/office/excel/2006/main">
          <x14:cfRule type="expression" priority="6977" id="{9D8207DC-7655-4CBA-8EE2-20F12F4D7595}">
            <xm:f>AND(IF(AE123&gt;'F:\Users\norela.briceno\Documents\Plan de acción\Plan Accion 2018\[Plan Accion Integrado ADRES Vigencia 2018 con Cuadro de Mando V6..xlsx]Plan de Accion 2018'!#REF!,AE123&lt;&gt;¨N/A¨))</xm:f>
            <x14:dxf>
              <fill>
                <patternFill>
                  <bgColor theme="1" tint="0.499984740745262"/>
                </patternFill>
              </fill>
            </x14:dxf>
          </x14:cfRule>
          <x14:cfRule type="expression" priority="6978" stopIfTrue="1" id="{3C6F4E30-1FDE-494E-B2FA-FD183E861252}">
            <xm:f>AND(IF(AE123='F:\Users\norela.briceno\Documents\Plan de acción\Plan Accion 2018\[Plan Accion Integrado ADRES Vigencia 2018 con Cuadro de Mando V6..xlsx]Plan de Accion 2018'!#REF!,AE123&lt;&gt;"N/A"))</xm:f>
            <x14:dxf>
              <fill>
                <patternFill>
                  <bgColor rgb="FF00B050"/>
                </patternFill>
              </fill>
            </x14:dxf>
          </x14:cfRule>
          <x14:cfRule type="expression" priority="6979" stopIfTrue="1" id="{D9734DE6-8A3B-46A4-82EC-C4C79B8F3773}">
            <xm:f>AND(IF(AE123&lt;'F:\Users\norela.briceno\Documents\Plan de acción\Plan Accion 2018\[Plan Accion Integrado ADRES Vigencia 2018 con Cuadro de Mando V6..xlsx]Plan de Accion 2018'!#REF!,AE123&lt;&gt;"N/A"))</xm:f>
            <x14:dxf>
              <fill>
                <patternFill>
                  <bgColor indexed="10"/>
                </patternFill>
              </fill>
            </x14:dxf>
          </x14:cfRule>
          <xm:sqref>AE123</xm:sqref>
        </x14:conditionalFormatting>
        <x14:conditionalFormatting xmlns:xm="http://schemas.microsoft.com/office/excel/2006/main">
          <x14:cfRule type="expression" priority="6914" id="{BAFB9ACE-05FD-4BC1-86A2-A312858DA5C8}">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6915" stopIfTrue="1" id="{688FA089-0210-4CB0-B3F6-4CC0CAC31297}">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6916" stopIfTrue="1" id="{71182BEC-C747-4FF1-B2A0-8194192D9E2E}">
            <xm:f>AND(IF(J124&lt;'F:\Users\norela.briceno\Documents\Plan de acción\Plan Accion 2018\[Plan Accion Integrado ADRES Vigencia 2018 con Cuadro de Mando V6..xlsx]Plan de Accion 2018'!#REF!,J124&lt;&gt;"N/A"))</xm:f>
            <x14:dxf>
              <fill>
                <patternFill>
                  <bgColor indexed="10"/>
                </patternFill>
              </fill>
            </x14:dxf>
          </x14:cfRule>
          <xm:sqref>J124 Q124 AE124 X124</xm:sqref>
        </x14:conditionalFormatting>
        <x14:conditionalFormatting xmlns:xm="http://schemas.microsoft.com/office/excel/2006/main">
          <x14:cfRule type="expression" priority="6911" id="{C4566868-652E-4E27-9C22-32AC9F56595B}">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6912" stopIfTrue="1" id="{4E411B8E-5635-4A8D-97BD-6CA0D13C59A6}">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6913" stopIfTrue="1" id="{3BB6E145-B0CD-4E3E-B679-35F7ACEA31AE}">
            <xm:f>AND(IF(J124&lt;'F:\Users\norela.briceno\Documents\Plan de acción\Plan Accion 2018\[Plan Accion Integrado ADRES Vigencia 2018 con Cuadro de Mando V6..xlsx]Plan de Accion 2018'!#REF!,J124&lt;&gt;"N/A"))</xm:f>
            <x14:dxf>
              <fill>
                <patternFill>
                  <bgColor indexed="10"/>
                </patternFill>
              </fill>
            </x14:dxf>
          </x14:cfRule>
          <xm:sqref>J124</xm:sqref>
        </x14:conditionalFormatting>
        <x14:conditionalFormatting xmlns:xm="http://schemas.microsoft.com/office/excel/2006/main">
          <x14:cfRule type="expression" priority="6908" id="{68D47C45-0DC0-4437-B276-52250C62DDF0}">
            <xm:f>AND(IF(Q124&gt;'F:\Users\norela.briceno\Documents\Plan de acción\Plan Accion 2018\[Plan Accion Integrado ADRES Vigencia 2018 con Cuadro de Mando V6..xlsx]Plan de Accion 2018'!#REF!,Q124&lt;&gt;¨N/A¨))</xm:f>
            <x14:dxf>
              <fill>
                <patternFill>
                  <bgColor theme="1" tint="0.499984740745262"/>
                </patternFill>
              </fill>
            </x14:dxf>
          </x14:cfRule>
          <x14:cfRule type="expression" priority="6909" stopIfTrue="1" id="{616966DB-96AB-4B85-9BA1-8FA54CF95ECE}">
            <xm:f>AND(IF(Q124='F:\Users\norela.briceno\Documents\Plan de acción\Plan Accion 2018\[Plan Accion Integrado ADRES Vigencia 2018 con Cuadro de Mando V6..xlsx]Plan de Accion 2018'!#REF!,Q124&lt;&gt;"N/A"))</xm:f>
            <x14:dxf>
              <fill>
                <patternFill>
                  <bgColor rgb="FF00B050"/>
                </patternFill>
              </fill>
            </x14:dxf>
          </x14:cfRule>
          <x14:cfRule type="expression" priority="6910" stopIfTrue="1" id="{DC5C5C1C-EE4E-4795-886F-6516D8C478F6}">
            <xm:f>AND(IF(Q124&lt;'F:\Users\norela.briceno\Documents\Plan de acción\Plan Accion 2018\[Plan Accion Integrado ADRES Vigencia 2018 con Cuadro de Mando V6..xlsx]Plan de Accion 2018'!#REF!,Q124&lt;&gt;"N/A"))</xm:f>
            <x14:dxf>
              <fill>
                <patternFill>
                  <bgColor indexed="10"/>
                </patternFill>
              </fill>
            </x14:dxf>
          </x14:cfRule>
          <xm:sqref>Q124</xm:sqref>
        </x14:conditionalFormatting>
        <x14:conditionalFormatting xmlns:xm="http://schemas.microsoft.com/office/excel/2006/main">
          <x14:cfRule type="expression" priority="6905" id="{22FA5A24-0892-482D-8E00-A0E4E8073A07}">
            <xm:f>AND(IF(X124&gt;'F:\Users\norela.briceno\Documents\Plan de acción\Plan Accion 2018\[Plan Accion Integrado ADRES Vigencia 2018 con Cuadro de Mando V6..xlsx]Plan de Accion 2018'!#REF!,X124&lt;&gt;¨N/A¨))</xm:f>
            <x14:dxf>
              <fill>
                <patternFill>
                  <bgColor theme="1" tint="0.499984740745262"/>
                </patternFill>
              </fill>
            </x14:dxf>
          </x14:cfRule>
          <x14:cfRule type="expression" priority="6906" stopIfTrue="1" id="{3C62B3FF-50A5-4433-8226-7A96F1DD4C2D}">
            <xm:f>AND(IF(X124='F:\Users\norela.briceno\Documents\Plan de acción\Plan Accion 2018\[Plan Accion Integrado ADRES Vigencia 2018 con Cuadro de Mando V6..xlsx]Plan de Accion 2018'!#REF!,X124&lt;&gt;"N/A"))</xm:f>
            <x14:dxf>
              <fill>
                <patternFill>
                  <bgColor rgb="FF00B050"/>
                </patternFill>
              </fill>
            </x14:dxf>
          </x14:cfRule>
          <x14:cfRule type="expression" priority="6907" stopIfTrue="1" id="{8C74935A-5F08-4FCC-94A2-120856131D70}">
            <xm:f>AND(IF(X124&lt;'F:\Users\norela.briceno\Documents\Plan de acción\Plan Accion 2018\[Plan Accion Integrado ADRES Vigencia 2018 con Cuadro de Mando V6..xlsx]Plan de Accion 2018'!#REF!,X124&lt;&gt;"N/A"))</xm:f>
            <x14:dxf>
              <fill>
                <patternFill>
                  <bgColor indexed="10"/>
                </patternFill>
              </fill>
            </x14:dxf>
          </x14:cfRule>
          <xm:sqref>X124</xm:sqref>
        </x14:conditionalFormatting>
        <x14:conditionalFormatting xmlns:xm="http://schemas.microsoft.com/office/excel/2006/main">
          <x14:cfRule type="expression" priority="6902" id="{B1475039-7F9A-4172-88F2-46717A7A709E}">
            <xm:f>AND(IF(AE124&gt;'F:\Users\norela.briceno\Documents\Plan de acción\Plan Accion 2018\[Plan Accion Integrado ADRES Vigencia 2018 con Cuadro de Mando V6..xlsx]Plan de Accion 2018'!#REF!,AE124&lt;&gt;¨N/A¨))</xm:f>
            <x14:dxf>
              <fill>
                <patternFill>
                  <bgColor theme="1" tint="0.499984740745262"/>
                </patternFill>
              </fill>
            </x14:dxf>
          </x14:cfRule>
          <x14:cfRule type="expression" priority="6903" stopIfTrue="1" id="{A5932076-8B86-45D2-A953-A361B8DF46E1}">
            <xm:f>AND(IF(AE124='F:\Users\norela.briceno\Documents\Plan de acción\Plan Accion 2018\[Plan Accion Integrado ADRES Vigencia 2018 con Cuadro de Mando V6..xlsx]Plan de Accion 2018'!#REF!,AE124&lt;&gt;"N/A"))</xm:f>
            <x14:dxf>
              <fill>
                <patternFill>
                  <bgColor rgb="FF00B050"/>
                </patternFill>
              </fill>
            </x14:dxf>
          </x14:cfRule>
          <x14:cfRule type="expression" priority="6904" stopIfTrue="1" id="{7A78EF05-7C62-4AA2-91AD-BE116291B4EC}">
            <xm:f>AND(IF(AE124&lt;'F:\Users\norela.briceno\Documents\Plan de acción\Plan Accion 2018\[Plan Accion Integrado ADRES Vigencia 2018 con Cuadro de Mando V6..xlsx]Plan de Accion 2018'!#REF!,AE124&lt;&gt;"N/A"))</xm:f>
            <x14:dxf>
              <fill>
                <patternFill>
                  <bgColor indexed="10"/>
                </patternFill>
              </fill>
            </x14:dxf>
          </x14:cfRule>
          <xm:sqref>AE124</xm:sqref>
        </x14:conditionalFormatting>
        <x14:conditionalFormatting xmlns:xm="http://schemas.microsoft.com/office/excel/2006/main">
          <x14:cfRule type="expression" priority="6839" id="{345FDADD-7F8F-482C-A6CD-A7D6CC1EFDCB}">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6840" stopIfTrue="1" id="{EA2517A4-FB06-4548-8593-E8EF7D3BCD83}">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6841" stopIfTrue="1" id="{45515485-A3E2-4761-8337-DCE0F77294F2}">
            <xm:f>AND(IF(J125&lt;'F:\Users\norela.briceno\Documents\Plan de acción\Plan Accion 2018\[Plan Accion Integrado ADRES Vigencia 2018 con Cuadro de Mando V6..xlsx]Plan de Accion 2018'!#REF!,J125&lt;&gt;"N/A"))</xm:f>
            <x14:dxf>
              <fill>
                <patternFill>
                  <bgColor indexed="10"/>
                </patternFill>
              </fill>
            </x14:dxf>
          </x14:cfRule>
          <xm:sqref>J125 Q125 AE125 X125</xm:sqref>
        </x14:conditionalFormatting>
        <x14:conditionalFormatting xmlns:xm="http://schemas.microsoft.com/office/excel/2006/main">
          <x14:cfRule type="expression" priority="6836" id="{4EDD34F0-4064-4E35-925A-1E6A03959CEA}">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6837" stopIfTrue="1" id="{8D1DC3C2-8550-421B-BEDB-D7AC87A06BD8}">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6838" stopIfTrue="1" id="{320B4BAA-2542-47A9-9D77-51AC705062BA}">
            <xm:f>AND(IF(J125&lt;'F:\Users\norela.briceno\Documents\Plan de acción\Plan Accion 2018\[Plan Accion Integrado ADRES Vigencia 2018 con Cuadro de Mando V6..xlsx]Plan de Accion 2018'!#REF!,J125&lt;&gt;"N/A"))</xm:f>
            <x14:dxf>
              <fill>
                <patternFill>
                  <bgColor indexed="10"/>
                </patternFill>
              </fill>
            </x14:dxf>
          </x14:cfRule>
          <xm:sqref>J125</xm:sqref>
        </x14:conditionalFormatting>
        <x14:conditionalFormatting xmlns:xm="http://schemas.microsoft.com/office/excel/2006/main">
          <x14:cfRule type="expression" priority="6833" id="{74446AF8-2983-4A7F-9007-0A1C02CBF0BF}">
            <xm:f>AND(IF(Q125&gt;'F:\Users\norela.briceno\Documents\Plan de acción\Plan Accion 2018\[Plan Accion Integrado ADRES Vigencia 2018 con Cuadro de Mando V6..xlsx]Plan de Accion 2018'!#REF!,Q125&lt;&gt;¨N/A¨))</xm:f>
            <x14:dxf>
              <fill>
                <patternFill>
                  <bgColor theme="1" tint="0.499984740745262"/>
                </patternFill>
              </fill>
            </x14:dxf>
          </x14:cfRule>
          <x14:cfRule type="expression" priority="6834" stopIfTrue="1" id="{A9E34C62-635E-4344-B123-D799AC94ABAC}">
            <xm:f>AND(IF(Q125='F:\Users\norela.briceno\Documents\Plan de acción\Plan Accion 2018\[Plan Accion Integrado ADRES Vigencia 2018 con Cuadro de Mando V6..xlsx]Plan de Accion 2018'!#REF!,Q125&lt;&gt;"N/A"))</xm:f>
            <x14:dxf>
              <fill>
                <patternFill>
                  <bgColor rgb="FF00B050"/>
                </patternFill>
              </fill>
            </x14:dxf>
          </x14:cfRule>
          <x14:cfRule type="expression" priority="6835" stopIfTrue="1" id="{B29F14C2-D20D-4E53-B6BA-BB950632B9B0}">
            <xm:f>AND(IF(Q125&lt;'F:\Users\norela.briceno\Documents\Plan de acción\Plan Accion 2018\[Plan Accion Integrado ADRES Vigencia 2018 con Cuadro de Mando V6..xlsx]Plan de Accion 2018'!#REF!,Q125&lt;&gt;"N/A"))</xm:f>
            <x14:dxf>
              <fill>
                <patternFill>
                  <bgColor indexed="10"/>
                </patternFill>
              </fill>
            </x14:dxf>
          </x14:cfRule>
          <xm:sqref>Q125</xm:sqref>
        </x14:conditionalFormatting>
        <x14:conditionalFormatting xmlns:xm="http://schemas.microsoft.com/office/excel/2006/main">
          <x14:cfRule type="expression" priority="6830" id="{650931FF-D608-439A-BE9B-24636D01892B}">
            <xm:f>AND(IF(X125&gt;'F:\Users\norela.briceno\Documents\Plan de acción\Plan Accion 2018\[Plan Accion Integrado ADRES Vigencia 2018 con Cuadro de Mando V6..xlsx]Plan de Accion 2018'!#REF!,X125&lt;&gt;¨N/A¨))</xm:f>
            <x14:dxf>
              <fill>
                <patternFill>
                  <bgColor theme="1" tint="0.499984740745262"/>
                </patternFill>
              </fill>
            </x14:dxf>
          </x14:cfRule>
          <x14:cfRule type="expression" priority="6831" stopIfTrue="1" id="{5741FDAB-E186-4657-85A8-0C0699D80AC3}">
            <xm:f>AND(IF(X125='F:\Users\norela.briceno\Documents\Plan de acción\Plan Accion 2018\[Plan Accion Integrado ADRES Vigencia 2018 con Cuadro de Mando V6..xlsx]Plan de Accion 2018'!#REF!,X125&lt;&gt;"N/A"))</xm:f>
            <x14:dxf>
              <fill>
                <patternFill>
                  <bgColor rgb="FF00B050"/>
                </patternFill>
              </fill>
            </x14:dxf>
          </x14:cfRule>
          <x14:cfRule type="expression" priority="6832" stopIfTrue="1" id="{FCEEF355-FF58-4EFC-8FCF-6CBDBA27273C}">
            <xm:f>AND(IF(X125&lt;'F:\Users\norela.briceno\Documents\Plan de acción\Plan Accion 2018\[Plan Accion Integrado ADRES Vigencia 2018 con Cuadro de Mando V6..xlsx]Plan de Accion 2018'!#REF!,X125&lt;&gt;"N/A"))</xm:f>
            <x14:dxf>
              <fill>
                <patternFill>
                  <bgColor indexed="10"/>
                </patternFill>
              </fill>
            </x14:dxf>
          </x14:cfRule>
          <xm:sqref>X125</xm:sqref>
        </x14:conditionalFormatting>
        <x14:conditionalFormatting xmlns:xm="http://schemas.microsoft.com/office/excel/2006/main">
          <x14:cfRule type="expression" priority="6827" id="{E2EA5FDB-54F0-4BD5-A2D2-8859486BD2FE}">
            <xm:f>AND(IF(AE125&gt;'F:\Users\norela.briceno\Documents\Plan de acción\Plan Accion 2018\[Plan Accion Integrado ADRES Vigencia 2018 con Cuadro de Mando V6..xlsx]Plan de Accion 2018'!#REF!,AE125&lt;&gt;¨N/A¨))</xm:f>
            <x14:dxf>
              <fill>
                <patternFill>
                  <bgColor theme="1" tint="0.499984740745262"/>
                </patternFill>
              </fill>
            </x14:dxf>
          </x14:cfRule>
          <x14:cfRule type="expression" priority="6828" stopIfTrue="1" id="{382AE90A-4427-472D-97ED-51B37B20C0B0}">
            <xm:f>AND(IF(AE125='F:\Users\norela.briceno\Documents\Plan de acción\Plan Accion 2018\[Plan Accion Integrado ADRES Vigencia 2018 con Cuadro de Mando V6..xlsx]Plan de Accion 2018'!#REF!,AE125&lt;&gt;"N/A"))</xm:f>
            <x14:dxf>
              <fill>
                <patternFill>
                  <bgColor rgb="FF00B050"/>
                </patternFill>
              </fill>
            </x14:dxf>
          </x14:cfRule>
          <x14:cfRule type="expression" priority="6829" stopIfTrue="1" id="{02E45371-9C5D-4E28-A09B-8C243E013616}">
            <xm:f>AND(IF(AE125&lt;'F:\Users\norela.briceno\Documents\Plan de acción\Plan Accion 2018\[Plan Accion Integrado ADRES Vigencia 2018 con Cuadro de Mando V6..xlsx]Plan de Accion 2018'!#REF!,AE125&lt;&gt;"N/A"))</xm:f>
            <x14:dxf>
              <fill>
                <patternFill>
                  <bgColor indexed="10"/>
                </patternFill>
              </fill>
            </x14:dxf>
          </x14:cfRule>
          <xm:sqref>AE125</xm:sqref>
        </x14:conditionalFormatting>
        <x14:conditionalFormatting xmlns:xm="http://schemas.microsoft.com/office/excel/2006/main">
          <x14:cfRule type="expression" priority="6764" id="{10B74661-DECF-4DA0-A6EB-0ACC5BC9A9FB}">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6765" stopIfTrue="1" id="{13F241C3-0439-4FDB-B321-E557CF6C5B76}">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6766" stopIfTrue="1" id="{BA2CAEA7-6800-4190-9ABD-1909AFBCD330}">
            <xm:f>AND(IF(J126&lt;'F:\Users\norela.briceno\Documents\Plan de acción\Plan Accion 2018\[Plan Accion Integrado ADRES Vigencia 2018 con Cuadro de Mando V6..xlsx]Plan de Accion 2018'!#REF!,J126&lt;&gt;"N/A"))</xm:f>
            <x14:dxf>
              <fill>
                <patternFill>
                  <bgColor indexed="10"/>
                </patternFill>
              </fill>
            </x14:dxf>
          </x14:cfRule>
          <xm:sqref>J126 Q126 AE126 X126</xm:sqref>
        </x14:conditionalFormatting>
        <x14:conditionalFormatting xmlns:xm="http://schemas.microsoft.com/office/excel/2006/main">
          <x14:cfRule type="expression" priority="6761" id="{DA4764F5-DEDC-4005-86DB-0991DC5AE45F}">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6762" stopIfTrue="1" id="{BD86F5C8-294D-41F9-8F21-A132BE1CE4FC}">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6763" stopIfTrue="1" id="{6D6BE3B4-E2B3-427A-8465-968AC720CED4}">
            <xm:f>AND(IF(J126&lt;'F:\Users\norela.briceno\Documents\Plan de acción\Plan Accion 2018\[Plan Accion Integrado ADRES Vigencia 2018 con Cuadro de Mando V6..xlsx]Plan de Accion 2018'!#REF!,J126&lt;&gt;"N/A"))</xm:f>
            <x14:dxf>
              <fill>
                <patternFill>
                  <bgColor indexed="10"/>
                </patternFill>
              </fill>
            </x14:dxf>
          </x14:cfRule>
          <xm:sqref>J126</xm:sqref>
        </x14:conditionalFormatting>
        <x14:conditionalFormatting xmlns:xm="http://schemas.microsoft.com/office/excel/2006/main">
          <x14:cfRule type="expression" priority="6758" id="{6ECC91BD-5A51-4821-A85E-323E4B0F35A6}">
            <xm:f>AND(IF(Q126&gt;'F:\Users\norela.briceno\Documents\Plan de acción\Plan Accion 2018\[Plan Accion Integrado ADRES Vigencia 2018 con Cuadro de Mando V6..xlsx]Plan de Accion 2018'!#REF!,Q126&lt;&gt;¨N/A¨))</xm:f>
            <x14:dxf>
              <fill>
                <patternFill>
                  <bgColor theme="1" tint="0.499984740745262"/>
                </patternFill>
              </fill>
            </x14:dxf>
          </x14:cfRule>
          <x14:cfRule type="expression" priority="6759" stopIfTrue="1" id="{CAA6DECE-62B4-4FBE-B02C-8E6DE640F97A}">
            <xm:f>AND(IF(Q126='F:\Users\norela.briceno\Documents\Plan de acción\Plan Accion 2018\[Plan Accion Integrado ADRES Vigencia 2018 con Cuadro de Mando V6..xlsx]Plan de Accion 2018'!#REF!,Q126&lt;&gt;"N/A"))</xm:f>
            <x14:dxf>
              <fill>
                <patternFill>
                  <bgColor rgb="FF00B050"/>
                </patternFill>
              </fill>
            </x14:dxf>
          </x14:cfRule>
          <x14:cfRule type="expression" priority="6760" stopIfTrue="1" id="{3A83D889-8706-4DE3-956D-89156E686470}">
            <xm:f>AND(IF(Q126&lt;'F:\Users\norela.briceno\Documents\Plan de acción\Plan Accion 2018\[Plan Accion Integrado ADRES Vigencia 2018 con Cuadro de Mando V6..xlsx]Plan de Accion 2018'!#REF!,Q126&lt;&gt;"N/A"))</xm:f>
            <x14:dxf>
              <fill>
                <patternFill>
                  <bgColor indexed="10"/>
                </patternFill>
              </fill>
            </x14:dxf>
          </x14:cfRule>
          <xm:sqref>Q126</xm:sqref>
        </x14:conditionalFormatting>
        <x14:conditionalFormatting xmlns:xm="http://schemas.microsoft.com/office/excel/2006/main">
          <x14:cfRule type="expression" priority="6755" id="{B0C872D9-EB57-4455-966E-ADCF3340E2F7}">
            <xm:f>AND(IF(X126&gt;'F:\Users\norela.briceno\Documents\Plan de acción\Plan Accion 2018\[Plan Accion Integrado ADRES Vigencia 2018 con Cuadro de Mando V6..xlsx]Plan de Accion 2018'!#REF!,X126&lt;&gt;¨N/A¨))</xm:f>
            <x14:dxf>
              <fill>
                <patternFill>
                  <bgColor theme="1" tint="0.499984740745262"/>
                </patternFill>
              </fill>
            </x14:dxf>
          </x14:cfRule>
          <x14:cfRule type="expression" priority="6756" stopIfTrue="1" id="{09A8D678-B386-46FA-806C-8315863C8204}">
            <xm:f>AND(IF(X126='F:\Users\norela.briceno\Documents\Plan de acción\Plan Accion 2018\[Plan Accion Integrado ADRES Vigencia 2018 con Cuadro de Mando V6..xlsx]Plan de Accion 2018'!#REF!,X126&lt;&gt;"N/A"))</xm:f>
            <x14:dxf>
              <fill>
                <patternFill>
                  <bgColor rgb="FF00B050"/>
                </patternFill>
              </fill>
            </x14:dxf>
          </x14:cfRule>
          <x14:cfRule type="expression" priority="6757" stopIfTrue="1" id="{37D62358-E5D0-4946-8216-BDF22682BD7B}">
            <xm:f>AND(IF(X126&lt;'F:\Users\norela.briceno\Documents\Plan de acción\Plan Accion 2018\[Plan Accion Integrado ADRES Vigencia 2018 con Cuadro de Mando V6..xlsx]Plan de Accion 2018'!#REF!,X126&lt;&gt;"N/A"))</xm:f>
            <x14:dxf>
              <fill>
                <patternFill>
                  <bgColor indexed="10"/>
                </patternFill>
              </fill>
            </x14:dxf>
          </x14:cfRule>
          <xm:sqref>X126</xm:sqref>
        </x14:conditionalFormatting>
        <x14:conditionalFormatting xmlns:xm="http://schemas.microsoft.com/office/excel/2006/main">
          <x14:cfRule type="expression" priority="6752" id="{33DB1820-9E39-42EE-A288-56AFD16C2A0C}">
            <xm:f>AND(IF(AE126&gt;'F:\Users\norela.briceno\Documents\Plan de acción\Plan Accion 2018\[Plan Accion Integrado ADRES Vigencia 2018 con Cuadro de Mando V6..xlsx]Plan de Accion 2018'!#REF!,AE126&lt;&gt;¨N/A¨))</xm:f>
            <x14:dxf>
              <fill>
                <patternFill>
                  <bgColor theme="1" tint="0.499984740745262"/>
                </patternFill>
              </fill>
            </x14:dxf>
          </x14:cfRule>
          <x14:cfRule type="expression" priority="6753" stopIfTrue="1" id="{3D8DBBB0-283B-42EF-BC8C-C00F5F2A8FE2}">
            <xm:f>AND(IF(AE126='F:\Users\norela.briceno\Documents\Plan de acción\Plan Accion 2018\[Plan Accion Integrado ADRES Vigencia 2018 con Cuadro de Mando V6..xlsx]Plan de Accion 2018'!#REF!,AE126&lt;&gt;"N/A"))</xm:f>
            <x14:dxf>
              <fill>
                <patternFill>
                  <bgColor rgb="FF00B050"/>
                </patternFill>
              </fill>
            </x14:dxf>
          </x14:cfRule>
          <x14:cfRule type="expression" priority="6754" stopIfTrue="1" id="{416C0F02-6A67-4560-B2E9-8E65F4B12CA8}">
            <xm:f>AND(IF(AE126&lt;'F:\Users\norela.briceno\Documents\Plan de acción\Plan Accion 2018\[Plan Accion Integrado ADRES Vigencia 2018 con Cuadro de Mando V6..xlsx]Plan de Accion 2018'!#REF!,AE126&lt;&gt;"N/A"))</xm:f>
            <x14:dxf>
              <fill>
                <patternFill>
                  <bgColor indexed="10"/>
                </patternFill>
              </fill>
            </x14:dxf>
          </x14:cfRule>
          <xm:sqref>AE126</xm:sqref>
        </x14:conditionalFormatting>
        <x14:conditionalFormatting xmlns:xm="http://schemas.microsoft.com/office/excel/2006/main">
          <x14:cfRule type="expression" priority="6689" id="{95E31C7C-BFB5-431B-98E2-787EB1E03027}">
            <xm:f>AND(IF(J180&gt;'F:\Users\norela.briceno\Documents\Plan de acción\Plan Accion 2018\[Plan Accion Integrado ADRES Vigencia 2018 con Cuadro de Mando V6..xlsx]Plan de Accion 2018'!#REF!,J180&lt;&gt;¨N/A¨))</xm:f>
            <x14:dxf>
              <fill>
                <patternFill>
                  <bgColor theme="1" tint="0.499984740745262"/>
                </patternFill>
              </fill>
            </x14:dxf>
          </x14:cfRule>
          <x14:cfRule type="expression" priority="6690" stopIfTrue="1" id="{A9B2D0FF-8D2A-4C3E-A3CD-868E70C9F84E}">
            <xm:f>AND(IF(J180='F:\Users\norela.briceno\Documents\Plan de acción\Plan Accion 2018\[Plan Accion Integrado ADRES Vigencia 2018 con Cuadro de Mando V6..xlsx]Plan de Accion 2018'!#REF!,J180&lt;&gt;"N/A"))</xm:f>
            <x14:dxf>
              <fill>
                <patternFill>
                  <bgColor rgb="FF00B050"/>
                </patternFill>
              </fill>
            </x14:dxf>
          </x14:cfRule>
          <x14:cfRule type="expression" priority="6691" stopIfTrue="1" id="{EE45E443-5FB9-4506-896E-8022BB59AA38}">
            <xm:f>AND(IF(J180&lt;'F:\Users\norela.briceno\Documents\Plan de acción\Plan Accion 2018\[Plan Accion Integrado ADRES Vigencia 2018 con Cuadro de Mando V6..xlsx]Plan de Accion 2018'!#REF!,J180&lt;&gt;"N/A"))</xm:f>
            <x14:dxf>
              <fill>
                <patternFill>
                  <bgColor indexed="10"/>
                </patternFill>
              </fill>
            </x14:dxf>
          </x14:cfRule>
          <xm:sqref>J180 Q180 X180 AE180</xm:sqref>
        </x14:conditionalFormatting>
        <x14:conditionalFormatting xmlns:xm="http://schemas.microsoft.com/office/excel/2006/main">
          <x14:cfRule type="expression" priority="6586" id="{3FA35CF8-1E0A-42C8-9397-A39A41AF6741}">
            <xm:f>AND(IF(J268&gt;'F:\Users\norela.briceno\Documents\Plan de acción\Plan Accion 2018\[Plan Accion Integrado ADRES Vigencia 2018 con Cuadro de Mando V6..xlsx]Plan de Accion 2018'!#REF!,J268&lt;&gt;¨N/A¨))</xm:f>
            <x14:dxf>
              <fill>
                <patternFill>
                  <bgColor theme="1" tint="0.499984740745262"/>
                </patternFill>
              </fill>
            </x14:dxf>
          </x14:cfRule>
          <x14:cfRule type="expression" priority="6587" stopIfTrue="1" id="{E07CA0F3-60AD-4A30-9B30-C62EE5DC2373}">
            <xm:f>AND(IF(J268='F:\Users\norela.briceno\Documents\Plan de acción\Plan Accion 2018\[Plan Accion Integrado ADRES Vigencia 2018 con Cuadro de Mando V6..xlsx]Plan de Accion 2018'!#REF!,J268&lt;&gt;"N/A"))</xm:f>
            <x14:dxf>
              <fill>
                <patternFill>
                  <bgColor rgb="FF00B050"/>
                </patternFill>
              </fill>
            </x14:dxf>
          </x14:cfRule>
          <x14:cfRule type="expression" priority="6588" stopIfTrue="1" id="{1A4E7518-EAE7-46E1-946C-FB2DED991932}">
            <xm:f>AND(IF(J268&lt;'F:\Users\norela.briceno\Documents\Plan de acción\Plan Accion 2018\[Plan Accion Integrado ADRES Vigencia 2018 con Cuadro de Mando V6..xlsx]Plan de Accion 2018'!#REF!,J268&lt;&gt;"N/A"))</xm:f>
            <x14:dxf>
              <fill>
                <patternFill>
                  <bgColor indexed="10"/>
                </patternFill>
              </fill>
            </x14:dxf>
          </x14:cfRule>
          <xm:sqref>J268 Q268 X268 AE268</xm:sqref>
        </x14:conditionalFormatting>
        <x14:conditionalFormatting xmlns:xm="http://schemas.microsoft.com/office/excel/2006/main">
          <x14:cfRule type="expression" priority="6523" id="{945D5B08-7867-4D7A-9593-19735A2D5490}">
            <xm:f>AND(IF(J271&gt;'F:\Users\norela.briceno\Documents\Plan de acción\Plan Accion 2018\[Plan Accion Integrado ADRES Vigencia 2018 con Cuadro de Mando V6..xlsx]Plan de Accion 2018'!#REF!,J271&lt;&gt;¨N/A¨))</xm:f>
            <x14:dxf>
              <fill>
                <patternFill>
                  <bgColor theme="1" tint="0.499984740745262"/>
                </patternFill>
              </fill>
            </x14:dxf>
          </x14:cfRule>
          <x14:cfRule type="expression" priority="6524" stopIfTrue="1" id="{BAE454C2-7892-49E4-B334-1DD65ED62880}">
            <xm:f>AND(IF(J271='F:\Users\norela.briceno\Documents\Plan de acción\Plan Accion 2018\[Plan Accion Integrado ADRES Vigencia 2018 con Cuadro de Mando V6..xlsx]Plan de Accion 2018'!#REF!,J271&lt;&gt;"N/A"))</xm:f>
            <x14:dxf>
              <fill>
                <patternFill>
                  <bgColor rgb="FF00B050"/>
                </patternFill>
              </fill>
            </x14:dxf>
          </x14:cfRule>
          <x14:cfRule type="expression" priority="6525" stopIfTrue="1" id="{1C167587-FD4E-449F-9F13-FAE22FEC69C6}">
            <xm:f>AND(IF(J271&lt;'F:\Users\norela.briceno\Documents\Plan de acción\Plan Accion 2018\[Plan Accion Integrado ADRES Vigencia 2018 con Cuadro de Mando V6..xlsx]Plan de Accion 2018'!#REF!,J271&lt;&gt;"N/A"))</xm:f>
            <x14:dxf>
              <fill>
                <patternFill>
                  <bgColor indexed="10"/>
                </patternFill>
              </fill>
            </x14:dxf>
          </x14:cfRule>
          <xm:sqref>J271 Q271 X271 AE271</xm:sqref>
        </x14:conditionalFormatting>
        <x14:conditionalFormatting xmlns:xm="http://schemas.microsoft.com/office/excel/2006/main">
          <x14:cfRule type="expression" priority="6460" id="{EE5E8DBF-3EC7-465A-892C-58DADDEB7293}">
            <xm:f>AND(IF(J276&gt;'F:\Users\norela.briceno\Documents\Plan de acción\Plan Accion 2018\[Plan Accion Integrado ADRES Vigencia 2018 con Cuadro de Mando V6..xlsx]Plan de Accion 2018'!#REF!,J276&lt;&gt;¨N/A¨))</xm:f>
            <x14:dxf>
              <fill>
                <patternFill>
                  <bgColor theme="1" tint="0.499984740745262"/>
                </patternFill>
              </fill>
            </x14:dxf>
          </x14:cfRule>
          <x14:cfRule type="expression" priority="6461" stopIfTrue="1" id="{CEABEA3A-8438-45C0-A6C3-128BD24B73C3}">
            <xm:f>AND(IF(J276='F:\Users\norela.briceno\Documents\Plan de acción\Plan Accion 2018\[Plan Accion Integrado ADRES Vigencia 2018 con Cuadro de Mando V6..xlsx]Plan de Accion 2018'!#REF!,J276&lt;&gt;"N/A"))</xm:f>
            <x14:dxf>
              <fill>
                <patternFill>
                  <bgColor rgb="FF00B050"/>
                </patternFill>
              </fill>
            </x14:dxf>
          </x14:cfRule>
          <x14:cfRule type="expression" priority="6462" stopIfTrue="1" id="{A9C4F5D4-6437-430C-9169-FEF92E0F5526}">
            <xm:f>AND(IF(J276&lt;'F:\Users\norela.briceno\Documents\Plan de acción\Plan Accion 2018\[Plan Accion Integrado ADRES Vigencia 2018 con Cuadro de Mando V6..xlsx]Plan de Accion 2018'!#REF!,J276&lt;&gt;"N/A"))</xm:f>
            <x14:dxf>
              <fill>
                <patternFill>
                  <bgColor indexed="10"/>
                </patternFill>
              </fill>
            </x14:dxf>
          </x14:cfRule>
          <xm:sqref>J276 Q276 X276 AE276</xm:sqref>
        </x14:conditionalFormatting>
        <x14:conditionalFormatting xmlns:xm="http://schemas.microsoft.com/office/excel/2006/main">
          <x14:cfRule type="expression" priority="6334" id="{3DB16393-4112-40C2-ACB4-C5DBF3C1C15E}">
            <xm:f>AND(IF(J277&gt;'F:\Users\norela.briceno\Documents\Plan de acción\Plan Accion 2018\[Plan Accion Integrado ADRES Vigencia 2018 con Cuadro de Mando V6..xlsx]Plan de Accion 2018'!#REF!,J277&lt;&gt;¨N/A¨))</xm:f>
            <x14:dxf>
              <fill>
                <patternFill>
                  <bgColor theme="1" tint="0.499984740745262"/>
                </patternFill>
              </fill>
            </x14:dxf>
          </x14:cfRule>
          <x14:cfRule type="expression" priority="6335" stopIfTrue="1" id="{4ABFA1EC-1377-43AE-9592-A3E3FC115AAC}">
            <xm:f>AND(IF(J277='F:\Users\norela.briceno\Documents\Plan de acción\Plan Accion 2018\[Plan Accion Integrado ADRES Vigencia 2018 con Cuadro de Mando V6..xlsx]Plan de Accion 2018'!#REF!,J277&lt;&gt;"N/A"))</xm:f>
            <x14:dxf>
              <fill>
                <patternFill>
                  <bgColor rgb="FF00B050"/>
                </patternFill>
              </fill>
            </x14:dxf>
          </x14:cfRule>
          <x14:cfRule type="expression" priority="6336" stopIfTrue="1" id="{AC8E1CDE-380B-4F2A-943B-766F6666EC75}">
            <xm:f>AND(IF(J277&lt;'F:\Users\norela.briceno\Documents\Plan de acción\Plan Accion 2018\[Plan Accion Integrado ADRES Vigencia 2018 con Cuadro de Mando V6..xlsx]Plan de Accion 2018'!#REF!,J277&lt;&gt;"N/A"))</xm:f>
            <x14:dxf>
              <fill>
                <patternFill>
                  <bgColor indexed="10"/>
                </patternFill>
              </fill>
            </x14:dxf>
          </x14:cfRule>
          <xm:sqref>J277 Q277 X277 AE277</xm:sqref>
        </x14:conditionalFormatting>
        <x14:conditionalFormatting xmlns:xm="http://schemas.microsoft.com/office/excel/2006/main">
          <x14:cfRule type="expression" priority="6017" id="{DA9804C3-F419-4F03-8472-CEF23CF6863C}">
            <xm:f>AND(IF(Q281&gt;'F:\Users\norela.briceno\Documents\Plan de acción\Plan Accion 2018\[Plan Accion Integrado ADRES Vigencia 2018 con Cuadro de Mando V6..xlsx]Plan de Accion 2018'!#REF!,Q281&lt;&gt;¨N/A¨))</xm:f>
            <x14:dxf>
              <fill>
                <patternFill>
                  <bgColor theme="1" tint="0.499984740745262"/>
                </patternFill>
              </fill>
            </x14:dxf>
          </x14:cfRule>
          <x14:cfRule type="expression" priority="6018" stopIfTrue="1" id="{33FF15E7-8C6E-4073-A86E-6182ADC67501}">
            <xm:f>AND(IF(Q281='F:\Users\norela.briceno\Documents\Plan de acción\Plan Accion 2018\[Plan Accion Integrado ADRES Vigencia 2018 con Cuadro de Mando V6..xlsx]Plan de Accion 2018'!#REF!,Q281&lt;&gt;"N/A"))</xm:f>
            <x14:dxf>
              <fill>
                <patternFill>
                  <bgColor rgb="FF00B050"/>
                </patternFill>
              </fill>
            </x14:dxf>
          </x14:cfRule>
          <x14:cfRule type="expression" priority="6019" stopIfTrue="1" id="{12EA96DF-AB98-413F-9170-6142D1EE7770}">
            <xm:f>AND(IF(Q281&lt;'F:\Users\norela.briceno\Documents\Plan de acción\Plan Accion 2018\[Plan Accion Integrado ADRES Vigencia 2018 con Cuadro de Mando V6..xlsx]Plan de Accion 2018'!#REF!,Q281&lt;&gt;"N/A"))</xm:f>
            <x14:dxf>
              <fill>
                <patternFill>
                  <bgColor indexed="10"/>
                </patternFill>
              </fill>
            </x14:dxf>
          </x14:cfRule>
          <xm:sqref>Q281 X281 AE281</xm:sqref>
        </x14:conditionalFormatting>
        <x14:conditionalFormatting xmlns:xm="http://schemas.microsoft.com/office/excel/2006/main">
          <x14:cfRule type="expression" priority="5127" id="{7FBC66E1-80BF-4EC2-846C-CEF70A797407}">
            <xm:f>AND(IF(J283&gt;'F:\Users\norela.briceno\Documents\Plan de acción\Plan Accion 2018\[Plan Accion Integrado ADRES Vigencia 2018 con Cuadro de Mando V6..xlsx]Plan de Accion 2018'!#REF!,J283&lt;&gt;¨N/A¨))</xm:f>
            <x14:dxf>
              <fill>
                <patternFill>
                  <bgColor theme="1" tint="0.499984740745262"/>
                </patternFill>
              </fill>
            </x14:dxf>
          </x14:cfRule>
          <x14:cfRule type="expression" priority="5128" stopIfTrue="1" id="{B6DBF9F6-2D89-425D-80A7-9FB2AF09A9BC}">
            <xm:f>AND(IF(J283='F:\Users\norela.briceno\Documents\Plan de acción\Plan Accion 2018\[Plan Accion Integrado ADRES Vigencia 2018 con Cuadro de Mando V6..xlsx]Plan de Accion 2018'!#REF!,J283&lt;&gt;"N/A"))</xm:f>
            <x14:dxf>
              <fill>
                <patternFill>
                  <bgColor rgb="FF00B050"/>
                </patternFill>
              </fill>
            </x14:dxf>
          </x14:cfRule>
          <x14:cfRule type="expression" priority="5129" stopIfTrue="1" id="{CB724BC3-B644-4DD7-BDD4-1EDC670D319A}">
            <xm:f>AND(IF(J283&lt;'F:\Users\norela.briceno\Documents\Plan de acción\Plan Accion 2018\[Plan Accion Integrado ADRES Vigencia 2018 con Cuadro de Mando V6..xlsx]Plan de Accion 2018'!#REF!,J283&lt;&gt;"N/A"))</xm:f>
            <x14:dxf>
              <fill>
                <patternFill>
                  <bgColor indexed="10"/>
                </patternFill>
              </fill>
            </x14:dxf>
          </x14:cfRule>
          <xm:sqref>J283 Q283 X283 AE283</xm:sqref>
        </x14:conditionalFormatting>
        <x14:conditionalFormatting xmlns:xm="http://schemas.microsoft.com/office/excel/2006/main">
          <x14:cfRule type="expression" priority="5039" id="{E6815D59-EC6B-469B-BA39-F4832B6FAB07}">
            <xm:f>AND(IF(J284&gt;'F:\Users\norela.briceno\Documents\Plan de acción\Plan Accion 2018\[Plan Accion Integrado ADRES Vigencia 2018 con Cuadro de Mando V6..xlsx]Plan de Accion 2018'!#REF!,J284&lt;&gt;¨N/A¨))</xm:f>
            <x14:dxf>
              <fill>
                <patternFill>
                  <bgColor theme="1" tint="0.499984740745262"/>
                </patternFill>
              </fill>
            </x14:dxf>
          </x14:cfRule>
          <x14:cfRule type="expression" priority="5040" stopIfTrue="1" id="{6B638114-E0DA-4E6F-BA05-A0224FB60265}">
            <xm:f>AND(IF(J284='F:\Users\norela.briceno\Documents\Plan de acción\Plan Accion 2018\[Plan Accion Integrado ADRES Vigencia 2018 con Cuadro de Mando V6..xlsx]Plan de Accion 2018'!#REF!,J284&lt;&gt;"N/A"))</xm:f>
            <x14:dxf>
              <fill>
                <patternFill>
                  <bgColor rgb="FF00B050"/>
                </patternFill>
              </fill>
            </x14:dxf>
          </x14:cfRule>
          <x14:cfRule type="expression" priority="5041" stopIfTrue="1" id="{F9583275-9359-4C02-ABBC-65F156299A99}">
            <xm:f>AND(IF(J284&lt;'F:\Users\norela.briceno\Documents\Plan de acción\Plan Accion 2018\[Plan Accion Integrado ADRES Vigencia 2018 con Cuadro de Mando V6..xlsx]Plan de Accion 2018'!#REF!,J284&lt;&gt;"N/A"))</xm:f>
            <x14:dxf>
              <fill>
                <patternFill>
                  <bgColor indexed="10"/>
                </patternFill>
              </fill>
            </x14:dxf>
          </x14:cfRule>
          <xm:sqref>J284 Q284 X284 AE284</xm:sqref>
        </x14:conditionalFormatting>
        <x14:conditionalFormatting xmlns:xm="http://schemas.microsoft.com/office/excel/2006/main">
          <x14:cfRule type="expression" priority="4893" id="{7E34D8BF-FB72-4755-942F-CA87596B1D7C}">
            <xm:f>AND(IF(J189&gt;'F:\Users\norela.briceno\Documents\Plan de acción\Plan Accion 2018\[Plan Accion Integrado ADRES Vigencia 2018 con Cuadro de Mando V6..xlsx]Plan de Accion 2018'!#REF!,J189&lt;&gt;¨N/A¨))</xm:f>
            <x14:dxf>
              <fill>
                <patternFill>
                  <bgColor theme="1" tint="0.499984740745262"/>
                </patternFill>
              </fill>
            </x14:dxf>
          </x14:cfRule>
          <x14:cfRule type="expression" priority="4894" stopIfTrue="1" id="{16E8DCA2-C25C-482B-AD38-1E8A172A093E}">
            <xm:f>AND(IF(J189='F:\Users\norela.briceno\Documents\Plan de acción\Plan Accion 2018\[Plan Accion Integrado ADRES Vigencia 2018 con Cuadro de Mando V6..xlsx]Plan de Accion 2018'!#REF!,J189&lt;&gt;"N/A"))</xm:f>
            <x14:dxf>
              <fill>
                <patternFill>
                  <bgColor rgb="FF00B050"/>
                </patternFill>
              </fill>
            </x14:dxf>
          </x14:cfRule>
          <x14:cfRule type="expression" priority="4895" stopIfTrue="1" id="{A531E29E-7E36-4CFD-A7DE-B98A7F6CDAA2}">
            <xm:f>AND(IF(J189&lt;'F:\Users\norela.briceno\Documents\Plan de acción\Plan Accion 2018\[Plan Accion Integrado ADRES Vigencia 2018 con Cuadro de Mando V6..xlsx]Plan de Accion 2018'!#REF!,J189&lt;&gt;"N/A"))</xm:f>
            <x14:dxf>
              <fill>
                <patternFill>
                  <bgColor indexed="10"/>
                </patternFill>
              </fill>
            </x14:dxf>
          </x14:cfRule>
          <xm:sqref>J189 X189 Q189 AE189</xm:sqref>
        </x14:conditionalFormatting>
        <x14:conditionalFormatting xmlns:xm="http://schemas.microsoft.com/office/excel/2006/main">
          <x14:cfRule type="expression" priority="4404" id="{244013CA-38AE-4D52-9489-69B43CEFDBCD}">
            <xm:f>AND(IF(J144&gt;'F:\Users\norela.briceno\Documents\Plan de acción\Plan Accion 2018\[Plan Accion Integrado ADRES Vigencia 2018 con Cuadro de Mando V6..xlsx]Plan de Accion 2018'!#REF!,J144&lt;&gt;¨N/A¨))</xm:f>
            <x14:dxf>
              <fill>
                <patternFill>
                  <bgColor theme="1" tint="0.499984740745262"/>
                </patternFill>
              </fill>
            </x14:dxf>
          </x14:cfRule>
          <x14:cfRule type="expression" priority="4405" stopIfTrue="1" id="{D3E6DFF6-8AEA-4050-BAA5-CE675D2FA083}">
            <xm:f>AND(IF(J144='F:\Users\norela.briceno\Documents\Plan de acción\Plan Accion 2018\[Plan Accion Integrado ADRES Vigencia 2018 con Cuadro de Mando V6..xlsx]Plan de Accion 2018'!#REF!,J144&lt;&gt;"N/A"))</xm:f>
            <x14:dxf>
              <fill>
                <patternFill>
                  <bgColor rgb="FF00B050"/>
                </patternFill>
              </fill>
            </x14:dxf>
          </x14:cfRule>
          <x14:cfRule type="expression" priority="4406" stopIfTrue="1" id="{302F416C-3D19-48F1-81F6-1B946C3503E0}">
            <xm:f>AND(IF(J144&lt;'F:\Users\norela.briceno\Documents\Plan de acción\Plan Accion 2018\[Plan Accion Integrado ADRES Vigencia 2018 con Cuadro de Mando V6..xlsx]Plan de Accion 2018'!#REF!,J144&lt;&gt;"N/A"))</xm:f>
            <x14:dxf>
              <fill>
                <patternFill>
                  <bgColor indexed="10"/>
                </patternFill>
              </fill>
            </x14:dxf>
          </x14:cfRule>
          <xm:sqref>J144</xm:sqref>
        </x14:conditionalFormatting>
        <x14:conditionalFormatting xmlns:xm="http://schemas.microsoft.com/office/excel/2006/main">
          <x14:cfRule type="expression" priority="4401" id="{0A44516A-C574-4507-BDA0-780D8F369963}">
            <xm:f>AND(IF(J145&gt;'F:\Users\norela.briceno\Documents\Plan de acción\Plan Accion 2018\[Plan Accion Integrado ADRES Vigencia 2018 con Cuadro de Mando V6..xlsx]Plan de Accion 2018'!#REF!,J145&lt;&gt;¨N/A¨))</xm:f>
            <x14:dxf>
              <fill>
                <patternFill>
                  <bgColor theme="1" tint="0.499984740745262"/>
                </patternFill>
              </fill>
            </x14:dxf>
          </x14:cfRule>
          <x14:cfRule type="expression" priority="4402" stopIfTrue="1" id="{7278FCE0-F109-4F2A-97F5-7CF72E3E5BDA}">
            <xm:f>AND(IF(J145='F:\Users\norela.briceno\Documents\Plan de acción\Plan Accion 2018\[Plan Accion Integrado ADRES Vigencia 2018 con Cuadro de Mando V6..xlsx]Plan de Accion 2018'!#REF!,J145&lt;&gt;"N/A"))</xm:f>
            <x14:dxf>
              <fill>
                <patternFill>
                  <bgColor rgb="FF00B050"/>
                </patternFill>
              </fill>
            </x14:dxf>
          </x14:cfRule>
          <x14:cfRule type="expression" priority="4403" stopIfTrue="1" id="{8F1E022E-ED9A-476A-86CE-7A6073AAEBA7}">
            <xm:f>AND(IF(J145&lt;'F:\Users\norela.briceno\Documents\Plan de acción\Plan Accion 2018\[Plan Accion Integrado ADRES Vigencia 2018 con Cuadro de Mando V6..xlsx]Plan de Accion 2018'!#REF!,J145&lt;&gt;"N/A"))</xm:f>
            <x14:dxf>
              <fill>
                <patternFill>
                  <bgColor indexed="10"/>
                </patternFill>
              </fill>
            </x14:dxf>
          </x14:cfRule>
          <xm:sqref>J145</xm:sqref>
        </x14:conditionalFormatting>
        <x14:conditionalFormatting xmlns:xm="http://schemas.microsoft.com/office/excel/2006/main">
          <x14:cfRule type="expression" priority="4398" id="{6F5D7FE3-5B01-41C5-9787-3AEF31C470EB}">
            <xm:f>AND(IF(J146&gt;'F:\Users\norela.briceno\Documents\Plan de acción\Plan Accion 2018\[Plan Accion Integrado ADRES Vigencia 2018 con Cuadro de Mando V6..xlsx]Plan de Accion 2018'!#REF!,J146&lt;&gt;¨N/A¨))</xm:f>
            <x14:dxf>
              <fill>
                <patternFill>
                  <bgColor theme="1" tint="0.499984740745262"/>
                </patternFill>
              </fill>
            </x14:dxf>
          </x14:cfRule>
          <x14:cfRule type="expression" priority="4399" stopIfTrue="1" id="{B5466192-6917-4AE5-8BC0-81BABE0A119F}">
            <xm:f>AND(IF(J146='F:\Users\norela.briceno\Documents\Plan de acción\Plan Accion 2018\[Plan Accion Integrado ADRES Vigencia 2018 con Cuadro de Mando V6..xlsx]Plan de Accion 2018'!#REF!,J146&lt;&gt;"N/A"))</xm:f>
            <x14:dxf>
              <fill>
                <patternFill>
                  <bgColor rgb="FF00B050"/>
                </patternFill>
              </fill>
            </x14:dxf>
          </x14:cfRule>
          <x14:cfRule type="expression" priority="4400" stopIfTrue="1" id="{5F9AC662-6C05-475E-ADF2-EC4D887A5B93}">
            <xm:f>AND(IF(J146&lt;'F:\Users\norela.briceno\Documents\Plan de acción\Plan Accion 2018\[Plan Accion Integrado ADRES Vigencia 2018 con Cuadro de Mando V6..xlsx]Plan de Accion 2018'!#REF!,J146&lt;&gt;"N/A"))</xm:f>
            <x14:dxf>
              <fill>
                <patternFill>
                  <bgColor indexed="10"/>
                </patternFill>
              </fill>
            </x14:dxf>
          </x14:cfRule>
          <xm:sqref>J146</xm:sqref>
        </x14:conditionalFormatting>
        <x14:conditionalFormatting xmlns:xm="http://schemas.microsoft.com/office/excel/2006/main">
          <x14:cfRule type="expression" priority="4395" id="{C194BB4B-286D-44AB-AE2D-36F8F89FD8D8}">
            <xm:f>AND(IF(J147&gt;'F:\Users\norela.briceno\Documents\Plan de acción\Plan Accion 2018\[Plan Accion Integrado ADRES Vigencia 2018 con Cuadro de Mando V6..xlsx]Plan de Accion 2018'!#REF!,J147&lt;&gt;¨N/A¨))</xm:f>
            <x14:dxf>
              <fill>
                <patternFill>
                  <bgColor theme="1" tint="0.499984740745262"/>
                </patternFill>
              </fill>
            </x14:dxf>
          </x14:cfRule>
          <x14:cfRule type="expression" priority="4396" stopIfTrue="1" id="{49513C92-228F-4E81-A3F3-5D3F1D4FAA58}">
            <xm:f>AND(IF(J147='F:\Users\norela.briceno\Documents\Plan de acción\Plan Accion 2018\[Plan Accion Integrado ADRES Vigencia 2018 con Cuadro de Mando V6..xlsx]Plan de Accion 2018'!#REF!,J147&lt;&gt;"N/A"))</xm:f>
            <x14:dxf>
              <fill>
                <patternFill>
                  <bgColor rgb="FF00B050"/>
                </patternFill>
              </fill>
            </x14:dxf>
          </x14:cfRule>
          <x14:cfRule type="expression" priority="4397" stopIfTrue="1" id="{D6A6ECFB-0D27-47AA-866E-7BBF297E30CC}">
            <xm:f>AND(IF(J147&lt;'F:\Users\norela.briceno\Documents\Plan de acción\Plan Accion 2018\[Plan Accion Integrado ADRES Vigencia 2018 con Cuadro de Mando V6..xlsx]Plan de Accion 2018'!#REF!,J147&lt;&gt;"N/A"))</xm:f>
            <x14:dxf>
              <fill>
                <patternFill>
                  <bgColor indexed="10"/>
                </patternFill>
              </fill>
            </x14:dxf>
          </x14:cfRule>
          <xm:sqref>J147</xm:sqref>
        </x14:conditionalFormatting>
        <x14:conditionalFormatting xmlns:xm="http://schemas.microsoft.com/office/excel/2006/main">
          <x14:cfRule type="expression" priority="4392" id="{B4933F25-B068-4196-BDF4-EE650820DF1F}">
            <xm:f>AND(IF(J148&gt;'F:\Users\norela.briceno\Documents\Plan de acción\Plan Accion 2018\[Plan Accion Integrado ADRES Vigencia 2018 con Cuadro de Mando V6..xlsx]Plan de Accion 2018'!#REF!,J148&lt;&gt;¨N/A¨))</xm:f>
            <x14:dxf>
              <fill>
                <patternFill>
                  <bgColor theme="1" tint="0.499984740745262"/>
                </patternFill>
              </fill>
            </x14:dxf>
          </x14:cfRule>
          <x14:cfRule type="expression" priority="4393" stopIfTrue="1" id="{E1544D23-1B1B-4972-B28D-863AB422394F}">
            <xm:f>AND(IF(J148='F:\Users\norela.briceno\Documents\Plan de acción\Plan Accion 2018\[Plan Accion Integrado ADRES Vigencia 2018 con Cuadro de Mando V6..xlsx]Plan de Accion 2018'!#REF!,J148&lt;&gt;"N/A"))</xm:f>
            <x14:dxf>
              <fill>
                <patternFill>
                  <bgColor rgb="FF00B050"/>
                </patternFill>
              </fill>
            </x14:dxf>
          </x14:cfRule>
          <x14:cfRule type="expression" priority="4394" stopIfTrue="1" id="{DC4ABF4E-4363-4BBE-B0FD-472C4254AD8E}">
            <xm:f>AND(IF(J148&lt;'F:\Users\norela.briceno\Documents\Plan de acción\Plan Accion 2018\[Plan Accion Integrado ADRES Vigencia 2018 con Cuadro de Mando V6..xlsx]Plan de Accion 2018'!#REF!,J148&lt;&gt;"N/A"))</xm:f>
            <x14:dxf>
              <fill>
                <patternFill>
                  <bgColor indexed="10"/>
                </patternFill>
              </fill>
            </x14:dxf>
          </x14:cfRule>
          <xm:sqref>J148</xm:sqref>
        </x14:conditionalFormatting>
        <x14:conditionalFormatting xmlns:xm="http://schemas.microsoft.com/office/excel/2006/main">
          <x14:cfRule type="expression" priority="4386" id="{1EDA1875-2D11-427A-98E9-D7CF349CC6A8}">
            <xm:f>AND(IF(J159&gt;'F:\Users\norela.briceno\Documents\Plan de acción\Plan Accion 2018\[Plan Accion Integrado ADRES Vigencia 2018 con Cuadro de Mando V6..xlsx]Plan de Accion 2018'!#REF!,J159&lt;&gt;¨N/A¨))</xm:f>
            <x14:dxf>
              <fill>
                <patternFill>
                  <bgColor theme="1" tint="0.499984740745262"/>
                </patternFill>
              </fill>
            </x14:dxf>
          </x14:cfRule>
          <x14:cfRule type="expression" priority="4387" stopIfTrue="1" id="{EFD92D8E-7B10-4E44-AA5C-E82F2C0B6243}">
            <xm:f>AND(IF(J159='F:\Users\norela.briceno\Documents\Plan de acción\Plan Accion 2018\[Plan Accion Integrado ADRES Vigencia 2018 con Cuadro de Mando V6..xlsx]Plan de Accion 2018'!#REF!,J159&lt;&gt;"N/A"))</xm:f>
            <x14:dxf>
              <fill>
                <patternFill>
                  <bgColor rgb="FF00B050"/>
                </patternFill>
              </fill>
            </x14:dxf>
          </x14:cfRule>
          <x14:cfRule type="expression" priority="4388" stopIfTrue="1" id="{7CB10EFF-6E9F-4C80-947D-DD1E16C420DE}">
            <xm:f>AND(IF(J159&lt;'F:\Users\norela.briceno\Documents\Plan de acción\Plan Accion 2018\[Plan Accion Integrado ADRES Vigencia 2018 con Cuadro de Mando V6..xlsx]Plan de Accion 2018'!#REF!,J159&lt;&gt;"N/A"))</xm:f>
            <x14:dxf>
              <fill>
                <patternFill>
                  <bgColor indexed="10"/>
                </patternFill>
              </fill>
            </x14:dxf>
          </x14:cfRule>
          <xm:sqref>J159</xm:sqref>
        </x14:conditionalFormatting>
        <x14:conditionalFormatting xmlns:xm="http://schemas.microsoft.com/office/excel/2006/main">
          <x14:cfRule type="expression" priority="4383" id="{2F1763D9-FDB3-4275-BAF9-E07CA7D8B7D6}">
            <xm:f>AND(IF(J160&gt;'F:\Users\norela.briceno\Documents\Plan de acción\Plan Accion 2018\[Plan Accion Integrado ADRES Vigencia 2018 con Cuadro de Mando V6..xlsx]Plan de Accion 2018'!#REF!,J160&lt;&gt;¨N/A¨))</xm:f>
            <x14:dxf>
              <fill>
                <patternFill>
                  <bgColor theme="1" tint="0.499984740745262"/>
                </patternFill>
              </fill>
            </x14:dxf>
          </x14:cfRule>
          <x14:cfRule type="expression" priority="4384" stopIfTrue="1" id="{2CDD399C-58CF-4CB6-9D17-2374E6718AB7}">
            <xm:f>AND(IF(J160='F:\Users\norela.briceno\Documents\Plan de acción\Plan Accion 2018\[Plan Accion Integrado ADRES Vigencia 2018 con Cuadro de Mando V6..xlsx]Plan de Accion 2018'!#REF!,J160&lt;&gt;"N/A"))</xm:f>
            <x14:dxf>
              <fill>
                <patternFill>
                  <bgColor rgb="FF00B050"/>
                </patternFill>
              </fill>
            </x14:dxf>
          </x14:cfRule>
          <x14:cfRule type="expression" priority="4385" stopIfTrue="1" id="{086F201D-692D-412C-9620-1A18F2381C17}">
            <xm:f>AND(IF(J160&lt;'F:\Users\norela.briceno\Documents\Plan de acción\Plan Accion 2018\[Plan Accion Integrado ADRES Vigencia 2018 con Cuadro de Mando V6..xlsx]Plan de Accion 2018'!#REF!,J160&lt;&gt;"N/A"))</xm:f>
            <x14:dxf>
              <fill>
                <patternFill>
                  <bgColor indexed="10"/>
                </patternFill>
              </fill>
            </x14:dxf>
          </x14:cfRule>
          <xm:sqref>J160</xm:sqref>
        </x14:conditionalFormatting>
        <x14:conditionalFormatting xmlns:xm="http://schemas.microsoft.com/office/excel/2006/main">
          <x14:cfRule type="expression" priority="4380" id="{65B84C80-6790-4144-834D-520DF6521BD9}">
            <xm:f>AND(IF(J161&gt;'F:\Users\norela.briceno\Documents\Plan de acción\Plan Accion 2018\[Plan Accion Integrado ADRES Vigencia 2018 con Cuadro de Mando V6..xlsx]Plan de Accion 2018'!#REF!,J161&lt;&gt;¨N/A¨))</xm:f>
            <x14:dxf>
              <fill>
                <patternFill>
                  <bgColor theme="1" tint="0.499984740745262"/>
                </patternFill>
              </fill>
            </x14:dxf>
          </x14:cfRule>
          <x14:cfRule type="expression" priority="4381" stopIfTrue="1" id="{2FB14098-50B8-45B9-A316-CF83EC7AD9BF}">
            <xm:f>AND(IF(J161='F:\Users\norela.briceno\Documents\Plan de acción\Plan Accion 2018\[Plan Accion Integrado ADRES Vigencia 2018 con Cuadro de Mando V6..xlsx]Plan de Accion 2018'!#REF!,J161&lt;&gt;"N/A"))</xm:f>
            <x14:dxf>
              <fill>
                <patternFill>
                  <bgColor rgb="FF00B050"/>
                </patternFill>
              </fill>
            </x14:dxf>
          </x14:cfRule>
          <x14:cfRule type="expression" priority="4382" stopIfTrue="1" id="{4CB19694-C269-4C9A-9C18-E4B7F7B57920}">
            <xm:f>AND(IF(J161&lt;'F:\Users\norela.briceno\Documents\Plan de acción\Plan Accion 2018\[Plan Accion Integrado ADRES Vigencia 2018 con Cuadro de Mando V6..xlsx]Plan de Accion 2018'!#REF!,J161&lt;&gt;"N/A"))</xm:f>
            <x14:dxf>
              <fill>
                <patternFill>
                  <bgColor indexed="10"/>
                </patternFill>
              </fill>
            </x14:dxf>
          </x14:cfRule>
          <xm:sqref>J161</xm:sqref>
        </x14:conditionalFormatting>
        <x14:conditionalFormatting xmlns:xm="http://schemas.microsoft.com/office/excel/2006/main">
          <x14:cfRule type="expression" priority="4377" id="{0FC0680F-D424-4763-AF68-63D1BB0C3523}">
            <xm:f>AND(IF(J162&gt;'F:\Users\norela.briceno\Documents\Plan de acción\Plan Accion 2018\[Plan Accion Integrado ADRES Vigencia 2018 con Cuadro de Mando V6..xlsx]Plan de Accion 2018'!#REF!,J162&lt;&gt;¨N/A¨))</xm:f>
            <x14:dxf>
              <fill>
                <patternFill>
                  <bgColor theme="1" tint="0.499984740745262"/>
                </patternFill>
              </fill>
            </x14:dxf>
          </x14:cfRule>
          <x14:cfRule type="expression" priority="4378" stopIfTrue="1" id="{B3270AAE-A6F8-47AA-943D-BB727CF4D9BE}">
            <xm:f>AND(IF(J162='F:\Users\norela.briceno\Documents\Plan de acción\Plan Accion 2018\[Plan Accion Integrado ADRES Vigencia 2018 con Cuadro de Mando V6..xlsx]Plan de Accion 2018'!#REF!,J162&lt;&gt;"N/A"))</xm:f>
            <x14:dxf>
              <fill>
                <patternFill>
                  <bgColor rgb="FF00B050"/>
                </patternFill>
              </fill>
            </x14:dxf>
          </x14:cfRule>
          <x14:cfRule type="expression" priority="4379" stopIfTrue="1" id="{19DF8F0C-AA38-4248-88C8-2ED596856E25}">
            <xm:f>AND(IF(J162&lt;'F:\Users\norela.briceno\Documents\Plan de acción\Plan Accion 2018\[Plan Accion Integrado ADRES Vigencia 2018 con Cuadro de Mando V6..xlsx]Plan de Accion 2018'!#REF!,J162&lt;&gt;"N/A"))</xm:f>
            <x14:dxf>
              <fill>
                <patternFill>
                  <bgColor indexed="10"/>
                </patternFill>
              </fill>
            </x14:dxf>
          </x14:cfRule>
          <xm:sqref>J162</xm:sqref>
        </x14:conditionalFormatting>
        <x14:conditionalFormatting xmlns:xm="http://schemas.microsoft.com/office/excel/2006/main">
          <x14:cfRule type="expression" priority="4374" id="{84ED6F0B-63EC-4F98-938D-6B1E3EB58A3D}">
            <xm:f>AND(IF(J163&gt;'F:\Users\norela.briceno\Documents\Plan de acción\Plan Accion 2018\[Plan Accion Integrado ADRES Vigencia 2018 con Cuadro de Mando V6..xlsx]Plan de Accion 2018'!#REF!,J163&lt;&gt;¨N/A¨))</xm:f>
            <x14:dxf>
              <fill>
                <patternFill>
                  <bgColor theme="1" tint="0.499984740745262"/>
                </patternFill>
              </fill>
            </x14:dxf>
          </x14:cfRule>
          <x14:cfRule type="expression" priority="4375" stopIfTrue="1" id="{437270FF-9920-4007-A600-AE2F375DF56E}">
            <xm:f>AND(IF(J163='F:\Users\norela.briceno\Documents\Plan de acción\Plan Accion 2018\[Plan Accion Integrado ADRES Vigencia 2018 con Cuadro de Mando V6..xlsx]Plan de Accion 2018'!#REF!,J163&lt;&gt;"N/A"))</xm:f>
            <x14:dxf>
              <fill>
                <patternFill>
                  <bgColor rgb="FF00B050"/>
                </patternFill>
              </fill>
            </x14:dxf>
          </x14:cfRule>
          <x14:cfRule type="expression" priority="4376" stopIfTrue="1" id="{549206F0-6038-403D-8993-45C30A683179}">
            <xm:f>AND(IF(J163&lt;'F:\Users\norela.briceno\Documents\Plan de acción\Plan Accion 2018\[Plan Accion Integrado ADRES Vigencia 2018 con Cuadro de Mando V6..xlsx]Plan de Accion 2018'!#REF!,J163&lt;&gt;"N/A"))</xm:f>
            <x14:dxf>
              <fill>
                <patternFill>
                  <bgColor indexed="10"/>
                </patternFill>
              </fill>
            </x14:dxf>
          </x14:cfRule>
          <xm:sqref>J163</xm:sqref>
        </x14:conditionalFormatting>
        <x14:conditionalFormatting xmlns:xm="http://schemas.microsoft.com/office/excel/2006/main">
          <x14:cfRule type="expression" priority="4371" id="{8B07F2E8-E93A-4291-BE82-631F8A3B54E1}">
            <xm:f>AND(IF(J164&gt;'F:\Users\norela.briceno\Documents\Plan de acción\Plan Accion 2018\[Plan Accion Integrado ADRES Vigencia 2018 con Cuadro de Mando V6..xlsx]Plan de Accion 2018'!#REF!,J164&lt;&gt;¨N/A¨))</xm:f>
            <x14:dxf>
              <fill>
                <patternFill>
                  <bgColor theme="1" tint="0.499984740745262"/>
                </patternFill>
              </fill>
            </x14:dxf>
          </x14:cfRule>
          <x14:cfRule type="expression" priority="4372" stopIfTrue="1" id="{AEFDDF29-B3A6-464A-83CE-D315D909C2B1}">
            <xm:f>AND(IF(J164='F:\Users\norela.briceno\Documents\Plan de acción\Plan Accion 2018\[Plan Accion Integrado ADRES Vigencia 2018 con Cuadro de Mando V6..xlsx]Plan de Accion 2018'!#REF!,J164&lt;&gt;"N/A"))</xm:f>
            <x14:dxf>
              <fill>
                <patternFill>
                  <bgColor rgb="FF00B050"/>
                </patternFill>
              </fill>
            </x14:dxf>
          </x14:cfRule>
          <x14:cfRule type="expression" priority="4373" stopIfTrue="1" id="{21603C01-0586-4D5C-9F5A-754484D86EEF}">
            <xm:f>AND(IF(J164&lt;'F:\Users\norela.briceno\Documents\Plan de acción\Plan Accion 2018\[Plan Accion Integrado ADRES Vigencia 2018 con Cuadro de Mando V6..xlsx]Plan de Accion 2018'!#REF!,J164&lt;&gt;"N/A"))</xm:f>
            <x14:dxf>
              <fill>
                <patternFill>
                  <bgColor indexed="10"/>
                </patternFill>
              </fill>
            </x14:dxf>
          </x14:cfRule>
          <xm:sqref>J164</xm:sqref>
        </x14:conditionalFormatting>
        <x14:conditionalFormatting xmlns:xm="http://schemas.microsoft.com/office/excel/2006/main">
          <x14:cfRule type="expression" priority="4368" id="{64C921EC-F54E-4029-804D-F123D9C46AE0}">
            <xm:f>AND(IF(J165&gt;'F:\Users\norela.briceno\Documents\Plan de acción\Plan Accion 2018\[Plan Accion Integrado ADRES Vigencia 2018 con Cuadro de Mando V6..xlsx]Plan de Accion 2018'!#REF!,J165&lt;&gt;¨N/A¨))</xm:f>
            <x14:dxf>
              <fill>
                <patternFill>
                  <bgColor theme="1" tint="0.499984740745262"/>
                </patternFill>
              </fill>
            </x14:dxf>
          </x14:cfRule>
          <x14:cfRule type="expression" priority="4369" stopIfTrue="1" id="{996275F5-3136-4EDD-B9C1-B1C637787B84}">
            <xm:f>AND(IF(J165='F:\Users\norela.briceno\Documents\Plan de acción\Plan Accion 2018\[Plan Accion Integrado ADRES Vigencia 2018 con Cuadro de Mando V6..xlsx]Plan de Accion 2018'!#REF!,J165&lt;&gt;"N/A"))</xm:f>
            <x14:dxf>
              <fill>
                <patternFill>
                  <bgColor rgb="FF00B050"/>
                </patternFill>
              </fill>
            </x14:dxf>
          </x14:cfRule>
          <x14:cfRule type="expression" priority="4370" stopIfTrue="1" id="{7176D2C9-B69A-4F1E-997B-ADE22BC352A0}">
            <xm:f>AND(IF(J165&lt;'F:\Users\norela.briceno\Documents\Plan de acción\Plan Accion 2018\[Plan Accion Integrado ADRES Vigencia 2018 con Cuadro de Mando V6..xlsx]Plan de Accion 2018'!#REF!,J165&lt;&gt;"N/A"))</xm:f>
            <x14:dxf>
              <fill>
                <patternFill>
                  <bgColor indexed="10"/>
                </patternFill>
              </fill>
            </x14:dxf>
          </x14:cfRule>
          <xm:sqref>J165</xm:sqref>
        </x14:conditionalFormatting>
        <x14:conditionalFormatting xmlns:xm="http://schemas.microsoft.com/office/excel/2006/main">
          <x14:cfRule type="expression" priority="4365" id="{B36A1453-8E22-47E9-9B03-131F3CB505BB}">
            <xm:f>AND(IF(J166&gt;'F:\Users\norela.briceno\Documents\Plan de acción\Plan Accion 2018\[Plan Accion Integrado ADRES Vigencia 2018 con Cuadro de Mando V6..xlsx]Plan de Accion 2018'!#REF!,J166&lt;&gt;¨N/A¨))</xm:f>
            <x14:dxf>
              <fill>
                <patternFill>
                  <bgColor theme="1" tint="0.499984740745262"/>
                </patternFill>
              </fill>
            </x14:dxf>
          </x14:cfRule>
          <x14:cfRule type="expression" priority="4366" stopIfTrue="1" id="{496A2E86-9B20-4282-B03A-42EFF1856F99}">
            <xm:f>AND(IF(J166='F:\Users\norela.briceno\Documents\Plan de acción\Plan Accion 2018\[Plan Accion Integrado ADRES Vigencia 2018 con Cuadro de Mando V6..xlsx]Plan de Accion 2018'!#REF!,J166&lt;&gt;"N/A"))</xm:f>
            <x14:dxf>
              <fill>
                <patternFill>
                  <bgColor rgb="FF00B050"/>
                </patternFill>
              </fill>
            </x14:dxf>
          </x14:cfRule>
          <x14:cfRule type="expression" priority="4367" stopIfTrue="1" id="{8994FDBD-3099-40CB-AE4F-8FDADFC50BC3}">
            <xm:f>AND(IF(J166&lt;'F:\Users\norela.briceno\Documents\Plan de acción\Plan Accion 2018\[Plan Accion Integrado ADRES Vigencia 2018 con Cuadro de Mando V6..xlsx]Plan de Accion 2018'!#REF!,J166&lt;&gt;"N/A"))</xm:f>
            <x14:dxf>
              <fill>
                <patternFill>
                  <bgColor indexed="10"/>
                </patternFill>
              </fill>
            </x14:dxf>
          </x14:cfRule>
          <xm:sqref>J166</xm:sqref>
        </x14:conditionalFormatting>
        <x14:conditionalFormatting xmlns:xm="http://schemas.microsoft.com/office/excel/2006/main">
          <x14:cfRule type="expression" priority="4362" id="{EE8E346B-16B3-40B7-BD2C-14F68D12069C}">
            <xm:f>AND(IF(J167&gt;'F:\Users\norela.briceno\Documents\Plan de acción\Plan Accion 2018\[Plan Accion Integrado ADRES Vigencia 2018 con Cuadro de Mando V6..xlsx]Plan de Accion 2018'!#REF!,J167&lt;&gt;¨N/A¨))</xm:f>
            <x14:dxf>
              <fill>
                <patternFill>
                  <bgColor theme="1" tint="0.499984740745262"/>
                </patternFill>
              </fill>
            </x14:dxf>
          </x14:cfRule>
          <x14:cfRule type="expression" priority="4363" stopIfTrue="1" id="{73406613-DC1D-4A13-9C0E-047B7285729C}">
            <xm:f>AND(IF(J167='F:\Users\norela.briceno\Documents\Plan de acción\Plan Accion 2018\[Plan Accion Integrado ADRES Vigencia 2018 con Cuadro de Mando V6..xlsx]Plan de Accion 2018'!#REF!,J167&lt;&gt;"N/A"))</xm:f>
            <x14:dxf>
              <fill>
                <patternFill>
                  <bgColor rgb="FF00B050"/>
                </patternFill>
              </fill>
            </x14:dxf>
          </x14:cfRule>
          <x14:cfRule type="expression" priority="4364" stopIfTrue="1" id="{1E56FBAB-59F0-4DA1-A38B-758E57D23242}">
            <xm:f>AND(IF(J167&lt;'F:\Users\norela.briceno\Documents\Plan de acción\Plan Accion 2018\[Plan Accion Integrado ADRES Vigencia 2018 con Cuadro de Mando V6..xlsx]Plan de Accion 2018'!#REF!,J167&lt;&gt;"N/A"))</xm:f>
            <x14:dxf>
              <fill>
                <patternFill>
                  <bgColor indexed="10"/>
                </patternFill>
              </fill>
            </x14:dxf>
          </x14:cfRule>
          <xm:sqref>J167</xm:sqref>
        </x14:conditionalFormatting>
        <x14:conditionalFormatting xmlns:xm="http://schemas.microsoft.com/office/excel/2006/main">
          <x14:cfRule type="expression" priority="4359" id="{10D8C890-F4A9-43CA-B9EE-C6554B0216A9}">
            <xm:f>AND(IF(J168&gt;'F:\Users\norela.briceno\Documents\Plan de acción\Plan Accion 2018\[Plan Accion Integrado ADRES Vigencia 2018 con Cuadro de Mando V6..xlsx]Plan de Accion 2018'!#REF!,J168&lt;&gt;¨N/A¨))</xm:f>
            <x14:dxf>
              <fill>
                <patternFill>
                  <bgColor theme="1" tint="0.499984740745262"/>
                </patternFill>
              </fill>
            </x14:dxf>
          </x14:cfRule>
          <x14:cfRule type="expression" priority="4360" stopIfTrue="1" id="{34961AB4-A1BB-4D51-BE8D-3BBF1455B7B9}">
            <xm:f>AND(IF(J168='F:\Users\norela.briceno\Documents\Plan de acción\Plan Accion 2018\[Plan Accion Integrado ADRES Vigencia 2018 con Cuadro de Mando V6..xlsx]Plan de Accion 2018'!#REF!,J168&lt;&gt;"N/A"))</xm:f>
            <x14:dxf>
              <fill>
                <patternFill>
                  <bgColor rgb="FF00B050"/>
                </patternFill>
              </fill>
            </x14:dxf>
          </x14:cfRule>
          <x14:cfRule type="expression" priority="4361" stopIfTrue="1" id="{E266C23A-AFF1-407D-AD35-A223FBA5D24D}">
            <xm:f>AND(IF(J168&lt;'F:\Users\norela.briceno\Documents\Plan de acción\Plan Accion 2018\[Plan Accion Integrado ADRES Vigencia 2018 con Cuadro de Mando V6..xlsx]Plan de Accion 2018'!#REF!,J168&lt;&gt;"N/A"))</xm:f>
            <x14:dxf>
              <fill>
                <patternFill>
                  <bgColor indexed="10"/>
                </patternFill>
              </fill>
            </x14:dxf>
          </x14:cfRule>
          <xm:sqref>J168</xm:sqref>
        </x14:conditionalFormatting>
        <x14:conditionalFormatting xmlns:xm="http://schemas.microsoft.com/office/excel/2006/main">
          <x14:cfRule type="expression" priority="4356" id="{A5349E4B-3664-41DE-A700-A4F3BCB05536}">
            <xm:f>AND(IF(J177&gt;'F:\Users\norela.briceno\Documents\Plan de acción\Plan Accion 2018\[Plan Accion Integrado ADRES Vigencia 2018 con Cuadro de Mando V6..xlsx]Plan de Accion 2018'!#REF!,J177&lt;&gt;¨N/A¨))</xm:f>
            <x14:dxf>
              <fill>
                <patternFill>
                  <bgColor theme="1" tint="0.499984740745262"/>
                </patternFill>
              </fill>
            </x14:dxf>
          </x14:cfRule>
          <x14:cfRule type="expression" priority="4357" stopIfTrue="1" id="{92F09422-AE9E-42A5-BD66-EE1343FB7DB5}">
            <xm:f>AND(IF(J177='F:\Users\norela.briceno\Documents\Plan de acción\Plan Accion 2018\[Plan Accion Integrado ADRES Vigencia 2018 con Cuadro de Mando V6..xlsx]Plan de Accion 2018'!#REF!,J177&lt;&gt;"N/A"))</xm:f>
            <x14:dxf>
              <fill>
                <patternFill>
                  <bgColor rgb="FF00B050"/>
                </patternFill>
              </fill>
            </x14:dxf>
          </x14:cfRule>
          <x14:cfRule type="expression" priority="4358" stopIfTrue="1" id="{F833357B-64A4-4C75-A907-09760FE6491C}">
            <xm:f>AND(IF(J177&lt;'F:\Users\norela.briceno\Documents\Plan de acción\Plan Accion 2018\[Plan Accion Integrado ADRES Vigencia 2018 con Cuadro de Mando V6..xlsx]Plan de Accion 2018'!#REF!,J177&lt;&gt;"N/A"))</xm:f>
            <x14:dxf>
              <fill>
                <patternFill>
                  <bgColor indexed="10"/>
                </patternFill>
              </fill>
            </x14:dxf>
          </x14:cfRule>
          <xm:sqref>J177</xm:sqref>
        </x14:conditionalFormatting>
        <x14:conditionalFormatting xmlns:xm="http://schemas.microsoft.com/office/excel/2006/main">
          <x14:cfRule type="expression" priority="4353" id="{585AC0E8-3FCA-4FFC-A396-98BC0BDB950F}">
            <xm:f>AND(IF(J178&gt;'F:\Users\norela.briceno\Documents\Plan de acción\Plan Accion 2018\[Plan Accion Integrado ADRES Vigencia 2018 con Cuadro de Mando V6..xlsx]Plan de Accion 2018'!#REF!,J178&lt;&gt;¨N/A¨))</xm:f>
            <x14:dxf>
              <fill>
                <patternFill>
                  <bgColor theme="1" tint="0.499984740745262"/>
                </patternFill>
              </fill>
            </x14:dxf>
          </x14:cfRule>
          <x14:cfRule type="expression" priority="4354" stopIfTrue="1" id="{5562F5A7-1CA3-49EB-A762-C54BA51E1685}">
            <xm:f>AND(IF(J178='F:\Users\norela.briceno\Documents\Plan de acción\Plan Accion 2018\[Plan Accion Integrado ADRES Vigencia 2018 con Cuadro de Mando V6..xlsx]Plan de Accion 2018'!#REF!,J178&lt;&gt;"N/A"))</xm:f>
            <x14:dxf>
              <fill>
                <patternFill>
                  <bgColor rgb="FF00B050"/>
                </patternFill>
              </fill>
            </x14:dxf>
          </x14:cfRule>
          <x14:cfRule type="expression" priority="4355" stopIfTrue="1" id="{D66B451A-925D-41D1-B7D1-01B9913D3107}">
            <xm:f>AND(IF(J178&lt;'F:\Users\norela.briceno\Documents\Plan de acción\Plan Accion 2018\[Plan Accion Integrado ADRES Vigencia 2018 con Cuadro de Mando V6..xlsx]Plan de Accion 2018'!#REF!,J178&lt;&gt;"N/A"))</xm:f>
            <x14:dxf>
              <fill>
                <patternFill>
                  <bgColor indexed="10"/>
                </patternFill>
              </fill>
            </x14:dxf>
          </x14:cfRule>
          <xm:sqref>J178</xm:sqref>
        </x14:conditionalFormatting>
        <x14:conditionalFormatting xmlns:xm="http://schemas.microsoft.com/office/excel/2006/main">
          <x14:cfRule type="expression" priority="4350" id="{89034EA8-9503-465B-8BD5-DB047D610FAE}">
            <xm:f>AND(IF(J183&gt;'F:\Users\norela.briceno\Documents\Plan de acción\Plan Accion 2018\[Plan Accion Integrado ADRES Vigencia 2018 con Cuadro de Mando V6..xlsx]Plan de Accion 2018'!#REF!,J183&lt;&gt;¨N/A¨))</xm:f>
            <x14:dxf>
              <fill>
                <patternFill>
                  <bgColor theme="1" tint="0.499984740745262"/>
                </patternFill>
              </fill>
            </x14:dxf>
          </x14:cfRule>
          <x14:cfRule type="expression" priority="4351" stopIfTrue="1" id="{6EE1873C-2283-4FC8-845D-6E5D0A2F684D}">
            <xm:f>AND(IF(J183='F:\Users\norela.briceno\Documents\Plan de acción\Plan Accion 2018\[Plan Accion Integrado ADRES Vigencia 2018 con Cuadro de Mando V6..xlsx]Plan de Accion 2018'!#REF!,J183&lt;&gt;"N/A"))</xm:f>
            <x14:dxf>
              <fill>
                <patternFill>
                  <bgColor rgb="FF00B050"/>
                </patternFill>
              </fill>
            </x14:dxf>
          </x14:cfRule>
          <x14:cfRule type="expression" priority="4352" stopIfTrue="1" id="{F273B2EF-CBCA-4A66-AFBF-33F99FEFD4F5}">
            <xm:f>AND(IF(J183&lt;'F:\Users\norela.briceno\Documents\Plan de acción\Plan Accion 2018\[Plan Accion Integrado ADRES Vigencia 2018 con Cuadro de Mando V6..xlsx]Plan de Accion 2018'!#REF!,J183&lt;&gt;"N/A"))</xm:f>
            <x14:dxf>
              <fill>
                <patternFill>
                  <bgColor indexed="10"/>
                </patternFill>
              </fill>
            </x14:dxf>
          </x14:cfRule>
          <xm:sqref>J183</xm:sqref>
        </x14:conditionalFormatting>
        <x14:conditionalFormatting xmlns:xm="http://schemas.microsoft.com/office/excel/2006/main">
          <x14:cfRule type="expression" priority="4347" id="{31681521-7FA8-48D7-9D37-C0F23410B847}">
            <xm:f>AND(IF(J184&gt;'F:\Users\norela.briceno\Documents\Plan de acción\Plan Accion 2018\[Plan Accion Integrado ADRES Vigencia 2018 con Cuadro de Mando V6..xlsx]Plan de Accion 2018'!#REF!,J184&lt;&gt;¨N/A¨))</xm:f>
            <x14:dxf>
              <fill>
                <patternFill>
                  <bgColor theme="1" tint="0.499984740745262"/>
                </patternFill>
              </fill>
            </x14:dxf>
          </x14:cfRule>
          <x14:cfRule type="expression" priority="4348" stopIfTrue="1" id="{E9CCC827-383C-4511-802B-4B925772C57D}">
            <xm:f>AND(IF(J184='F:\Users\norela.briceno\Documents\Plan de acción\Plan Accion 2018\[Plan Accion Integrado ADRES Vigencia 2018 con Cuadro de Mando V6..xlsx]Plan de Accion 2018'!#REF!,J184&lt;&gt;"N/A"))</xm:f>
            <x14:dxf>
              <fill>
                <patternFill>
                  <bgColor rgb="FF00B050"/>
                </patternFill>
              </fill>
            </x14:dxf>
          </x14:cfRule>
          <x14:cfRule type="expression" priority="4349" stopIfTrue="1" id="{2362E2D8-2DF2-4757-9E8C-13BCC5B7A434}">
            <xm:f>AND(IF(J184&lt;'F:\Users\norela.briceno\Documents\Plan de acción\Plan Accion 2018\[Plan Accion Integrado ADRES Vigencia 2018 con Cuadro de Mando V6..xlsx]Plan de Accion 2018'!#REF!,J184&lt;&gt;"N/A"))</xm:f>
            <x14:dxf>
              <fill>
                <patternFill>
                  <bgColor indexed="10"/>
                </patternFill>
              </fill>
            </x14:dxf>
          </x14:cfRule>
          <xm:sqref>J184</xm:sqref>
        </x14:conditionalFormatting>
        <x14:conditionalFormatting xmlns:xm="http://schemas.microsoft.com/office/excel/2006/main">
          <x14:cfRule type="expression" priority="4344" id="{61C4930D-CEC1-4D25-956E-2D2222D36C6E}">
            <xm:f>AND(IF(J185&gt;'F:\Users\norela.briceno\Documents\Plan de acción\Plan Accion 2018\[Plan Accion Integrado ADRES Vigencia 2018 con Cuadro de Mando V6..xlsx]Plan de Accion 2018'!#REF!,J185&lt;&gt;¨N/A¨))</xm:f>
            <x14:dxf>
              <fill>
                <patternFill>
                  <bgColor theme="1" tint="0.499984740745262"/>
                </patternFill>
              </fill>
            </x14:dxf>
          </x14:cfRule>
          <x14:cfRule type="expression" priority="4345" stopIfTrue="1" id="{71C6CCC5-439E-4378-9E0D-FED69954626A}">
            <xm:f>AND(IF(J185='F:\Users\norela.briceno\Documents\Plan de acción\Plan Accion 2018\[Plan Accion Integrado ADRES Vigencia 2018 con Cuadro de Mando V6..xlsx]Plan de Accion 2018'!#REF!,J185&lt;&gt;"N/A"))</xm:f>
            <x14:dxf>
              <fill>
                <patternFill>
                  <bgColor rgb="FF00B050"/>
                </patternFill>
              </fill>
            </x14:dxf>
          </x14:cfRule>
          <x14:cfRule type="expression" priority="4346" stopIfTrue="1" id="{2C8A8C9E-226A-49FA-9D91-1DA2EAC3D185}">
            <xm:f>AND(IF(J185&lt;'F:\Users\norela.briceno\Documents\Plan de acción\Plan Accion 2018\[Plan Accion Integrado ADRES Vigencia 2018 con Cuadro de Mando V6..xlsx]Plan de Accion 2018'!#REF!,J185&lt;&gt;"N/A"))</xm:f>
            <x14:dxf>
              <fill>
                <patternFill>
                  <bgColor indexed="10"/>
                </patternFill>
              </fill>
            </x14:dxf>
          </x14:cfRule>
          <xm:sqref>J185</xm:sqref>
        </x14:conditionalFormatting>
        <x14:conditionalFormatting xmlns:xm="http://schemas.microsoft.com/office/excel/2006/main">
          <x14:cfRule type="expression" priority="4341" id="{2F07A60A-1441-46E4-ACCB-D7E93F49A422}">
            <xm:f>AND(IF(J186&gt;'F:\Users\norela.briceno\Documents\Plan de acción\Plan Accion 2018\[Plan Accion Integrado ADRES Vigencia 2018 con Cuadro de Mando V6..xlsx]Plan de Accion 2018'!#REF!,J186&lt;&gt;¨N/A¨))</xm:f>
            <x14:dxf>
              <fill>
                <patternFill>
                  <bgColor theme="1" tint="0.499984740745262"/>
                </patternFill>
              </fill>
            </x14:dxf>
          </x14:cfRule>
          <x14:cfRule type="expression" priority="4342" stopIfTrue="1" id="{7963294B-329E-40F0-B529-6C5F1811F3CF}">
            <xm:f>AND(IF(J186='F:\Users\norela.briceno\Documents\Plan de acción\Plan Accion 2018\[Plan Accion Integrado ADRES Vigencia 2018 con Cuadro de Mando V6..xlsx]Plan de Accion 2018'!#REF!,J186&lt;&gt;"N/A"))</xm:f>
            <x14:dxf>
              <fill>
                <patternFill>
                  <bgColor rgb="FF00B050"/>
                </patternFill>
              </fill>
            </x14:dxf>
          </x14:cfRule>
          <x14:cfRule type="expression" priority="4343" stopIfTrue="1" id="{A7EA67DE-555A-46D2-BEE1-22A9F34602A5}">
            <xm:f>AND(IF(J186&lt;'F:\Users\norela.briceno\Documents\Plan de acción\Plan Accion 2018\[Plan Accion Integrado ADRES Vigencia 2018 con Cuadro de Mando V6..xlsx]Plan de Accion 2018'!#REF!,J186&lt;&gt;"N/A"))</xm:f>
            <x14:dxf>
              <fill>
                <patternFill>
                  <bgColor indexed="10"/>
                </patternFill>
              </fill>
            </x14:dxf>
          </x14:cfRule>
          <xm:sqref>J186</xm:sqref>
        </x14:conditionalFormatting>
        <x14:conditionalFormatting xmlns:xm="http://schemas.microsoft.com/office/excel/2006/main">
          <x14:cfRule type="expression" priority="4338" id="{F8BB5107-78AE-4302-B9D0-42830F2B6582}">
            <xm:f>AND(IF(J187&gt;'F:\Users\norela.briceno\Documents\Plan de acción\Plan Accion 2018\[Plan Accion Integrado ADRES Vigencia 2018 con Cuadro de Mando V6..xlsx]Plan de Accion 2018'!#REF!,J187&lt;&gt;¨N/A¨))</xm:f>
            <x14:dxf>
              <fill>
                <patternFill>
                  <bgColor theme="1" tint="0.499984740745262"/>
                </patternFill>
              </fill>
            </x14:dxf>
          </x14:cfRule>
          <x14:cfRule type="expression" priority="4339" stopIfTrue="1" id="{B3A6AFF9-3727-4624-BA89-2B435AB992B7}">
            <xm:f>AND(IF(J187='F:\Users\norela.briceno\Documents\Plan de acción\Plan Accion 2018\[Plan Accion Integrado ADRES Vigencia 2018 con Cuadro de Mando V6..xlsx]Plan de Accion 2018'!#REF!,J187&lt;&gt;"N/A"))</xm:f>
            <x14:dxf>
              <fill>
                <patternFill>
                  <bgColor rgb="FF00B050"/>
                </patternFill>
              </fill>
            </x14:dxf>
          </x14:cfRule>
          <x14:cfRule type="expression" priority="4340" stopIfTrue="1" id="{CD9C17C3-24EC-4725-A9BB-AB349F0C0762}">
            <xm:f>AND(IF(J187&lt;'F:\Users\norela.briceno\Documents\Plan de acción\Plan Accion 2018\[Plan Accion Integrado ADRES Vigencia 2018 con Cuadro de Mando V6..xlsx]Plan de Accion 2018'!#REF!,J187&lt;&gt;"N/A"))</xm:f>
            <x14:dxf>
              <fill>
                <patternFill>
                  <bgColor indexed="10"/>
                </patternFill>
              </fill>
            </x14:dxf>
          </x14:cfRule>
          <xm:sqref>J187</xm:sqref>
        </x14:conditionalFormatting>
        <x14:conditionalFormatting xmlns:xm="http://schemas.microsoft.com/office/excel/2006/main">
          <x14:cfRule type="expression" priority="4335" id="{8E826F21-DA72-4A9F-A17B-DBB11454E562}">
            <xm:f>AND(IF(J188&gt;'F:\Users\norela.briceno\Documents\Plan de acción\Plan Accion 2018\[Plan Accion Integrado ADRES Vigencia 2018 con Cuadro de Mando V6..xlsx]Plan de Accion 2018'!#REF!,J188&lt;&gt;¨N/A¨))</xm:f>
            <x14:dxf>
              <fill>
                <patternFill>
                  <bgColor theme="1" tint="0.499984740745262"/>
                </patternFill>
              </fill>
            </x14:dxf>
          </x14:cfRule>
          <x14:cfRule type="expression" priority="4336" stopIfTrue="1" id="{F352A7F7-17C8-4575-9E6D-6E1578DC4772}">
            <xm:f>AND(IF(J188='F:\Users\norela.briceno\Documents\Plan de acción\Plan Accion 2018\[Plan Accion Integrado ADRES Vigencia 2018 con Cuadro de Mando V6..xlsx]Plan de Accion 2018'!#REF!,J188&lt;&gt;"N/A"))</xm:f>
            <x14:dxf>
              <fill>
                <patternFill>
                  <bgColor rgb="FF00B050"/>
                </patternFill>
              </fill>
            </x14:dxf>
          </x14:cfRule>
          <x14:cfRule type="expression" priority="4337" stopIfTrue="1" id="{349B967F-CF0F-4A62-95BD-66D906C57C61}">
            <xm:f>AND(IF(J188&lt;'F:\Users\norela.briceno\Documents\Plan de acción\Plan Accion 2018\[Plan Accion Integrado ADRES Vigencia 2018 con Cuadro de Mando V6..xlsx]Plan de Accion 2018'!#REF!,J188&lt;&gt;"N/A"))</xm:f>
            <x14:dxf>
              <fill>
                <patternFill>
                  <bgColor indexed="10"/>
                </patternFill>
              </fill>
            </x14:dxf>
          </x14:cfRule>
          <xm:sqref>J188</xm:sqref>
        </x14:conditionalFormatting>
        <x14:conditionalFormatting xmlns:xm="http://schemas.microsoft.com/office/excel/2006/main">
          <x14:cfRule type="expression" priority="4332" id="{39502C9D-EF1F-48C9-96A7-FDD1F086A0B6}">
            <xm:f>AND(IF(J190&gt;'F:\Users\norela.briceno\Documents\Plan de acción\Plan Accion 2018\[Plan Accion Integrado ADRES Vigencia 2018 con Cuadro de Mando V6..xlsx]Plan de Accion 2018'!#REF!,J190&lt;&gt;¨N/A¨))</xm:f>
            <x14:dxf>
              <fill>
                <patternFill>
                  <bgColor theme="1" tint="0.499984740745262"/>
                </patternFill>
              </fill>
            </x14:dxf>
          </x14:cfRule>
          <x14:cfRule type="expression" priority="4333" stopIfTrue="1" id="{1B8462EA-5E6D-47F8-9A71-8EB59B52A672}">
            <xm:f>AND(IF(J190='F:\Users\norela.briceno\Documents\Plan de acción\Plan Accion 2018\[Plan Accion Integrado ADRES Vigencia 2018 con Cuadro de Mando V6..xlsx]Plan de Accion 2018'!#REF!,J190&lt;&gt;"N/A"))</xm:f>
            <x14:dxf>
              <fill>
                <patternFill>
                  <bgColor rgb="FF00B050"/>
                </patternFill>
              </fill>
            </x14:dxf>
          </x14:cfRule>
          <x14:cfRule type="expression" priority="4334" stopIfTrue="1" id="{643A4889-8D96-4350-B881-026790BF31E6}">
            <xm:f>AND(IF(J190&lt;'F:\Users\norela.briceno\Documents\Plan de acción\Plan Accion 2018\[Plan Accion Integrado ADRES Vigencia 2018 con Cuadro de Mando V6..xlsx]Plan de Accion 2018'!#REF!,J190&lt;&gt;"N/A"))</xm:f>
            <x14:dxf>
              <fill>
                <patternFill>
                  <bgColor indexed="10"/>
                </patternFill>
              </fill>
            </x14:dxf>
          </x14:cfRule>
          <xm:sqref>J190</xm:sqref>
        </x14:conditionalFormatting>
        <x14:conditionalFormatting xmlns:xm="http://schemas.microsoft.com/office/excel/2006/main">
          <x14:cfRule type="expression" priority="4329" id="{6F1977ED-7B37-45FF-9116-8D10747F2787}">
            <xm:f>AND(IF(J191&gt;'F:\Users\norela.briceno\Documents\Plan de acción\Plan Accion 2018\[Plan Accion Integrado ADRES Vigencia 2018 con Cuadro de Mando V6..xlsx]Plan de Accion 2018'!#REF!,J191&lt;&gt;¨N/A¨))</xm:f>
            <x14:dxf>
              <fill>
                <patternFill>
                  <bgColor theme="1" tint="0.499984740745262"/>
                </patternFill>
              </fill>
            </x14:dxf>
          </x14:cfRule>
          <x14:cfRule type="expression" priority="4330" stopIfTrue="1" id="{219FE516-65FA-4D65-B648-2677DB3DD86F}">
            <xm:f>AND(IF(J191='F:\Users\norela.briceno\Documents\Plan de acción\Plan Accion 2018\[Plan Accion Integrado ADRES Vigencia 2018 con Cuadro de Mando V6..xlsx]Plan de Accion 2018'!#REF!,J191&lt;&gt;"N/A"))</xm:f>
            <x14:dxf>
              <fill>
                <patternFill>
                  <bgColor rgb="FF00B050"/>
                </patternFill>
              </fill>
            </x14:dxf>
          </x14:cfRule>
          <x14:cfRule type="expression" priority="4331" stopIfTrue="1" id="{03039E84-974C-4FBE-B411-393C8C47E035}">
            <xm:f>AND(IF(J191&lt;'F:\Users\norela.briceno\Documents\Plan de acción\Plan Accion 2018\[Plan Accion Integrado ADRES Vigencia 2018 con Cuadro de Mando V6..xlsx]Plan de Accion 2018'!#REF!,J191&lt;&gt;"N/A"))</xm:f>
            <x14:dxf>
              <fill>
                <patternFill>
                  <bgColor indexed="10"/>
                </patternFill>
              </fill>
            </x14:dxf>
          </x14:cfRule>
          <xm:sqref>J191</xm:sqref>
        </x14:conditionalFormatting>
        <x14:conditionalFormatting xmlns:xm="http://schemas.microsoft.com/office/excel/2006/main">
          <x14:cfRule type="expression" priority="4326" id="{197DA50F-D505-4CDC-BCA0-B8138858C4E5}">
            <xm:f>AND(IF(J194&gt;'F:\Users\norela.briceno\Documents\Plan de acción\Plan Accion 2018\[Plan Accion Integrado ADRES Vigencia 2018 con Cuadro de Mando V6..xlsx]Plan de Accion 2018'!#REF!,J194&lt;&gt;¨N/A¨))</xm:f>
            <x14:dxf>
              <fill>
                <patternFill>
                  <bgColor theme="1" tint="0.499984740745262"/>
                </patternFill>
              </fill>
            </x14:dxf>
          </x14:cfRule>
          <x14:cfRule type="expression" priority="4327" stopIfTrue="1" id="{1AABCD6C-9DB5-4F83-B90F-2D054FB9CADC}">
            <xm:f>AND(IF(J194='F:\Users\norela.briceno\Documents\Plan de acción\Plan Accion 2018\[Plan Accion Integrado ADRES Vigencia 2018 con Cuadro de Mando V6..xlsx]Plan de Accion 2018'!#REF!,J194&lt;&gt;"N/A"))</xm:f>
            <x14:dxf>
              <fill>
                <patternFill>
                  <bgColor rgb="FF00B050"/>
                </patternFill>
              </fill>
            </x14:dxf>
          </x14:cfRule>
          <x14:cfRule type="expression" priority="4328" stopIfTrue="1" id="{9975C2BB-0747-4981-BD36-4ED2F37F268B}">
            <xm:f>AND(IF(J194&lt;'F:\Users\norela.briceno\Documents\Plan de acción\Plan Accion 2018\[Plan Accion Integrado ADRES Vigencia 2018 con Cuadro de Mando V6..xlsx]Plan de Accion 2018'!#REF!,J194&lt;&gt;"N/A"))</xm:f>
            <x14:dxf>
              <fill>
                <patternFill>
                  <bgColor indexed="10"/>
                </patternFill>
              </fill>
            </x14:dxf>
          </x14:cfRule>
          <xm:sqref>J194</xm:sqref>
        </x14:conditionalFormatting>
        <x14:conditionalFormatting xmlns:xm="http://schemas.microsoft.com/office/excel/2006/main">
          <x14:cfRule type="expression" priority="4323" id="{E0AAB5A0-2F82-4BB7-B764-0B7728C53FF5}">
            <xm:f>AND(IF(J196&gt;'F:\Users\norela.briceno\Documents\Plan de acción\Plan Accion 2018\[Plan Accion Integrado ADRES Vigencia 2018 con Cuadro de Mando V6..xlsx]Plan de Accion 2018'!#REF!,J196&lt;&gt;¨N/A¨))</xm:f>
            <x14:dxf>
              <fill>
                <patternFill>
                  <bgColor theme="1" tint="0.499984740745262"/>
                </patternFill>
              </fill>
            </x14:dxf>
          </x14:cfRule>
          <x14:cfRule type="expression" priority="4324" stopIfTrue="1" id="{CE4F85DA-A64C-4073-8507-89EBB99DB545}">
            <xm:f>AND(IF(J196='F:\Users\norela.briceno\Documents\Plan de acción\Plan Accion 2018\[Plan Accion Integrado ADRES Vigencia 2018 con Cuadro de Mando V6..xlsx]Plan de Accion 2018'!#REF!,J196&lt;&gt;"N/A"))</xm:f>
            <x14:dxf>
              <fill>
                <patternFill>
                  <bgColor rgb="FF00B050"/>
                </patternFill>
              </fill>
            </x14:dxf>
          </x14:cfRule>
          <x14:cfRule type="expression" priority="4325" stopIfTrue="1" id="{106AF316-DFDA-47EE-9CC6-B7BE0007CAB1}">
            <xm:f>AND(IF(J196&lt;'F:\Users\norela.briceno\Documents\Plan de acción\Plan Accion 2018\[Plan Accion Integrado ADRES Vigencia 2018 con Cuadro de Mando V6..xlsx]Plan de Accion 2018'!#REF!,J196&lt;&gt;"N/A"))</xm:f>
            <x14:dxf>
              <fill>
                <patternFill>
                  <bgColor indexed="10"/>
                </patternFill>
              </fill>
            </x14:dxf>
          </x14:cfRule>
          <xm:sqref>J196</xm:sqref>
        </x14:conditionalFormatting>
        <x14:conditionalFormatting xmlns:xm="http://schemas.microsoft.com/office/excel/2006/main">
          <x14:cfRule type="expression" priority="4320" id="{2A7B6AB6-354F-49DB-8A23-628393CC9E0A}">
            <xm:f>AND(IF(J198&gt;'F:\Users\norela.briceno\Documents\Plan de acción\Plan Accion 2018\[Plan Accion Integrado ADRES Vigencia 2018 con Cuadro de Mando V6..xlsx]Plan de Accion 2018'!#REF!,J198&lt;&gt;¨N/A¨))</xm:f>
            <x14:dxf>
              <fill>
                <patternFill>
                  <bgColor theme="1" tint="0.499984740745262"/>
                </patternFill>
              </fill>
            </x14:dxf>
          </x14:cfRule>
          <x14:cfRule type="expression" priority="4321" stopIfTrue="1" id="{65EC6458-41A9-4360-99E1-A6643A038EA5}">
            <xm:f>AND(IF(J198='F:\Users\norela.briceno\Documents\Plan de acción\Plan Accion 2018\[Plan Accion Integrado ADRES Vigencia 2018 con Cuadro de Mando V6..xlsx]Plan de Accion 2018'!#REF!,J198&lt;&gt;"N/A"))</xm:f>
            <x14:dxf>
              <fill>
                <patternFill>
                  <bgColor rgb="FF00B050"/>
                </patternFill>
              </fill>
            </x14:dxf>
          </x14:cfRule>
          <x14:cfRule type="expression" priority="4322" stopIfTrue="1" id="{6D49E1CE-FDBF-4FA5-B175-FB7F3CCB5805}">
            <xm:f>AND(IF(J198&lt;'F:\Users\norela.briceno\Documents\Plan de acción\Plan Accion 2018\[Plan Accion Integrado ADRES Vigencia 2018 con Cuadro de Mando V6..xlsx]Plan de Accion 2018'!#REF!,J198&lt;&gt;"N/A"))</xm:f>
            <x14:dxf>
              <fill>
                <patternFill>
                  <bgColor indexed="10"/>
                </patternFill>
              </fill>
            </x14:dxf>
          </x14:cfRule>
          <xm:sqref>J198</xm:sqref>
        </x14:conditionalFormatting>
        <x14:conditionalFormatting xmlns:xm="http://schemas.microsoft.com/office/excel/2006/main">
          <x14:cfRule type="expression" priority="4317" id="{138CA019-2CEF-4671-B34F-3C81F1751CBF}">
            <xm:f>AND(IF(J199&gt;'F:\Users\norela.briceno\Documents\Plan de acción\Plan Accion 2018\[Plan Accion Integrado ADRES Vigencia 2018 con Cuadro de Mando V6..xlsx]Plan de Accion 2018'!#REF!,J199&lt;&gt;¨N/A¨))</xm:f>
            <x14:dxf>
              <fill>
                <patternFill>
                  <bgColor theme="1" tint="0.499984740745262"/>
                </patternFill>
              </fill>
            </x14:dxf>
          </x14:cfRule>
          <x14:cfRule type="expression" priority="4318" stopIfTrue="1" id="{FFE69D8E-6CCE-4DBC-BAD6-AB971307C258}">
            <xm:f>AND(IF(J199='F:\Users\norela.briceno\Documents\Plan de acción\Plan Accion 2018\[Plan Accion Integrado ADRES Vigencia 2018 con Cuadro de Mando V6..xlsx]Plan de Accion 2018'!#REF!,J199&lt;&gt;"N/A"))</xm:f>
            <x14:dxf>
              <fill>
                <patternFill>
                  <bgColor rgb="FF00B050"/>
                </patternFill>
              </fill>
            </x14:dxf>
          </x14:cfRule>
          <x14:cfRule type="expression" priority="4319" stopIfTrue="1" id="{FAC92ABC-FB98-4AA2-8075-AB9920925051}">
            <xm:f>AND(IF(J199&lt;'F:\Users\norela.briceno\Documents\Plan de acción\Plan Accion 2018\[Plan Accion Integrado ADRES Vigencia 2018 con Cuadro de Mando V6..xlsx]Plan de Accion 2018'!#REF!,J199&lt;&gt;"N/A"))</xm:f>
            <x14:dxf>
              <fill>
                <patternFill>
                  <bgColor indexed="10"/>
                </patternFill>
              </fill>
            </x14:dxf>
          </x14:cfRule>
          <xm:sqref>J199</xm:sqref>
        </x14:conditionalFormatting>
        <x14:conditionalFormatting xmlns:xm="http://schemas.microsoft.com/office/excel/2006/main">
          <x14:cfRule type="expression" priority="4314" id="{979DFB27-AF75-40E6-93F0-62B44D17E20A}">
            <xm:f>AND(IF(J200&gt;'F:\Users\norela.briceno\Documents\Plan de acción\Plan Accion 2018\[Plan Accion Integrado ADRES Vigencia 2018 con Cuadro de Mando V6..xlsx]Plan de Accion 2018'!#REF!,J200&lt;&gt;¨N/A¨))</xm:f>
            <x14:dxf>
              <fill>
                <patternFill>
                  <bgColor theme="1" tint="0.499984740745262"/>
                </patternFill>
              </fill>
            </x14:dxf>
          </x14:cfRule>
          <x14:cfRule type="expression" priority="4315" stopIfTrue="1" id="{FFBE220F-F7F5-449B-A2AF-AAE6CC3D5CEF}">
            <xm:f>AND(IF(J200='F:\Users\norela.briceno\Documents\Plan de acción\Plan Accion 2018\[Plan Accion Integrado ADRES Vigencia 2018 con Cuadro de Mando V6..xlsx]Plan de Accion 2018'!#REF!,J200&lt;&gt;"N/A"))</xm:f>
            <x14:dxf>
              <fill>
                <patternFill>
                  <bgColor rgb="FF00B050"/>
                </patternFill>
              </fill>
            </x14:dxf>
          </x14:cfRule>
          <x14:cfRule type="expression" priority="4316" stopIfTrue="1" id="{A9731B49-2BBC-4599-BEB6-298E80D18DA1}">
            <xm:f>AND(IF(J200&lt;'F:\Users\norela.briceno\Documents\Plan de acción\Plan Accion 2018\[Plan Accion Integrado ADRES Vigencia 2018 con Cuadro de Mando V6..xlsx]Plan de Accion 2018'!#REF!,J200&lt;&gt;"N/A"))</xm:f>
            <x14:dxf>
              <fill>
                <patternFill>
                  <bgColor indexed="10"/>
                </patternFill>
              </fill>
            </x14:dxf>
          </x14:cfRule>
          <xm:sqref>J200</xm:sqref>
        </x14:conditionalFormatting>
        <x14:conditionalFormatting xmlns:xm="http://schemas.microsoft.com/office/excel/2006/main">
          <x14:cfRule type="expression" priority="4311" id="{C65E792D-2712-401D-BBE8-D5B344F0436F}">
            <xm:f>AND(IF(J201&gt;'F:\Users\norela.briceno\Documents\Plan de acción\Plan Accion 2018\[Plan Accion Integrado ADRES Vigencia 2018 con Cuadro de Mando V6..xlsx]Plan de Accion 2018'!#REF!,J201&lt;&gt;¨N/A¨))</xm:f>
            <x14:dxf>
              <fill>
                <patternFill>
                  <bgColor theme="1" tint="0.499984740745262"/>
                </patternFill>
              </fill>
            </x14:dxf>
          </x14:cfRule>
          <x14:cfRule type="expression" priority="4312" stopIfTrue="1" id="{15B46276-9295-4AC8-8B42-7080D2A8F5B3}">
            <xm:f>AND(IF(J201='F:\Users\norela.briceno\Documents\Plan de acción\Plan Accion 2018\[Plan Accion Integrado ADRES Vigencia 2018 con Cuadro de Mando V6..xlsx]Plan de Accion 2018'!#REF!,J201&lt;&gt;"N/A"))</xm:f>
            <x14:dxf>
              <fill>
                <patternFill>
                  <bgColor rgb="FF00B050"/>
                </patternFill>
              </fill>
            </x14:dxf>
          </x14:cfRule>
          <x14:cfRule type="expression" priority="4313" stopIfTrue="1" id="{A9561DCB-FEA6-4539-84BE-B0D7F8E30BFE}">
            <xm:f>AND(IF(J201&lt;'F:\Users\norela.briceno\Documents\Plan de acción\Plan Accion 2018\[Plan Accion Integrado ADRES Vigencia 2018 con Cuadro de Mando V6..xlsx]Plan de Accion 2018'!#REF!,J201&lt;&gt;"N/A"))</xm:f>
            <x14:dxf>
              <fill>
                <patternFill>
                  <bgColor indexed="10"/>
                </patternFill>
              </fill>
            </x14:dxf>
          </x14:cfRule>
          <xm:sqref>J201</xm:sqref>
        </x14:conditionalFormatting>
        <x14:conditionalFormatting xmlns:xm="http://schemas.microsoft.com/office/excel/2006/main">
          <x14:cfRule type="expression" priority="4308" id="{39F1CF10-5A8F-440D-91F6-3290D3A0B224}">
            <xm:f>AND(IF(J219&gt;'F:\Users\norela.briceno\Documents\Plan de acción\Plan Accion 2018\[Plan Accion Integrado ADRES Vigencia 2018 con Cuadro de Mando V6..xlsx]Plan de Accion 2018'!#REF!,J219&lt;&gt;¨N/A¨))</xm:f>
            <x14:dxf>
              <fill>
                <patternFill>
                  <bgColor theme="1" tint="0.499984740745262"/>
                </patternFill>
              </fill>
            </x14:dxf>
          </x14:cfRule>
          <x14:cfRule type="expression" priority="4309" stopIfTrue="1" id="{F71DAD0A-897A-430E-BBE2-B38278145FDF}">
            <xm:f>AND(IF(J219='F:\Users\norela.briceno\Documents\Plan de acción\Plan Accion 2018\[Plan Accion Integrado ADRES Vigencia 2018 con Cuadro de Mando V6..xlsx]Plan de Accion 2018'!#REF!,J219&lt;&gt;"N/A"))</xm:f>
            <x14:dxf>
              <fill>
                <patternFill>
                  <bgColor rgb="FF00B050"/>
                </patternFill>
              </fill>
            </x14:dxf>
          </x14:cfRule>
          <x14:cfRule type="expression" priority="4310" stopIfTrue="1" id="{D04DDA5A-B1A4-422B-B0DC-5CC7D72D49F3}">
            <xm:f>AND(IF(J219&lt;'F:\Users\norela.briceno\Documents\Plan de acción\Plan Accion 2018\[Plan Accion Integrado ADRES Vigencia 2018 con Cuadro de Mando V6..xlsx]Plan de Accion 2018'!#REF!,J219&lt;&gt;"N/A"))</xm:f>
            <x14:dxf>
              <fill>
                <patternFill>
                  <bgColor indexed="10"/>
                </patternFill>
              </fill>
            </x14:dxf>
          </x14:cfRule>
          <xm:sqref>J219</xm:sqref>
        </x14:conditionalFormatting>
        <x14:conditionalFormatting xmlns:xm="http://schemas.microsoft.com/office/excel/2006/main">
          <x14:cfRule type="expression" priority="4305" id="{DBEAA618-1773-4C62-8BE2-19D72AC3F269}">
            <xm:f>AND(IF(J220&gt;'F:\Users\norela.briceno\Documents\Plan de acción\Plan Accion 2018\[Plan Accion Integrado ADRES Vigencia 2018 con Cuadro de Mando V6..xlsx]Plan de Accion 2018'!#REF!,J220&lt;&gt;¨N/A¨))</xm:f>
            <x14:dxf>
              <fill>
                <patternFill>
                  <bgColor theme="1" tint="0.499984740745262"/>
                </patternFill>
              </fill>
            </x14:dxf>
          </x14:cfRule>
          <x14:cfRule type="expression" priority="4306" stopIfTrue="1" id="{B49D378F-AC14-4594-A9F8-F9D261B6EBFB}">
            <xm:f>AND(IF(J220='F:\Users\norela.briceno\Documents\Plan de acción\Plan Accion 2018\[Plan Accion Integrado ADRES Vigencia 2018 con Cuadro de Mando V6..xlsx]Plan de Accion 2018'!#REF!,J220&lt;&gt;"N/A"))</xm:f>
            <x14:dxf>
              <fill>
                <patternFill>
                  <bgColor rgb="FF00B050"/>
                </patternFill>
              </fill>
            </x14:dxf>
          </x14:cfRule>
          <x14:cfRule type="expression" priority="4307" stopIfTrue="1" id="{41C2620C-D636-43AF-B121-0344CA4C0BC0}">
            <xm:f>AND(IF(J220&lt;'F:\Users\norela.briceno\Documents\Plan de acción\Plan Accion 2018\[Plan Accion Integrado ADRES Vigencia 2018 con Cuadro de Mando V6..xlsx]Plan de Accion 2018'!#REF!,J220&lt;&gt;"N/A"))</xm:f>
            <x14:dxf>
              <fill>
                <patternFill>
                  <bgColor indexed="10"/>
                </patternFill>
              </fill>
            </x14:dxf>
          </x14:cfRule>
          <xm:sqref>J220</xm:sqref>
        </x14:conditionalFormatting>
        <x14:conditionalFormatting xmlns:xm="http://schemas.microsoft.com/office/excel/2006/main">
          <x14:cfRule type="expression" priority="4302" id="{F997B86A-519D-495F-ABDF-BEBE1E0520F9}">
            <xm:f>AND(IF(J221&gt;'F:\Users\norela.briceno\Documents\Plan de acción\Plan Accion 2018\[Plan Accion Integrado ADRES Vigencia 2018 con Cuadro de Mando V6..xlsx]Plan de Accion 2018'!#REF!,J221&lt;&gt;¨N/A¨))</xm:f>
            <x14:dxf>
              <fill>
                <patternFill>
                  <bgColor theme="1" tint="0.499984740745262"/>
                </patternFill>
              </fill>
            </x14:dxf>
          </x14:cfRule>
          <x14:cfRule type="expression" priority="4303" stopIfTrue="1" id="{5C2BC65D-B257-47BE-9803-77670A437F6F}">
            <xm:f>AND(IF(J221='F:\Users\norela.briceno\Documents\Plan de acción\Plan Accion 2018\[Plan Accion Integrado ADRES Vigencia 2018 con Cuadro de Mando V6..xlsx]Plan de Accion 2018'!#REF!,J221&lt;&gt;"N/A"))</xm:f>
            <x14:dxf>
              <fill>
                <patternFill>
                  <bgColor rgb="FF00B050"/>
                </patternFill>
              </fill>
            </x14:dxf>
          </x14:cfRule>
          <x14:cfRule type="expression" priority="4304" stopIfTrue="1" id="{92D0DA70-6A87-4C2A-8062-C95A5E52EAF1}">
            <xm:f>AND(IF(J221&lt;'F:\Users\norela.briceno\Documents\Plan de acción\Plan Accion 2018\[Plan Accion Integrado ADRES Vigencia 2018 con Cuadro de Mando V6..xlsx]Plan de Accion 2018'!#REF!,J221&lt;&gt;"N/A"))</xm:f>
            <x14:dxf>
              <fill>
                <patternFill>
                  <bgColor indexed="10"/>
                </patternFill>
              </fill>
            </x14:dxf>
          </x14:cfRule>
          <xm:sqref>J221</xm:sqref>
        </x14:conditionalFormatting>
        <x14:conditionalFormatting xmlns:xm="http://schemas.microsoft.com/office/excel/2006/main">
          <x14:cfRule type="expression" priority="4299" id="{0D707EFA-B2BC-4CC3-93FF-A8BE909B3524}">
            <xm:f>AND(IF(J224&gt;'F:\Users\norela.briceno\Documents\Plan de acción\Plan Accion 2018\[Plan Accion Integrado ADRES Vigencia 2018 con Cuadro de Mando V6..xlsx]Plan de Accion 2018'!#REF!,J224&lt;&gt;¨N/A¨))</xm:f>
            <x14:dxf>
              <fill>
                <patternFill>
                  <bgColor theme="1" tint="0.499984740745262"/>
                </patternFill>
              </fill>
            </x14:dxf>
          </x14:cfRule>
          <x14:cfRule type="expression" priority="4300" stopIfTrue="1" id="{9492EA1D-F891-40D9-A96D-91ABCCDC7316}">
            <xm:f>AND(IF(J224='F:\Users\norela.briceno\Documents\Plan de acción\Plan Accion 2018\[Plan Accion Integrado ADRES Vigencia 2018 con Cuadro de Mando V6..xlsx]Plan de Accion 2018'!#REF!,J224&lt;&gt;"N/A"))</xm:f>
            <x14:dxf>
              <fill>
                <patternFill>
                  <bgColor rgb="FF00B050"/>
                </patternFill>
              </fill>
            </x14:dxf>
          </x14:cfRule>
          <x14:cfRule type="expression" priority="4301" stopIfTrue="1" id="{2B672A2E-EDA9-406D-99BF-DD197A7A926C}">
            <xm:f>AND(IF(J224&lt;'F:\Users\norela.briceno\Documents\Plan de acción\Plan Accion 2018\[Plan Accion Integrado ADRES Vigencia 2018 con Cuadro de Mando V6..xlsx]Plan de Accion 2018'!#REF!,J224&lt;&gt;"N/A"))</xm:f>
            <x14:dxf>
              <fill>
                <patternFill>
                  <bgColor indexed="10"/>
                </patternFill>
              </fill>
            </x14:dxf>
          </x14:cfRule>
          <xm:sqref>J224</xm:sqref>
        </x14:conditionalFormatting>
        <x14:conditionalFormatting xmlns:xm="http://schemas.microsoft.com/office/excel/2006/main">
          <x14:cfRule type="expression" priority="4296" id="{41E18522-7898-48C9-B65D-F7DF058DBF1F}">
            <xm:f>AND(IF(J225&gt;'F:\Users\norela.briceno\Documents\Plan de acción\Plan Accion 2018\[Plan Accion Integrado ADRES Vigencia 2018 con Cuadro de Mando V6..xlsx]Plan de Accion 2018'!#REF!,J225&lt;&gt;¨N/A¨))</xm:f>
            <x14:dxf>
              <fill>
                <patternFill>
                  <bgColor theme="1" tint="0.499984740745262"/>
                </patternFill>
              </fill>
            </x14:dxf>
          </x14:cfRule>
          <x14:cfRule type="expression" priority="4297" stopIfTrue="1" id="{50EBA678-84F9-4C48-8ED8-671B8A2CD461}">
            <xm:f>AND(IF(J225='F:\Users\norela.briceno\Documents\Plan de acción\Plan Accion 2018\[Plan Accion Integrado ADRES Vigencia 2018 con Cuadro de Mando V6..xlsx]Plan de Accion 2018'!#REF!,J225&lt;&gt;"N/A"))</xm:f>
            <x14:dxf>
              <fill>
                <patternFill>
                  <bgColor rgb="FF00B050"/>
                </patternFill>
              </fill>
            </x14:dxf>
          </x14:cfRule>
          <x14:cfRule type="expression" priority="4298" stopIfTrue="1" id="{8F9BFEC4-CC3A-4ECE-8AB8-553C8F3A98E4}">
            <xm:f>AND(IF(J225&lt;'F:\Users\norela.briceno\Documents\Plan de acción\Plan Accion 2018\[Plan Accion Integrado ADRES Vigencia 2018 con Cuadro de Mando V6..xlsx]Plan de Accion 2018'!#REF!,J225&lt;&gt;"N/A"))</xm:f>
            <x14:dxf>
              <fill>
                <patternFill>
                  <bgColor indexed="10"/>
                </patternFill>
              </fill>
            </x14:dxf>
          </x14:cfRule>
          <xm:sqref>J225</xm:sqref>
        </x14:conditionalFormatting>
        <x14:conditionalFormatting xmlns:xm="http://schemas.microsoft.com/office/excel/2006/main">
          <x14:cfRule type="expression" priority="4293" id="{34813F26-FB04-4524-A933-CA1F1135CD8E}">
            <xm:f>AND(IF(J229&gt;'F:\Users\norela.briceno\Documents\Plan de acción\Plan Accion 2018\[Plan Accion Integrado ADRES Vigencia 2018 con Cuadro de Mando V6..xlsx]Plan de Accion 2018'!#REF!,J229&lt;&gt;¨N/A¨))</xm:f>
            <x14:dxf>
              <fill>
                <patternFill>
                  <bgColor theme="1" tint="0.499984740745262"/>
                </patternFill>
              </fill>
            </x14:dxf>
          </x14:cfRule>
          <x14:cfRule type="expression" priority="4294" stopIfTrue="1" id="{5C4ED222-39FA-4032-81CA-6ED702CFC5E6}">
            <xm:f>AND(IF(J229='F:\Users\norela.briceno\Documents\Plan de acción\Plan Accion 2018\[Plan Accion Integrado ADRES Vigencia 2018 con Cuadro de Mando V6..xlsx]Plan de Accion 2018'!#REF!,J229&lt;&gt;"N/A"))</xm:f>
            <x14:dxf>
              <fill>
                <patternFill>
                  <bgColor rgb="FF00B050"/>
                </patternFill>
              </fill>
            </x14:dxf>
          </x14:cfRule>
          <x14:cfRule type="expression" priority="4295" stopIfTrue="1" id="{576C9731-46DF-4B0F-86D7-69AB639BAB39}">
            <xm:f>AND(IF(J229&lt;'F:\Users\norela.briceno\Documents\Plan de acción\Plan Accion 2018\[Plan Accion Integrado ADRES Vigencia 2018 con Cuadro de Mando V6..xlsx]Plan de Accion 2018'!#REF!,J229&lt;&gt;"N/A"))</xm:f>
            <x14:dxf>
              <fill>
                <patternFill>
                  <bgColor indexed="10"/>
                </patternFill>
              </fill>
            </x14:dxf>
          </x14:cfRule>
          <xm:sqref>J229</xm:sqref>
        </x14:conditionalFormatting>
        <x14:conditionalFormatting xmlns:xm="http://schemas.microsoft.com/office/excel/2006/main">
          <x14:cfRule type="expression" priority="4290" id="{E2275562-AABF-40D3-9902-4731CA7EA93A}">
            <xm:f>AND(IF(J230&gt;'F:\Users\norela.briceno\Documents\Plan de acción\Plan Accion 2018\[Plan Accion Integrado ADRES Vigencia 2018 con Cuadro de Mando V6..xlsx]Plan de Accion 2018'!#REF!,J230&lt;&gt;¨N/A¨))</xm:f>
            <x14:dxf>
              <fill>
                <patternFill>
                  <bgColor theme="1" tint="0.499984740745262"/>
                </patternFill>
              </fill>
            </x14:dxf>
          </x14:cfRule>
          <x14:cfRule type="expression" priority="4291" stopIfTrue="1" id="{45642891-474F-42FC-A555-AF2E5E802DFE}">
            <xm:f>AND(IF(J230='F:\Users\norela.briceno\Documents\Plan de acción\Plan Accion 2018\[Plan Accion Integrado ADRES Vigencia 2018 con Cuadro de Mando V6..xlsx]Plan de Accion 2018'!#REF!,J230&lt;&gt;"N/A"))</xm:f>
            <x14:dxf>
              <fill>
                <patternFill>
                  <bgColor rgb="FF00B050"/>
                </patternFill>
              </fill>
            </x14:dxf>
          </x14:cfRule>
          <x14:cfRule type="expression" priority="4292" stopIfTrue="1" id="{331F4288-4372-4B3A-9B80-6915FBEFAC1B}">
            <xm:f>AND(IF(J230&lt;'F:\Users\norela.briceno\Documents\Plan de acción\Plan Accion 2018\[Plan Accion Integrado ADRES Vigencia 2018 con Cuadro de Mando V6..xlsx]Plan de Accion 2018'!#REF!,J230&lt;&gt;"N/A"))</xm:f>
            <x14:dxf>
              <fill>
                <patternFill>
                  <bgColor indexed="10"/>
                </patternFill>
              </fill>
            </x14:dxf>
          </x14:cfRule>
          <xm:sqref>J230</xm:sqref>
        </x14:conditionalFormatting>
        <x14:conditionalFormatting xmlns:xm="http://schemas.microsoft.com/office/excel/2006/main">
          <x14:cfRule type="expression" priority="4287" id="{1D828B23-1D32-4506-BBB3-55D11E7E2AAB}">
            <xm:f>AND(IF(J231&gt;'F:\Users\norela.briceno\Documents\Plan de acción\Plan Accion 2018\[Plan Accion Integrado ADRES Vigencia 2018 con Cuadro de Mando V6..xlsx]Plan de Accion 2018'!#REF!,J231&lt;&gt;¨N/A¨))</xm:f>
            <x14:dxf>
              <fill>
                <patternFill>
                  <bgColor theme="1" tint="0.499984740745262"/>
                </patternFill>
              </fill>
            </x14:dxf>
          </x14:cfRule>
          <x14:cfRule type="expression" priority="4288" stopIfTrue="1" id="{F2C5F9F2-B19F-42FF-AAC6-E9DA83EAFF8C}">
            <xm:f>AND(IF(J231='F:\Users\norela.briceno\Documents\Plan de acción\Plan Accion 2018\[Plan Accion Integrado ADRES Vigencia 2018 con Cuadro de Mando V6..xlsx]Plan de Accion 2018'!#REF!,J231&lt;&gt;"N/A"))</xm:f>
            <x14:dxf>
              <fill>
                <patternFill>
                  <bgColor rgb="FF00B050"/>
                </patternFill>
              </fill>
            </x14:dxf>
          </x14:cfRule>
          <x14:cfRule type="expression" priority="4289" stopIfTrue="1" id="{CD804F8A-948A-4C9C-818E-1D8D23C77F88}">
            <xm:f>AND(IF(J231&lt;'F:\Users\norela.briceno\Documents\Plan de acción\Plan Accion 2018\[Plan Accion Integrado ADRES Vigencia 2018 con Cuadro de Mando V6..xlsx]Plan de Accion 2018'!#REF!,J231&lt;&gt;"N/A"))</xm:f>
            <x14:dxf>
              <fill>
                <patternFill>
                  <bgColor indexed="10"/>
                </patternFill>
              </fill>
            </x14:dxf>
          </x14:cfRule>
          <xm:sqref>J231</xm:sqref>
        </x14:conditionalFormatting>
        <x14:conditionalFormatting xmlns:xm="http://schemas.microsoft.com/office/excel/2006/main">
          <x14:cfRule type="expression" priority="4284" id="{CB50322A-4A11-49DA-858A-DB3867A4B860}">
            <xm:f>AND(IF(J232&gt;'F:\Users\norela.briceno\Documents\Plan de acción\Plan Accion 2018\[Plan Accion Integrado ADRES Vigencia 2018 con Cuadro de Mando V6..xlsx]Plan de Accion 2018'!#REF!,J232&lt;&gt;¨N/A¨))</xm:f>
            <x14:dxf>
              <fill>
                <patternFill>
                  <bgColor theme="1" tint="0.499984740745262"/>
                </patternFill>
              </fill>
            </x14:dxf>
          </x14:cfRule>
          <x14:cfRule type="expression" priority="4285" stopIfTrue="1" id="{9BB68865-4570-4BB6-8660-AC0571D7ACD9}">
            <xm:f>AND(IF(J232='F:\Users\norela.briceno\Documents\Plan de acción\Plan Accion 2018\[Plan Accion Integrado ADRES Vigencia 2018 con Cuadro de Mando V6..xlsx]Plan de Accion 2018'!#REF!,J232&lt;&gt;"N/A"))</xm:f>
            <x14:dxf>
              <fill>
                <patternFill>
                  <bgColor rgb="FF00B050"/>
                </patternFill>
              </fill>
            </x14:dxf>
          </x14:cfRule>
          <x14:cfRule type="expression" priority="4286" stopIfTrue="1" id="{2F81707A-F2E9-4FBD-AFBE-4D7DDCA922E7}">
            <xm:f>AND(IF(J232&lt;'F:\Users\norela.briceno\Documents\Plan de acción\Plan Accion 2018\[Plan Accion Integrado ADRES Vigencia 2018 con Cuadro de Mando V6..xlsx]Plan de Accion 2018'!#REF!,J232&lt;&gt;"N/A"))</xm:f>
            <x14:dxf>
              <fill>
                <patternFill>
                  <bgColor indexed="10"/>
                </patternFill>
              </fill>
            </x14:dxf>
          </x14:cfRule>
          <xm:sqref>J232</xm:sqref>
        </x14:conditionalFormatting>
        <x14:conditionalFormatting xmlns:xm="http://schemas.microsoft.com/office/excel/2006/main">
          <x14:cfRule type="expression" priority="4281" id="{D3B0D04B-FB0E-4025-9C62-BF3E30B17678}">
            <xm:f>AND(IF(J233&gt;'F:\Users\norela.briceno\Documents\Plan de acción\Plan Accion 2018\[Plan Accion Integrado ADRES Vigencia 2018 con Cuadro de Mando V6..xlsx]Plan de Accion 2018'!#REF!,J233&lt;&gt;¨N/A¨))</xm:f>
            <x14:dxf>
              <fill>
                <patternFill>
                  <bgColor theme="1" tint="0.499984740745262"/>
                </patternFill>
              </fill>
            </x14:dxf>
          </x14:cfRule>
          <x14:cfRule type="expression" priority="4282" stopIfTrue="1" id="{86FA60B1-113E-4B7D-B701-2397BD506929}">
            <xm:f>AND(IF(J233='F:\Users\norela.briceno\Documents\Plan de acción\Plan Accion 2018\[Plan Accion Integrado ADRES Vigencia 2018 con Cuadro de Mando V6..xlsx]Plan de Accion 2018'!#REF!,J233&lt;&gt;"N/A"))</xm:f>
            <x14:dxf>
              <fill>
                <patternFill>
                  <bgColor rgb="FF00B050"/>
                </patternFill>
              </fill>
            </x14:dxf>
          </x14:cfRule>
          <x14:cfRule type="expression" priority="4283" stopIfTrue="1" id="{0ACD61CE-4F05-45D0-9711-9770F76395C1}">
            <xm:f>AND(IF(J233&lt;'F:\Users\norela.briceno\Documents\Plan de acción\Plan Accion 2018\[Plan Accion Integrado ADRES Vigencia 2018 con Cuadro de Mando V6..xlsx]Plan de Accion 2018'!#REF!,J233&lt;&gt;"N/A"))</xm:f>
            <x14:dxf>
              <fill>
                <patternFill>
                  <bgColor indexed="10"/>
                </patternFill>
              </fill>
            </x14:dxf>
          </x14:cfRule>
          <xm:sqref>J233</xm:sqref>
        </x14:conditionalFormatting>
        <x14:conditionalFormatting xmlns:xm="http://schemas.microsoft.com/office/excel/2006/main">
          <x14:cfRule type="expression" priority="4278" id="{8D9EBFED-9FA4-4B63-8D41-2D3BD932912A}">
            <xm:f>AND(IF(J234&gt;'F:\Users\norela.briceno\Documents\Plan de acción\Plan Accion 2018\[Plan Accion Integrado ADRES Vigencia 2018 con Cuadro de Mando V6..xlsx]Plan de Accion 2018'!#REF!,J234&lt;&gt;¨N/A¨))</xm:f>
            <x14:dxf>
              <fill>
                <patternFill>
                  <bgColor theme="1" tint="0.499984740745262"/>
                </patternFill>
              </fill>
            </x14:dxf>
          </x14:cfRule>
          <x14:cfRule type="expression" priority="4279" stopIfTrue="1" id="{EEC3DE9F-3661-401F-9F57-6E602B4A4442}">
            <xm:f>AND(IF(J234='F:\Users\norela.briceno\Documents\Plan de acción\Plan Accion 2018\[Plan Accion Integrado ADRES Vigencia 2018 con Cuadro de Mando V6..xlsx]Plan de Accion 2018'!#REF!,J234&lt;&gt;"N/A"))</xm:f>
            <x14:dxf>
              <fill>
                <patternFill>
                  <bgColor rgb="FF00B050"/>
                </patternFill>
              </fill>
            </x14:dxf>
          </x14:cfRule>
          <x14:cfRule type="expression" priority="4280" stopIfTrue="1" id="{A7407ADC-BA22-480D-AD87-8605E92622F0}">
            <xm:f>AND(IF(J234&lt;'F:\Users\norela.briceno\Documents\Plan de acción\Plan Accion 2018\[Plan Accion Integrado ADRES Vigencia 2018 con Cuadro de Mando V6..xlsx]Plan de Accion 2018'!#REF!,J234&lt;&gt;"N/A"))</xm:f>
            <x14:dxf>
              <fill>
                <patternFill>
                  <bgColor indexed="10"/>
                </patternFill>
              </fill>
            </x14:dxf>
          </x14:cfRule>
          <xm:sqref>J234</xm:sqref>
        </x14:conditionalFormatting>
        <x14:conditionalFormatting xmlns:xm="http://schemas.microsoft.com/office/excel/2006/main">
          <x14:cfRule type="expression" priority="4275" id="{81706C31-A53A-4CE3-991D-5AE23B7F42AD}">
            <xm:f>AND(IF(J339&gt;'F:\Users\norela.briceno\Documents\Plan de acción\Plan Accion 2018\[Plan Accion Integrado ADRES Vigencia 2018 con Cuadro de Mando V6..xlsx]Plan de Accion 2018'!#REF!,J339&lt;&gt;¨N/A¨))</xm:f>
            <x14:dxf>
              <fill>
                <patternFill>
                  <bgColor theme="1" tint="0.499984740745262"/>
                </patternFill>
              </fill>
            </x14:dxf>
          </x14:cfRule>
          <x14:cfRule type="expression" priority="4276" stopIfTrue="1" id="{E62D2079-1CED-45B3-A863-2160AF97BF3F}">
            <xm:f>AND(IF(J339='F:\Users\norela.briceno\Documents\Plan de acción\Plan Accion 2018\[Plan Accion Integrado ADRES Vigencia 2018 con Cuadro de Mando V6..xlsx]Plan de Accion 2018'!#REF!,J339&lt;&gt;"N/A"))</xm:f>
            <x14:dxf>
              <fill>
                <patternFill>
                  <bgColor rgb="FF00B050"/>
                </patternFill>
              </fill>
            </x14:dxf>
          </x14:cfRule>
          <x14:cfRule type="expression" priority="4277" stopIfTrue="1" id="{AB84716A-C9EC-4857-943D-59C25E981F51}">
            <xm:f>AND(IF(J339&lt;'F:\Users\norela.briceno\Documents\Plan de acción\Plan Accion 2018\[Plan Accion Integrado ADRES Vigencia 2018 con Cuadro de Mando V6..xlsx]Plan de Accion 2018'!#REF!,J339&lt;&gt;"N/A"))</xm:f>
            <x14:dxf>
              <fill>
                <patternFill>
                  <bgColor indexed="10"/>
                </patternFill>
              </fill>
            </x14:dxf>
          </x14:cfRule>
          <xm:sqref>J339</xm:sqref>
        </x14:conditionalFormatting>
        <x14:conditionalFormatting xmlns:xm="http://schemas.microsoft.com/office/excel/2006/main">
          <x14:cfRule type="expression" priority="4272" id="{1A4208E5-5855-474D-9716-897FB7383D36}">
            <xm:f>AND(IF(J235&gt;'F:\Users\norela.briceno\Documents\Plan de acción\Plan Accion 2018\[Plan Accion Integrado ADRES Vigencia 2018 con Cuadro de Mando V6..xlsx]Plan de Accion 2018'!#REF!,J235&lt;&gt;¨N/A¨))</xm:f>
            <x14:dxf>
              <fill>
                <patternFill>
                  <bgColor theme="1" tint="0.499984740745262"/>
                </patternFill>
              </fill>
            </x14:dxf>
          </x14:cfRule>
          <x14:cfRule type="expression" priority="4273" stopIfTrue="1" id="{5FB49E7B-CEC0-4B0E-8F87-4EC47CAB7A0B}">
            <xm:f>AND(IF(J235='F:\Users\norela.briceno\Documents\Plan de acción\Plan Accion 2018\[Plan Accion Integrado ADRES Vigencia 2018 con Cuadro de Mando V6..xlsx]Plan de Accion 2018'!#REF!,J235&lt;&gt;"N/A"))</xm:f>
            <x14:dxf>
              <fill>
                <patternFill>
                  <bgColor rgb="FF00B050"/>
                </patternFill>
              </fill>
            </x14:dxf>
          </x14:cfRule>
          <x14:cfRule type="expression" priority="4274" stopIfTrue="1" id="{0530597E-29F2-4B29-8C0E-630B8B025BFC}">
            <xm:f>AND(IF(J235&lt;'F:\Users\norela.briceno\Documents\Plan de acción\Plan Accion 2018\[Plan Accion Integrado ADRES Vigencia 2018 con Cuadro de Mando V6..xlsx]Plan de Accion 2018'!#REF!,J235&lt;&gt;"N/A"))</xm:f>
            <x14:dxf>
              <fill>
                <patternFill>
                  <bgColor indexed="10"/>
                </patternFill>
              </fill>
            </x14:dxf>
          </x14:cfRule>
          <xm:sqref>J235</xm:sqref>
        </x14:conditionalFormatting>
        <x14:conditionalFormatting xmlns:xm="http://schemas.microsoft.com/office/excel/2006/main">
          <x14:cfRule type="expression" priority="4269" id="{A9420F15-3C15-4124-A55F-35E7EF0938D1}">
            <xm:f>AND(IF(J236&gt;'F:\Users\norela.briceno\Documents\Plan de acción\Plan Accion 2018\[Plan Accion Integrado ADRES Vigencia 2018 con Cuadro de Mando V6..xlsx]Plan de Accion 2018'!#REF!,J236&lt;&gt;¨N/A¨))</xm:f>
            <x14:dxf>
              <fill>
                <patternFill>
                  <bgColor theme="1" tint="0.499984740745262"/>
                </patternFill>
              </fill>
            </x14:dxf>
          </x14:cfRule>
          <x14:cfRule type="expression" priority="4270" stopIfTrue="1" id="{67B5CFFB-7D11-472C-9099-E98FC4760406}">
            <xm:f>AND(IF(J236='F:\Users\norela.briceno\Documents\Plan de acción\Plan Accion 2018\[Plan Accion Integrado ADRES Vigencia 2018 con Cuadro de Mando V6..xlsx]Plan de Accion 2018'!#REF!,J236&lt;&gt;"N/A"))</xm:f>
            <x14:dxf>
              <fill>
                <patternFill>
                  <bgColor rgb="FF00B050"/>
                </patternFill>
              </fill>
            </x14:dxf>
          </x14:cfRule>
          <x14:cfRule type="expression" priority="4271" stopIfTrue="1" id="{BC861CDF-5CE9-46F0-B12B-E534B7903C15}">
            <xm:f>AND(IF(J236&lt;'F:\Users\norela.briceno\Documents\Plan de acción\Plan Accion 2018\[Plan Accion Integrado ADRES Vigencia 2018 con Cuadro de Mando V6..xlsx]Plan de Accion 2018'!#REF!,J236&lt;&gt;"N/A"))</xm:f>
            <x14:dxf>
              <fill>
                <patternFill>
                  <bgColor indexed="10"/>
                </patternFill>
              </fill>
            </x14:dxf>
          </x14:cfRule>
          <xm:sqref>J236</xm:sqref>
        </x14:conditionalFormatting>
        <x14:conditionalFormatting xmlns:xm="http://schemas.microsoft.com/office/excel/2006/main">
          <x14:cfRule type="expression" priority="4266" id="{17FD2878-DF22-4026-BC98-82D98C77EA30}">
            <xm:f>AND(IF(J237&gt;'F:\Users\norela.briceno\Documents\Plan de acción\Plan Accion 2018\[Plan Accion Integrado ADRES Vigencia 2018 con Cuadro de Mando V6..xlsx]Plan de Accion 2018'!#REF!,J237&lt;&gt;¨N/A¨))</xm:f>
            <x14:dxf>
              <fill>
                <patternFill>
                  <bgColor theme="1" tint="0.499984740745262"/>
                </patternFill>
              </fill>
            </x14:dxf>
          </x14:cfRule>
          <x14:cfRule type="expression" priority="4267" stopIfTrue="1" id="{BD37D703-C499-4DC4-ADAC-5EBEC86A8D02}">
            <xm:f>AND(IF(J237='F:\Users\norela.briceno\Documents\Plan de acción\Plan Accion 2018\[Plan Accion Integrado ADRES Vigencia 2018 con Cuadro de Mando V6..xlsx]Plan de Accion 2018'!#REF!,J237&lt;&gt;"N/A"))</xm:f>
            <x14:dxf>
              <fill>
                <patternFill>
                  <bgColor rgb="FF00B050"/>
                </patternFill>
              </fill>
            </x14:dxf>
          </x14:cfRule>
          <x14:cfRule type="expression" priority="4268" stopIfTrue="1" id="{DFA30E7E-B8F9-4CEA-AE5D-3D82896940DC}">
            <xm:f>AND(IF(J237&lt;'F:\Users\norela.briceno\Documents\Plan de acción\Plan Accion 2018\[Plan Accion Integrado ADRES Vigencia 2018 con Cuadro de Mando V6..xlsx]Plan de Accion 2018'!#REF!,J237&lt;&gt;"N/A"))</xm:f>
            <x14:dxf>
              <fill>
                <patternFill>
                  <bgColor indexed="10"/>
                </patternFill>
              </fill>
            </x14:dxf>
          </x14:cfRule>
          <xm:sqref>J237</xm:sqref>
        </x14:conditionalFormatting>
        <x14:conditionalFormatting xmlns:xm="http://schemas.microsoft.com/office/excel/2006/main">
          <x14:cfRule type="expression" priority="4263" id="{9441A0A4-E5E8-4D67-8995-2AEE8D664D9B}">
            <xm:f>AND(IF(J239&gt;'F:\Users\norela.briceno\Documents\Plan de acción\Plan Accion 2018\[Plan Accion Integrado ADRES Vigencia 2018 con Cuadro de Mando V6..xlsx]Plan de Accion 2018'!#REF!,J239&lt;&gt;¨N/A¨))</xm:f>
            <x14:dxf>
              <fill>
                <patternFill>
                  <bgColor theme="1" tint="0.499984740745262"/>
                </patternFill>
              </fill>
            </x14:dxf>
          </x14:cfRule>
          <x14:cfRule type="expression" priority="4264" stopIfTrue="1" id="{4A5A310D-0AAF-4693-BE58-2C2E01DD6EFA}">
            <xm:f>AND(IF(J239='F:\Users\norela.briceno\Documents\Plan de acción\Plan Accion 2018\[Plan Accion Integrado ADRES Vigencia 2018 con Cuadro de Mando V6..xlsx]Plan de Accion 2018'!#REF!,J239&lt;&gt;"N/A"))</xm:f>
            <x14:dxf>
              <fill>
                <patternFill>
                  <bgColor rgb="FF00B050"/>
                </patternFill>
              </fill>
            </x14:dxf>
          </x14:cfRule>
          <x14:cfRule type="expression" priority="4265" stopIfTrue="1" id="{9C628271-89B6-4097-951A-0CD5D64670C4}">
            <xm:f>AND(IF(J239&lt;'F:\Users\norela.briceno\Documents\Plan de acción\Plan Accion 2018\[Plan Accion Integrado ADRES Vigencia 2018 con Cuadro de Mando V6..xlsx]Plan de Accion 2018'!#REF!,J239&lt;&gt;"N/A"))</xm:f>
            <x14:dxf>
              <fill>
                <patternFill>
                  <bgColor indexed="10"/>
                </patternFill>
              </fill>
            </x14:dxf>
          </x14:cfRule>
          <xm:sqref>J239</xm:sqref>
        </x14:conditionalFormatting>
        <x14:conditionalFormatting xmlns:xm="http://schemas.microsoft.com/office/excel/2006/main">
          <x14:cfRule type="expression" priority="4260" id="{C0FD86B9-F015-4F10-89CE-B17CFC49794C}">
            <xm:f>AND(IF(J240&gt;'F:\Users\norela.briceno\Documents\Plan de acción\Plan Accion 2018\[Plan Accion Integrado ADRES Vigencia 2018 con Cuadro de Mando V6..xlsx]Plan de Accion 2018'!#REF!,J240&lt;&gt;¨N/A¨))</xm:f>
            <x14:dxf>
              <fill>
                <patternFill>
                  <bgColor theme="1" tint="0.499984740745262"/>
                </patternFill>
              </fill>
            </x14:dxf>
          </x14:cfRule>
          <x14:cfRule type="expression" priority="4261" stopIfTrue="1" id="{DD7434A2-9D7D-49FA-AAE8-7B28682F9EFD}">
            <xm:f>AND(IF(J240='F:\Users\norela.briceno\Documents\Plan de acción\Plan Accion 2018\[Plan Accion Integrado ADRES Vigencia 2018 con Cuadro de Mando V6..xlsx]Plan de Accion 2018'!#REF!,J240&lt;&gt;"N/A"))</xm:f>
            <x14:dxf>
              <fill>
                <patternFill>
                  <bgColor rgb="FF00B050"/>
                </patternFill>
              </fill>
            </x14:dxf>
          </x14:cfRule>
          <x14:cfRule type="expression" priority="4262" stopIfTrue="1" id="{953E6739-4754-4C24-83F6-0059B81D32FC}">
            <xm:f>AND(IF(J240&lt;'F:\Users\norela.briceno\Documents\Plan de acción\Plan Accion 2018\[Plan Accion Integrado ADRES Vigencia 2018 con Cuadro de Mando V6..xlsx]Plan de Accion 2018'!#REF!,J240&lt;&gt;"N/A"))</xm:f>
            <x14:dxf>
              <fill>
                <patternFill>
                  <bgColor indexed="10"/>
                </patternFill>
              </fill>
            </x14:dxf>
          </x14:cfRule>
          <xm:sqref>J240</xm:sqref>
        </x14:conditionalFormatting>
        <x14:conditionalFormatting xmlns:xm="http://schemas.microsoft.com/office/excel/2006/main">
          <x14:cfRule type="expression" priority="4257" id="{F9A7DD9F-6676-49C8-A9F5-E3EC28A03A9A}">
            <xm:f>AND(IF(J241&gt;'F:\Users\norela.briceno\Documents\Plan de acción\Plan Accion 2018\[Plan Accion Integrado ADRES Vigencia 2018 con Cuadro de Mando V6..xlsx]Plan de Accion 2018'!#REF!,J241&lt;&gt;¨N/A¨))</xm:f>
            <x14:dxf>
              <fill>
                <patternFill>
                  <bgColor theme="1" tint="0.499984740745262"/>
                </patternFill>
              </fill>
            </x14:dxf>
          </x14:cfRule>
          <x14:cfRule type="expression" priority="4258" stopIfTrue="1" id="{A70A37DE-896E-457F-BCE7-D4B2AD352FD4}">
            <xm:f>AND(IF(J241='F:\Users\norela.briceno\Documents\Plan de acción\Plan Accion 2018\[Plan Accion Integrado ADRES Vigencia 2018 con Cuadro de Mando V6..xlsx]Plan de Accion 2018'!#REF!,J241&lt;&gt;"N/A"))</xm:f>
            <x14:dxf>
              <fill>
                <patternFill>
                  <bgColor rgb="FF00B050"/>
                </patternFill>
              </fill>
            </x14:dxf>
          </x14:cfRule>
          <x14:cfRule type="expression" priority="4259" stopIfTrue="1" id="{5592FFBC-E8DF-4926-A053-7EA5BCCCD0F1}">
            <xm:f>AND(IF(J241&lt;'F:\Users\norela.briceno\Documents\Plan de acción\Plan Accion 2018\[Plan Accion Integrado ADRES Vigencia 2018 con Cuadro de Mando V6..xlsx]Plan de Accion 2018'!#REF!,J241&lt;&gt;"N/A"))</xm:f>
            <x14:dxf>
              <fill>
                <patternFill>
                  <bgColor indexed="10"/>
                </patternFill>
              </fill>
            </x14:dxf>
          </x14:cfRule>
          <xm:sqref>J241</xm:sqref>
        </x14:conditionalFormatting>
        <x14:conditionalFormatting xmlns:xm="http://schemas.microsoft.com/office/excel/2006/main">
          <x14:cfRule type="expression" priority="4254" id="{D56712E0-1194-428C-8375-4A43669D3AB8}">
            <xm:f>AND(IF(J242&gt;'F:\Users\norela.briceno\Documents\Plan de acción\Plan Accion 2018\[Plan Accion Integrado ADRES Vigencia 2018 con Cuadro de Mando V6..xlsx]Plan de Accion 2018'!#REF!,J242&lt;&gt;¨N/A¨))</xm:f>
            <x14:dxf>
              <fill>
                <patternFill>
                  <bgColor theme="1" tint="0.499984740745262"/>
                </patternFill>
              </fill>
            </x14:dxf>
          </x14:cfRule>
          <x14:cfRule type="expression" priority="4255" stopIfTrue="1" id="{8D908BA7-7A8E-4F0E-976B-FB8F0B83A859}">
            <xm:f>AND(IF(J242='F:\Users\norela.briceno\Documents\Plan de acción\Plan Accion 2018\[Plan Accion Integrado ADRES Vigencia 2018 con Cuadro de Mando V6..xlsx]Plan de Accion 2018'!#REF!,J242&lt;&gt;"N/A"))</xm:f>
            <x14:dxf>
              <fill>
                <patternFill>
                  <bgColor rgb="FF00B050"/>
                </patternFill>
              </fill>
            </x14:dxf>
          </x14:cfRule>
          <x14:cfRule type="expression" priority="4256" stopIfTrue="1" id="{78D03A0A-70FB-4449-8ACB-01F448534DC4}">
            <xm:f>AND(IF(J242&lt;'F:\Users\norela.briceno\Documents\Plan de acción\Plan Accion 2018\[Plan Accion Integrado ADRES Vigencia 2018 con Cuadro de Mando V6..xlsx]Plan de Accion 2018'!#REF!,J242&lt;&gt;"N/A"))</xm:f>
            <x14:dxf>
              <fill>
                <patternFill>
                  <bgColor indexed="10"/>
                </patternFill>
              </fill>
            </x14:dxf>
          </x14:cfRule>
          <xm:sqref>J242</xm:sqref>
        </x14:conditionalFormatting>
        <x14:conditionalFormatting xmlns:xm="http://schemas.microsoft.com/office/excel/2006/main">
          <x14:cfRule type="expression" priority="4251" id="{7B85CDDD-1626-48DD-B9CC-E083202030E5}">
            <xm:f>AND(IF(J243&gt;'F:\Users\norela.briceno\Documents\Plan de acción\Plan Accion 2018\[Plan Accion Integrado ADRES Vigencia 2018 con Cuadro de Mando V6..xlsx]Plan de Accion 2018'!#REF!,J243&lt;&gt;¨N/A¨))</xm:f>
            <x14:dxf>
              <fill>
                <patternFill>
                  <bgColor theme="1" tint="0.499984740745262"/>
                </patternFill>
              </fill>
            </x14:dxf>
          </x14:cfRule>
          <x14:cfRule type="expression" priority="4252" stopIfTrue="1" id="{2030EAFF-E54C-4460-BD0F-BCB138C2441D}">
            <xm:f>AND(IF(J243='F:\Users\norela.briceno\Documents\Plan de acción\Plan Accion 2018\[Plan Accion Integrado ADRES Vigencia 2018 con Cuadro de Mando V6..xlsx]Plan de Accion 2018'!#REF!,J243&lt;&gt;"N/A"))</xm:f>
            <x14:dxf>
              <fill>
                <patternFill>
                  <bgColor rgb="FF00B050"/>
                </patternFill>
              </fill>
            </x14:dxf>
          </x14:cfRule>
          <x14:cfRule type="expression" priority="4253" stopIfTrue="1" id="{8FCD5CE0-7ED4-4E58-8666-39B39C0D50E4}">
            <xm:f>AND(IF(J243&lt;'F:\Users\norela.briceno\Documents\Plan de acción\Plan Accion 2018\[Plan Accion Integrado ADRES Vigencia 2018 con Cuadro de Mando V6..xlsx]Plan de Accion 2018'!#REF!,J243&lt;&gt;"N/A"))</xm:f>
            <x14:dxf>
              <fill>
                <patternFill>
                  <bgColor indexed="10"/>
                </patternFill>
              </fill>
            </x14:dxf>
          </x14:cfRule>
          <xm:sqref>J243</xm:sqref>
        </x14:conditionalFormatting>
        <x14:conditionalFormatting xmlns:xm="http://schemas.microsoft.com/office/excel/2006/main">
          <x14:cfRule type="expression" priority="4248" id="{DA497230-0898-42A5-B1BD-8EA82D090FAC}">
            <xm:f>AND(IF(J244&gt;'F:\Users\norela.briceno\Documents\Plan de acción\Plan Accion 2018\[Plan Accion Integrado ADRES Vigencia 2018 con Cuadro de Mando V6..xlsx]Plan de Accion 2018'!#REF!,J244&lt;&gt;¨N/A¨))</xm:f>
            <x14:dxf>
              <fill>
                <patternFill>
                  <bgColor theme="1" tint="0.499984740745262"/>
                </patternFill>
              </fill>
            </x14:dxf>
          </x14:cfRule>
          <x14:cfRule type="expression" priority="4249" stopIfTrue="1" id="{0E813B68-C788-483A-BEE6-7A6EE7F9AA86}">
            <xm:f>AND(IF(J244='F:\Users\norela.briceno\Documents\Plan de acción\Plan Accion 2018\[Plan Accion Integrado ADRES Vigencia 2018 con Cuadro de Mando V6..xlsx]Plan de Accion 2018'!#REF!,J244&lt;&gt;"N/A"))</xm:f>
            <x14:dxf>
              <fill>
                <patternFill>
                  <bgColor rgb="FF00B050"/>
                </patternFill>
              </fill>
            </x14:dxf>
          </x14:cfRule>
          <x14:cfRule type="expression" priority="4250" stopIfTrue="1" id="{5598539D-1E3B-4868-B91B-5D27574053D0}">
            <xm:f>AND(IF(J244&lt;'F:\Users\norela.briceno\Documents\Plan de acción\Plan Accion 2018\[Plan Accion Integrado ADRES Vigencia 2018 con Cuadro de Mando V6..xlsx]Plan de Accion 2018'!#REF!,J244&lt;&gt;"N/A"))</xm:f>
            <x14:dxf>
              <fill>
                <patternFill>
                  <bgColor indexed="10"/>
                </patternFill>
              </fill>
            </x14:dxf>
          </x14:cfRule>
          <xm:sqref>J244</xm:sqref>
        </x14:conditionalFormatting>
        <x14:conditionalFormatting xmlns:xm="http://schemas.microsoft.com/office/excel/2006/main">
          <x14:cfRule type="expression" priority="4245" id="{DEDB9490-59A3-466F-BB30-1B022272E17F}">
            <xm:f>AND(IF(J245&gt;'F:\Users\norela.briceno\Documents\Plan de acción\Plan Accion 2018\[Plan Accion Integrado ADRES Vigencia 2018 con Cuadro de Mando V6..xlsx]Plan de Accion 2018'!#REF!,J245&lt;&gt;¨N/A¨))</xm:f>
            <x14:dxf>
              <fill>
                <patternFill>
                  <bgColor theme="1" tint="0.499984740745262"/>
                </patternFill>
              </fill>
            </x14:dxf>
          </x14:cfRule>
          <x14:cfRule type="expression" priority="4246" stopIfTrue="1" id="{6A60F988-57FB-4D8C-9F39-699A5FC72284}">
            <xm:f>AND(IF(J245='F:\Users\norela.briceno\Documents\Plan de acción\Plan Accion 2018\[Plan Accion Integrado ADRES Vigencia 2018 con Cuadro de Mando V6..xlsx]Plan de Accion 2018'!#REF!,J245&lt;&gt;"N/A"))</xm:f>
            <x14:dxf>
              <fill>
                <patternFill>
                  <bgColor rgb="FF00B050"/>
                </patternFill>
              </fill>
            </x14:dxf>
          </x14:cfRule>
          <x14:cfRule type="expression" priority="4247" stopIfTrue="1" id="{EA68719C-6496-486E-ADD2-3084E1D36350}">
            <xm:f>AND(IF(J245&lt;'F:\Users\norela.briceno\Documents\Plan de acción\Plan Accion 2018\[Plan Accion Integrado ADRES Vigencia 2018 con Cuadro de Mando V6..xlsx]Plan de Accion 2018'!#REF!,J245&lt;&gt;"N/A"))</xm:f>
            <x14:dxf>
              <fill>
                <patternFill>
                  <bgColor indexed="10"/>
                </patternFill>
              </fill>
            </x14:dxf>
          </x14:cfRule>
          <xm:sqref>J245</xm:sqref>
        </x14:conditionalFormatting>
        <x14:conditionalFormatting xmlns:xm="http://schemas.microsoft.com/office/excel/2006/main">
          <x14:cfRule type="expression" priority="4242" id="{30D2EC8F-93B3-4711-9800-B2591F7CA8FC}">
            <xm:f>AND(IF(J246&gt;'F:\Users\norela.briceno\Documents\Plan de acción\Plan Accion 2018\[Plan Accion Integrado ADRES Vigencia 2018 con Cuadro de Mando V6..xlsx]Plan de Accion 2018'!#REF!,J246&lt;&gt;¨N/A¨))</xm:f>
            <x14:dxf>
              <fill>
                <patternFill>
                  <bgColor theme="1" tint="0.499984740745262"/>
                </patternFill>
              </fill>
            </x14:dxf>
          </x14:cfRule>
          <x14:cfRule type="expression" priority="4243" stopIfTrue="1" id="{E578E15E-6C73-4852-BB7B-15F724DAF12E}">
            <xm:f>AND(IF(J246='F:\Users\norela.briceno\Documents\Plan de acción\Plan Accion 2018\[Plan Accion Integrado ADRES Vigencia 2018 con Cuadro de Mando V6..xlsx]Plan de Accion 2018'!#REF!,J246&lt;&gt;"N/A"))</xm:f>
            <x14:dxf>
              <fill>
                <patternFill>
                  <bgColor rgb="FF00B050"/>
                </patternFill>
              </fill>
            </x14:dxf>
          </x14:cfRule>
          <x14:cfRule type="expression" priority="4244" stopIfTrue="1" id="{B82FFC9C-05DF-4FBF-B0E4-94290BC76F2A}">
            <xm:f>AND(IF(J246&lt;'F:\Users\norela.briceno\Documents\Plan de acción\Plan Accion 2018\[Plan Accion Integrado ADRES Vigencia 2018 con Cuadro de Mando V6..xlsx]Plan de Accion 2018'!#REF!,J246&lt;&gt;"N/A"))</xm:f>
            <x14:dxf>
              <fill>
                <patternFill>
                  <bgColor indexed="10"/>
                </patternFill>
              </fill>
            </x14:dxf>
          </x14:cfRule>
          <xm:sqref>J246</xm:sqref>
        </x14:conditionalFormatting>
        <x14:conditionalFormatting xmlns:xm="http://schemas.microsoft.com/office/excel/2006/main">
          <x14:cfRule type="expression" priority="4239" id="{916B5BE0-5CBE-48DB-BF14-1AD68AB5A199}">
            <xm:f>AND(IF(J247&gt;'F:\Users\norela.briceno\Documents\Plan de acción\Plan Accion 2018\[Plan Accion Integrado ADRES Vigencia 2018 con Cuadro de Mando V6..xlsx]Plan de Accion 2018'!#REF!,J247&lt;&gt;¨N/A¨))</xm:f>
            <x14:dxf>
              <fill>
                <patternFill>
                  <bgColor theme="1" tint="0.499984740745262"/>
                </patternFill>
              </fill>
            </x14:dxf>
          </x14:cfRule>
          <x14:cfRule type="expression" priority="4240" stopIfTrue="1" id="{E62A80F2-AE5C-44F4-883E-A336DB96FDFC}">
            <xm:f>AND(IF(J247='F:\Users\norela.briceno\Documents\Plan de acción\Plan Accion 2018\[Plan Accion Integrado ADRES Vigencia 2018 con Cuadro de Mando V6..xlsx]Plan de Accion 2018'!#REF!,J247&lt;&gt;"N/A"))</xm:f>
            <x14:dxf>
              <fill>
                <patternFill>
                  <bgColor rgb="FF00B050"/>
                </patternFill>
              </fill>
            </x14:dxf>
          </x14:cfRule>
          <x14:cfRule type="expression" priority="4241" stopIfTrue="1" id="{F0A015BB-AF2B-4BF5-A4F5-D5B7827B4AC6}">
            <xm:f>AND(IF(J247&lt;'F:\Users\norela.briceno\Documents\Plan de acción\Plan Accion 2018\[Plan Accion Integrado ADRES Vigencia 2018 con Cuadro de Mando V6..xlsx]Plan de Accion 2018'!#REF!,J247&lt;&gt;"N/A"))</xm:f>
            <x14:dxf>
              <fill>
                <patternFill>
                  <bgColor indexed="10"/>
                </patternFill>
              </fill>
            </x14:dxf>
          </x14:cfRule>
          <xm:sqref>J247</xm:sqref>
        </x14:conditionalFormatting>
        <x14:conditionalFormatting xmlns:xm="http://schemas.microsoft.com/office/excel/2006/main">
          <x14:cfRule type="expression" priority="4236" id="{3B5659D7-B4EC-408F-8603-E8CEA67EEDA1}">
            <xm:f>AND(IF(J248&gt;'F:\Users\norela.briceno\Documents\Plan de acción\Plan Accion 2018\[Plan Accion Integrado ADRES Vigencia 2018 con Cuadro de Mando V6..xlsx]Plan de Accion 2018'!#REF!,J248&lt;&gt;¨N/A¨))</xm:f>
            <x14:dxf>
              <fill>
                <patternFill>
                  <bgColor theme="1" tint="0.499984740745262"/>
                </patternFill>
              </fill>
            </x14:dxf>
          </x14:cfRule>
          <x14:cfRule type="expression" priority="4237" stopIfTrue="1" id="{47BFF0C0-3551-4822-8BA3-E3AA353BAF85}">
            <xm:f>AND(IF(J248='F:\Users\norela.briceno\Documents\Plan de acción\Plan Accion 2018\[Plan Accion Integrado ADRES Vigencia 2018 con Cuadro de Mando V6..xlsx]Plan de Accion 2018'!#REF!,J248&lt;&gt;"N/A"))</xm:f>
            <x14:dxf>
              <fill>
                <patternFill>
                  <bgColor rgb="FF00B050"/>
                </patternFill>
              </fill>
            </x14:dxf>
          </x14:cfRule>
          <x14:cfRule type="expression" priority="4238" stopIfTrue="1" id="{BA5C5CEC-0D89-4591-BA47-4A43B23DCA08}">
            <xm:f>AND(IF(J248&lt;'F:\Users\norela.briceno\Documents\Plan de acción\Plan Accion 2018\[Plan Accion Integrado ADRES Vigencia 2018 con Cuadro de Mando V6..xlsx]Plan de Accion 2018'!#REF!,J248&lt;&gt;"N/A"))</xm:f>
            <x14:dxf>
              <fill>
                <patternFill>
                  <bgColor indexed="10"/>
                </patternFill>
              </fill>
            </x14:dxf>
          </x14:cfRule>
          <xm:sqref>J248</xm:sqref>
        </x14:conditionalFormatting>
        <x14:conditionalFormatting xmlns:xm="http://schemas.microsoft.com/office/excel/2006/main">
          <x14:cfRule type="expression" priority="4233" id="{469C406D-7DE1-4B92-8043-E9F2CE31B17F}">
            <xm:f>AND(IF(J249&gt;'F:\Users\norela.briceno\Documents\Plan de acción\Plan Accion 2018\[Plan Accion Integrado ADRES Vigencia 2018 con Cuadro de Mando V6..xlsx]Plan de Accion 2018'!#REF!,J249&lt;&gt;¨N/A¨))</xm:f>
            <x14:dxf>
              <fill>
                <patternFill>
                  <bgColor theme="1" tint="0.499984740745262"/>
                </patternFill>
              </fill>
            </x14:dxf>
          </x14:cfRule>
          <x14:cfRule type="expression" priority="4234" stopIfTrue="1" id="{F5DE0DE2-8258-48CE-BF4D-1BA49D80CF24}">
            <xm:f>AND(IF(J249='F:\Users\norela.briceno\Documents\Plan de acción\Plan Accion 2018\[Plan Accion Integrado ADRES Vigencia 2018 con Cuadro de Mando V6..xlsx]Plan de Accion 2018'!#REF!,J249&lt;&gt;"N/A"))</xm:f>
            <x14:dxf>
              <fill>
                <patternFill>
                  <bgColor rgb="FF00B050"/>
                </patternFill>
              </fill>
            </x14:dxf>
          </x14:cfRule>
          <x14:cfRule type="expression" priority="4235" stopIfTrue="1" id="{27E2444D-421E-400B-9C4E-47B622FDF673}">
            <xm:f>AND(IF(J249&lt;'F:\Users\norela.briceno\Documents\Plan de acción\Plan Accion 2018\[Plan Accion Integrado ADRES Vigencia 2018 con Cuadro de Mando V6..xlsx]Plan de Accion 2018'!#REF!,J249&lt;&gt;"N/A"))</xm:f>
            <x14:dxf>
              <fill>
                <patternFill>
                  <bgColor indexed="10"/>
                </patternFill>
              </fill>
            </x14:dxf>
          </x14:cfRule>
          <xm:sqref>J249</xm:sqref>
        </x14:conditionalFormatting>
        <x14:conditionalFormatting xmlns:xm="http://schemas.microsoft.com/office/excel/2006/main">
          <x14:cfRule type="expression" priority="4230" id="{AF9CCC4E-6EB5-4710-9ED8-53C809C0C45B}">
            <xm:f>AND(IF(J250&gt;'F:\Users\norela.briceno\Documents\Plan de acción\Plan Accion 2018\[Plan Accion Integrado ADRES Vigencia 2018 con Cuadro de Mando V6..xlsx]Plan de Accion 2018'!#REF!,J250&lt;&gt;¨N/A¨))</xm:f>
            <x14:dxf>
              <fill>
                <patternFill>
                  <bgColor theme="1" tint="0.499984740745262"/>
                </patternFill>
              </fill>
            </x14:dxf>
          </x14:cfRule>
          <x14:cfRule type="expression" priority="4231" stopIfTrue="1" id="{01B4E8E2-1DC0-4AA3-8628-6B59E291B658}">
            <xm:f>AND(IF(J250='F:\Users\norela.briceno\Documents\Plan de acción\Plan Accion 2018\[Plan Accion Integrado ADRES Vigencia 2018 con Cuadro de Mando V6..xlsx]Plan de Accion 2018'!#REF!,J250&lt;&gt;"N/A"))</xm:f>
            <x14:dxf>
              <fill>
                <patternFill>
                  <bgColor rgb="FF00B050"/>
                </patternFill>
              </fill>
            </x14:dxf>
          </x14:cfRule>
          <x14:cfRule type="expression" priority="4232" stopIfTrue="1" id="{E5E6EADD-220E-4866-B94F-B947D55CB883}">
            <xm:f>AND(IF(J250&lt;'F:\Users\norela.briceno\Documents\Plan de acción\Plan Accion 2018\[Plan Accion Integrado ADRES Vigencia 2018 con Cuadro de Mando V6..xlsx]Plan de Accion 2018'!#REF!,J250&lt;&gt;"N/A"))</xm:f>
            <x14:dxf>
              <fill>
                <patternFill>
                  <bgColor indexed="10"/>
                </patternFill>
              </fill>
            </x14:dxf>
          </x14:cfRule>
          <xm:sqref>J250</xm:sqref>
        </x14:conditionalFormatting>
        <x14:conditionalFormatting xmlns:xm="http://schemas.microsoft.com/office/excel/2006/main">
          <x14:cfRule type="expression" priority="4227" id="{C9F3B508-7420-46CE-A11B-1686808F1604}">
            <xm:f>AND(IF(J251&gt;'F:\Users\norela.briceno\Documents\Plan de acción\Plan Accion 2018\[Plan Accion Integrado ADRES Vigencia 2018 con Cuadro de Mando V6..xlsx]Plan de Accion 2018'!#REF!,J251&lt;&gt;¨N/A¨))</xm:f>
            <x14:dxf>
              <fill>
                <patternFill>
                  <bgColor theme="1" tint="0.499984740745262"/>
                </patternFill>
              </fill>
            </x14:dxf>
          </x14:cfRule>
          <x14:cfRule type="expression" priority="4228" stopIfTrue="1" id="{DEF2D6CE-84F5-401E-A394-086EDF5F9A79}">
            <xm:f>AND(IF(J251='F:\Users\norela.briceno\Documents\Plan de acción\Plan Accion 2018\[Plan Accion Integrado ADRES Vigencia 2018 con Cuadro de Mando V6..xlsx]Plan de Accion 2018'!#REF!,J251&lt;&gt;"N/A"))</xm:f>
            <x14:dxf>
              <fill>
                <patternFill>
                  <bgColor rgb="FF00B050"/>
                </patternFill>
              </fill>
            </x14:dxf>
          </x14:cfRule>
          <x14:cfRule type="expression" priority="4229" stopIfTrue="1" id="{02747EF4-3A35-4230-A50B-854A5CCD518C}">
            <xm:f>AND(IF(J251&lt;'F:\Users\norela.briceno\Documents\Plan de acción\Plan Accion 2018\[Plan Accion Integrado ADRES Vigencia 2018 con Cuadro de Mando V6..xlsx]Plan de Accion 2018'!#REF!,J251&lt;&gt;"N/A"))</xm:f>
            <x14:dxf>
              <fill>
                <patternFill>
                  <bgColor indexed="10"/>
                </patternFill>
              </fill>
            </x14:dxf>
          </x14:cfRule>
          <xm:sqref>J251</xm:sqref>
        </x14:conditionalFormatting>
        <x14:conditionalFormatting xmlns:xm="http://schemas.microsoft.com/office/excel/2006/main">
          <x14:cfRule type="expression" priority="4224" id="{AE6477D4-D3CD-461A-B514-64CD3750A5ED}">
            <xm:f>AND(IF(J252&gt;'F:\Users\norela.briceno\Documents\Plan de acción\Plan Accion 2018\[Plan Accion Integrado ADRES Vigencia 2018 con Cuadro de Mando V6..xlsx]Plan de Accion 2018'!#REF!,J252&lt;&gt;¨N/A¨))</xm:f>
            <x14:dxf>
              <fill>
                <patternFill>
                  <bgColor theme="1" tint="0.499984740745262"/>
                </patternFill>
              </fill>
            </x14:dxf>
          </x14:cfRule>
          <x14:cfRule type="expression" priority="4225" stopIfTrue="1" id="{9255856F-1A7C-4F9A-978A-6E2CA446AD2F}">
            <xm:f>AND(IF(J252='F:\Users\norela.briceno\Documents\Plan de acción\Plan Accion 2018\[Plan Accion Integrado ADRES Vigencia 2018 con Cuadro de Mando V6..xlsx]Plan de Accion 2018'!#REF!,J252&lt;&gt;"N/A"))</xm:f>
            <x14:dxf>
              <fill>
                <patternFill>
                  <bgColor rgb="FF00B050"/>
                </patternFill>
              </fill>
            </x14:dxf>
          </x14:cfRule>
          <x14:cfRule type="expression" priority="4226" stopIfTrue="1" id="{CDF15479-B32D-4D15-B43C-4E9A6FA82A12}">
            <xm:f>AND(IF(J252&lt;'F:\Users\norela.briceno\Documents\Plan de acción\Plan Accion 2018\[Plan Accion Integrado ADRES Vigencia 2018 con Cuadro de Mando V6..xlsx]Plan de Accion 2018'!#REF!,J252&lt;&gt;"N/A"))</xm:f>
            <x14:dxf>
              <fill>
                <patternFill>
                  <bgColor indexed="10"/>
                </patternFill>
              </fill>
            </x14:dxf>
          </x14:cfRule>
          <xm:sqref>J252</xm:sqref>
        </x14:conditionalFormatting>
        <x14:conditionalFormatting xmlns:xm="http://schemas.microsoft.com/office/excel/2006/main">
          <x14:cfRule type="expression" priority="4221" id="{CE505545-C23C-4DCF-8B4B-259AFB259AC2}">
            <xm:f>AND(IF(J253&gt;'F:\Users\norela.briceno\Documents\Plan de acción\Plan Accion 2018\[Plan Accion Integrado ADRES Vigencia 2018 con Cuadro de Mando V6..xlsx]Plan de Accion 2018'!#REF!,J253&lt;&gt;¨N/A¨))</xm:f>
            <x14:dxf>
              <fill>
                <patternFill>
                  <bgColor theme="1" tint="0.499984740745262"/>
                </patternFill>
              </fill>
            </x14:dxf>
          </x14:cfRule>
          <x14:cfRule type="expression" priority="4222" stopIfTrue="1" id="{56869BCA-3CE8-4794-A283-C7CE2B831986}">
            <xm:f>AND(IF(J253='F:\Users\norela.briceno\Documents\Plan de acción\Plan Accion 2018\[Plan Accion Integrado ADRES Vigencia 2018 con Cuadro de Mando V6..xlsx]Plan de Accion 2018'!#REF!,J253&lt;&gt;"N/A"))</xm:f>
            <x14:dxf>
              <fill>
                <patternFill>
                  <bgColor rgb="FF00B050"/>
                </patternFill>
              </fill>
            </x14:dxf>
          </x14:cfRule>
          <x14:cfRule type="expression" priority="4223" stopIfTrue="1" id="{E6D5F020-CB7B-4396-AC07-96EA927F21D9}">
            <xm:f>AND(IF(J253&lt;'F:\Users\norela.briceno\Documents\Plan de acción\Plan Accion 2018\[Plan Accion Integrado ADRES Vigencia 2018 con Cuadro de Mando V6..xlsx]Plan de Accion 2018'!#REF!,J253&lt;&gt;"N/A"))</xm:f>
            <x14:dxf>
              <fill>
                <patternFill>
                  <bgColor indexed="10"/>
                </patternFill>
              </fill>
            </x14:dxf>
          </x14:cfRule>
          <xm:sqref>J253</xm:sqref>
        </x14:conditionalFormatting>
        <x14:conditionalFormatting xmlns:xm="http://schemas.microsoft.com/office/excel/2006/main">
          <x14:cfRule type="expression" priority="4218" id="{90C69A9C-99E6-4AB4-9A6B-3EB3B0CDCD96}">
            <xm:f>AND(IF(J254&gt;'F:\Users\norela.briceno\Documents\Plan de acción\Plan Accion 2018\[Plan Accion Integrado ADRES Vigencia 2018 con Cuadro de Mando V6..xlsx]Plan de Accion 2018'!#REF!,J254&lt;&gt;¨N/A¨))</xm:f>
            <x14:dxf>
              <fill>
                <patternFill>
                  <bgColor theme="1" tint="0.499984740745262"/>
                </patternFill>
              </fill>
            </x14:dxf>
          </x14:cfRule>
          <x14:cfRule type="expression" priority="4219" stopIfTrue="1" id="{29E5DDAA-3702-43CA-AA4E-B7CF410F6AA6}">
            <xm:f>AND(IF(J254='F:\Users\norela.briceno\Documents\Plan de acción\Plan Accion 2018\[Plan Accion Integrado ADRES Vigencia 2018 con Cuadro de Mando V6..xlsx]Plan de Accion 2018'!#REF!,J254&lt;&gt;"N/A"))</xm:f>
            <x14:dxf>
              <fill>
                <patternFill>
                  <bgColor rgb="FF00B050"/>
                </patternFill>
              </fill>
            </x14:dxf>
          </x14:cfRule>
          <x14:cfRule type="expression" priority="4220" stopIfTrue="1" id="{B1DF796E-151D-4A3C-B8EE-74DA39C7013B}">
            <xm:f>AND(IF(J254&lt;'F:\Users\norela.briceno\Documents\Plan de acción\Plan Accion 2018\[Plan Accion Integrado ADRES Vigencia 2018 con Cuadro de Mando V6..xlsx]Plan de Accion 2018'!#REF!,J254&lt;&gt;"N/A"))</xm:f>
            <x14:dxf>
              <fill>
                <patternFill>
                  <bgColor indexed="10"/>
                </patternFill>
              </fill>
            </x14:dxf>
          </x14:cfRule>
          <xm:sqref>J254</xm:sqref>
        </x14:conditionalFormatting>
        <x14:conditionalFormatting xmlns:xm="http://schemas.microsoft.com/office/excel/2006/main">
          <x14:cfRule type="expression" priority="4215" id="{67589A60-7782-4F05-AA82-A2F972B1A3C3}">
            <xm:f>AND(IF(J255&gt;'F:\Users\norela.briceno\Documents\Plan de acción\Plan Accion 2018\[Plan Accion Integrado ADRES Vigencia 2018 con Cuadro de Mando V6..xlsx]Plan de Accion 2018'!#REF!,J255&lt;&gt;¨N/A¨))</xm:f>
            <x14:dxf>
              <fill>
                <patternFill>
                  <bgColor theme="1" tint="0.499984740745262"/>
                </patternFill>
              </fill>
            </x14:dxf>
          </x14:cfRule>
          <x14:cfRule type="expression" priority="4216" stopIfTrue="1" id="{4CBC3888-B667-433E-884A-43A4EBF4902D}">
            <xm:f>AND(IF(J255='F:\Users\norela.briceno\Documents\Plan de acción\Plan Accion 2018\[Plan Accion Integrado ADRES Vigencia 2018 con Cuadro de Mando V6..xlsx]Plan de Accion 2018'!#REF!,J255&lt;&gt;"N/A"))</xm:f>
            <x14:dxf>
              <fill>
                <patternFill>
                  <bgColor rgb="FF00B050"/>
                </patternFill>
              </fill>
            </x14:dxf>
          </x14:cfRule>
          <x14:cfRule type="expression" priority="4217" stopIfTrue="1" id="{F20323A2-F5F7-4D79-BD9B-4A5D3EC27764}">
            <xm:f>AND(IF(J255&lt;'F:\Users\norela.briceno\Documents\Plan de acción\Plan Accion 2018\[Plan Accion Integrado ADRES Vigencia 2018 con Cuadro de Mando V6..xlsx]Plan de Accion 2018'!#REF!,J255&lt;&gt;"N/A"))</xm:f>
            <x14:dxf>
              <fill>
                <patternFill>
                  <bgColor indexed="10"/>
                </patternFill>
              </fill>
            </x14:dxf>
          </x14:cfRule>
          <xm:sqref>J255</xm:sqref>
        </x14:conditionalFormatting>
        <x14:conditionalFormatting xmlns:xm="http://schemas.microsoft.com/office/excel/2006/main">
          <x14:cfRule type="expression" priority="4212" id="{B84F9418-5BCF-493F-8053-4D3A4ACF46A0}">
            <xm:f>AND(IF(J256&gt;'F:\Users\norela.briceno\Documents\Plan de acción\Plan Accion 2018\[Plan Accion Integrado ADRES Vigencia 2018 con Cuadro de Mando V6..xlsx]Plan de Accion 2018'!#REF!,J256&lt;&gt;¨N/A¨))</xm:f>
            <x14:dxf>
              <fill>
                <patternFill>
                  <bgColor theme="1" tint="0.499984740745262"/>
                </patternFill>
              </fill>
            </x14:dxf>
          </x14:cfRule>
          <x14:cfRule type="expression" priority="4213" stopIfTrue="1" id="{BEB1B3C7-6C88-4459-B42C-5FA726017412}">
            <xm:f>AND(IF(J256='F:\Users\norela.briceno\Documents\Plan de acción\Plan Accion 2018\[Plan Accion Integrado ADRES Vigencia 2018 con Cuadro de Mando V6..xlsx]Plan de Accion 2018'!#REF!,J256&lt;&gt;"N/A"))</xm:f>
            <x14:dxf>
              <fill>
                <patternFill>
                  <bgColor rgb="FF00B050"/>
                </patternFill>
              </fill>
            </x14:dxf>
          </x14:cfRule>
          <x14:cfRule type="expression" priority="4214" stopIfTrue="1" id="{2FF3C135-14D1-4ACF-B399-92632EEFB475}">
            <xm:f>AND(IF(J256&lt;'F:\Users\norela.briceno\Documents\Plan de acción\Plan Accion 2018\[Plan Accion Integrado ADRES Vigencia 2018 con Cuadro de Mando V6..xlsx]Plan de Accion 2018'!#REF!,J256&lt;&gt;"N/A"))</xm:f>
            <x14:dxf>
              <fill>
                <patternFill>
                  <bgColor indexed="10"/>
                </patternFill>
              </fill>
            </x14:dxf>
          </x14:cfRule>
          <xm:sqref>J256</xm:sqref>
        </x14:conditionalFormatting>
        <x14:conditionalFormatting xmlns:xm="http://schemas.microsoft.com/office/excel/2006/main">
          <x14:cfRule type="expression" priority="4209" id="{9C688606-CD5D-48BB-880B-66B928F18B49}">
            <xm:f>AND(IF(J257&gt;'F:\Users\norela.briceno\Documents\Plan de acción\Plan Accion 2018\[Plan Accion Integrado ADRES Vigencia 2018 con Cuadro de Mando V6..xlsx]Plan de Accion 2018'!#REF!,J257&lt;&gt;¨N/A¨))</xm:f>
            <x14:dxf>
              <fill>
                <patternFill>
                  <bgColor theme="1" tint="0.499984740745262"/>
                </patternFill>
              </fill>
            </x14:dxf>
          </x14:cfRule>
          <x14:cfRule type="expression" priority="4210" stopIfTrue="1" id="{64B70E19-A765-4032-BE75-1FA45E0EFF3E}">
            <xm:f>AND(IF(J257='F:\Users\norela.briceno\Documents\Plan de acción\Plan Accion 2018\[Plan Accion Integrado ADRES Vigencia 2018 con Cuadro de Mando V6..xlsx]Plan de Accion 2018'!#REF!,J257&lt;&gt;"N/A"))</xm:f>
            <x14:dxf>
              <fill>
                <patternFill>
                  <bgColor rgb="FF00B050"/>
                </patternFill>
              </fill>
            </x14:dxf>
          </x14:cfRule>
          <x14:cfRule type="expression" priority="4211" stopIfTrue="1" id="{188109D9-B981-47E1-8AAD-909B8E63AA6D}">
            <xm:f>AND(IF(J257&lt;'F:\Users\norela.briceno\Documents\Plan de acción\Plan Accion 2018\[Plan Accion Integrado ADRES Vigencia 2018 con Cuadro de Mando V6..xlsx]Plan de Accion 2018'!#REF!,J257&lt;&gt;"N/A"))</xm:f>
            <x14:dxf>
              <fill>
                <patternFill>
                  <bgColor indexed="10"/>
                </patternFill>
              </fill>
            </x14:dxf>
          </x14:cfRule>
          <xm:sqref>J257</xm:sqref>
        </x14:conditionalFormatting>
        <x14:conditionalFormatting xmlns:xm="http://schemas.microsoft.com/office/excel/2006/main">
          <x14:cfRule type="expression" priority="4206" id="{9F5EE8F4-FC28-47A8-8482-4997AC65ED34}">
            <xm:f>AND(IF(J258&gt;'F:\Users\norela.briceno\Documents\Plan de acción\Plan Accion 2018\[Plan Accion Integrado ADRES Vigencia 2018 con Cuadro de Mando V6..xlsx]Plan de Accion 2018'!#REF!,J258&lt;&gt;¨N/A¨))</xm:f>
            <x14:dxf>
              <fill>
                <patternFill>
                  <bgColor theme="1" tint="0.499984740745262"/>
                </patternFill>
              </fill>
            </x14:dxf>
          </x14:cfRule>
          <x14:cfRule type="expression" priority="4207" stopIfTrue="1" id="{A92BB7D0-F39E-4BD0-A1C7-85744AB29FAA}">
            <xm:f>AND(IF(J258='F:\Users\norela.briceno\Documents\Plan de acción\Plan Accion 2018\[Plan Accion Integrado ADRES Vigencia 2018 con Cuadro de Mando V6..xlsx]Plan de Accion 2018'!#REF!,J258&lt;&gt;"N/A"))</xm:f>
            <x14:dxf>
              <fill>
                <patternFill>
                  <bgColor rgb="FF00B050"/>
                </patternFill>
              </fill>
            </x14:dxf>
          </x14:cfRule>
          <x14:cfRule type="expression" priority="4208" stopIfTrue="1" id="{060DD374-5211-4FBE-9B3C-A23C070E78B0}">
            <xm:f>AND(IF(J258&lt;'F:\Users\norela.briceno\Documents\Plan de acción\Plan Accion 2018\[Plan Accion Integrado ADRES Vigencia 2018 con Cuadro de Mando V6..xlsx]Plan de Accion 2018'!#REF!,J258&lt;&gt;"N/A"))</xm:f>
            <x14:dxf>
              <fill>
                <patternFill>
                  <bgColor indexed="10"/>
                </patternFill>
              </fill>
            </x14:dxf>
          </x14:cfRule>
          <xm:sqref>J258</xm:sqref>
        </x14:conditionalFormatting>
        <x14:conditionalFormatting xmlns:xm="http://schemas.microsoft.com/office/excel/2006/main">
          <x14:cfRule type="expression" priority="4203" id="{1593C6F7-E994-46A1-A1EF-4A0313B0E9A0}">
            <xm:f>AND(IF(J259&gt;'F:\Users\norela.briceno\Documents\Plan de acción\Plan Accion 2018\[Plan Accion Integrado ADRES Vigencia 2018 con Cuadro de Mando V6..xlsx]Plan de Accion 2018'!#REF!,J259&lt;&gt;¨N/A¨))</xm:f>
            <x14:dxf>
              <fill>
                <patternFill>
                  <bgColor theme="1" tint="0.499984740745262"/>
                </patternFill>
              </fill>
            </x14:dxf>
          </x14:cfRule>
          <x14:cfRule type="expression" priority="4204" stopIfTrue="1" id="{FCB10AB0-F910-446D-B70F-1F967694F782}">
            <xm:f>AND(IF(J259='F:\Users\norela.briceno\Documents\Plan de acción\Plan Accion 2018\[Plan Accion Integrado ADRES Vigencia 2018 con Cuadro de Mando V6..xlsx]Plan de Accion 2018'!#REF!,J259&lt;&gt;"N/A"))</xm:f>
            <x14:dxf>
              <fill>
                <patternFill>
                  <bgColor rgb="FF00B050"/>
                </patternFill>
              </fill>
            </x14:dxf>
          </x14:cfRule>
          <x14:cfRule type="expression" priority="4205" stopIfTrue="1" id="{3FFC2C06-ECB7-4D61-B691-D8DBEEBC8099}">
            <xm:f>AND(IF(J259&lt;'F:\Users\norela.briceno\Documents\Plan de acción\Plan Accion 2018\[Plan Accion Integrado ADRES Vigencia 2018 con Cuadro de Mando V6..xlsx]Plan de Accion 2018'!#REF!,J259&lt;&gt;"N/A"))</xm:f>
            <x14:dxf>
              <fill>
                <patternFill>
                  <bgColor indexed="10"/>
                </patternFill>
              </fill>
            </x14:dxf>
          </x14:cfRule>
          <xm:sqref>J259</xm:sqref>
        </x14:conditionalFormatting>
        <x14:conditionalFormatting xmlns:xm="http://schemas.microsoft.com/office/excel/2006/main">
          <x14:cfRule type="expression" priority="4200" id="{E056709A-D5F8-45F6-B1E6-B87832641282}">
            <xm:f>AND(IF(J260&gt;'F:\Users\norela.briceno\Documents\Plan de acción\Plan Accion 2018\[Plan Accion Integrado ADRES Vigencia 2018 con Cuadro de Mando V6..xlsx]Plan de Accion 2018'!#REF!,J260&lt;&gt;¨N/A¨))</xm:f>
            <x14:dxf>
              <fill>
                <patternFill>
                  <bgColor theme="1" tint="0.499984740745262"/>
                </patternFill>
              </fill>
            </x14:dxf>
          </x14:cfRule>
          <x14:cfRule type="expression" priority="4201" stopIfTrue="1" id="{B0CFB115-C5A6-4FEB-80DE-5E732DB2F8FD}">
            <xm:f>AND(IF(J260='F:\Users\norela.briceno\Documents\Plan de acción\Plan Accion 2018\[Plan Accion Integrado ADRES Vigencia 2018 con Cuadro de Mando V6..xlsx]Plan de Accion 2018'!#REF!,J260&lt;&gt;"N/A"))</xm:f>
            <x14:dxf>
              <fill>
                <patternFill>
                  <bgColor rgb="FF00B050"/>
                </patternFill>
              </fill>
            </x14:dxf>
          </x14:cfRule>
          <x14:cfRule type="expression" priority="4202" stopIfTrue="1" id="{2D60FC41-5739-4E32-8014-820929694D97}">
            <xm:f>AND(IF(J260&lt;'F:\Users\norela.briceno\Documents\Plan de acción\Plan Accion 2018\[Plan Accion Integrado ADRES Vigencia 2018 con Cuadro de Mando V6..xlsx]Plan de Accion 2018'!#REF!,J260&lt;&gt;"N/A"))</xm:f>
            <x14:dxf>
              <fill>
                <patternFill>
                  <bgColor indexed="10"/>
                </patternFill>
              </fill>
            </x14:dxf>
          </x14:cfRule>
          <xm:sqref>J260</xm:sqref>
        </x14:conditionalFormatting>
        <x14:conditionalFormatting xmlns:xm="http://schemas.microsoft.com/office/excel/2006/main">
          <x14:cfRule type="expression" priority="4197" id="{3C99D43F-2CD5-4CE1-B2C9-F1FAFA73C94E}">
            <xm:f>AND(IF(J261&gt;'F:\Users\norela.briceno\Documents\Plan de acción\Plan Accion 2018\[Plan Accion Integrado ADRES Vigencia 2018 con Cuadro de Mando V6..xlsx]Plan de Accion 2018'!#REF!,J261&lt;&gt;¨N/A¨))</xm:f>
            <x14:dxf>
              <fill>
                <patternFill>
                  <bgColor theme="1" tint="0.499984740745262"/>
                </patternFill>
              </fill>
            </x14:dxf>
          </x14:cfRule>
          <x14:cfRule type="expression" priority="4198" stopIfTrue="1" id="{DB498A92-3717-442E-AD38-DBE54FA9D377}">
            <xm:f>AND(IF(J261='F:\Users\norela.briceno\Documents\Plan de acción\Plan Accion 2018\[Plan Accion Integrado ADRES Vigencia 2018 con Cuadro de Mando V6..xlsx]Plan de Accion 2018'!#REF!,J261&lt;&gt;"N/A"))</xm:f>
            <x14:dxf>
              <fill>
                <patternFill>
                  <bgColor rgb="FF00B050"/>
                </patternFill>
              </fill>
            </x14:dxf>
          </x14:cfRule>
          <x14:cfRule type="expression" priority="4199" stopIfTrue="1" id="{A8440A1A-BFC0-4537-B611-C307A7165262}">
            <xm:f>AND(IF(J261&lt;'F:\Users\norela.briceno\Documents\Plan de acción\Plan Accion 2018\[Plan Accion Integrado ADRES Vigencia 2018 con Cuadro de Mando V6..xlsx]Plan de Accion 2018'!#REF!,J261&lt;&gt;"N/A"))</xm:f>
            <x14:dxf>
              <fill>
                <patternFill>
                  <bgColor indexed="10"/>
                </patternFill>
              </fill>
            </x14:dxf>
          </x14:cfRule>
          <xm:sqref>J261</xm:sqref>
        </x14:conditionalFormatting>
        <x14:conditionalFormatting xmlns:xm="http://schemas.microsoft.com/office/excel/2006/main">
          <x14:cfRule type="expression" priority="4194" id="{99F0C221-52DC-43E1-9129-EA0A77468721}">
            <xm:f>AND(IF(J262&gt;'F:\Users\norela.briceno\Documents\Plan de acción\Plan Accion 2018\[Plan Accion Integrado ADRES Vigencia 2018 con Cuadro de Mando V6..xlsx]Plan de Accion 2018'!#REF!,J262&lt;&gt;¨N/A¨))</xm:f>
            <x14:dxf>
              <fill>
                <patternFill>
                  <bgColor theme="1" tint="0.499984740745262"/>
                </patternFill>
              </fill>
            </x14:dxf>
          </x14:cfRule>
          <x14:cfRule type="expression" priority="4195" stopIfTrue="1" id="{6AA031C8-AE1E-4946-A925-D4CA84785F4E}">
            <xm:f>AND(IF(J262='F:\Users\norela.briceno\Documents\Plan de acción\Plan Accion 2018\[Plan Accion Integrado ADRES Vigencia 2018 con Cuadro de Mando V6..xlsx]Plan de Accion 2018'!#REF!,J262&lt;&gt;"N/A"))</xm:f>
            <x14:dxf>
              <fill>
                <patternFill>
                  <bgColor rgb="FF00B050"/>
                </patternFill>
              </fill>
            </x14:dxf>
          </x14:cfRule>
          <x14:cfRule type="expression" priority="4196" stopIfTrue="1" id="{BFBA9072-EED1-4F50-9D0D-EDF3C3B1964D}">
            <xm:f>AND(IF(J262&lt;'F:\Users\norela.briceno\Documents\Plan de acción\Plan Accion 2018\[Plan Accion Integrado ADRES Vigencia 2018 con Cuadro de Mando V6..xlsx]Plan de Accion 2018'!#REF!,J262&lt;&gt;"N/A"))</xm:f>
            <x14:dxf>
              <fill>
                <patternFill>
                  <bgColor indexed="10"/>
                </patternFill>
              </fill>
            </x14:dxf>
          </x14:cfRule>
          <xm:sqref>J262</xm:sqref>
        </x14:conditionalFormatting>
        <x14:conditionalFormatting xmlns:xm="http://schemas.microsoft.com/office/excel/2006/main">
          <x14:cfRule type="expression" priority="4191" id="{B9ACFE06-25AA-4292-98E7-7B3AE817864A}">
            <xm:f>AND(IF(J263&gt;'F:\Users\norela.briceno\Documents\Plan de acción\Plan Accion 2018\[Plan Accion Integrado ADRES Vigencia 2018 con Cuadro de Mando V6..xlsx]Plan de Accion 2018'!#REF!,J263&lt;&gt;¨N/A¨))</xm:f>
            <x14:dxf>
              <fill>
                <patternFill>
                  <bgColor theme="1" tint="0.499984740745262"/>
                </patternFill>
              </fill>
            </x14:dxf>
          </x14:cfRule>
          <x14:cfRule type="expression" priority="4192" stopIfTrue="1" id="{C4636EBA-F204-4884-89CA-77C254DC7AB5}">
            <xm:f>AND(IF(J263='F:\Users\norela.briceno\Documents\Plan de acción\Plan Accion 2018\[Plan Accion Integrado ADRES Vigencia 2018 con Cuadro de Mando V6..xlsx]Plan de Accion 2018'!#REF!,J263&lt;&gt;"N/A"))</xm:f>
            <x14:dxf>
              <fill>
                <patternFill>
                  <bgColor rgb="FF00B050"/>
                </patternFill>
              </fill>
            </x14:dxf>
          </x14:cfRule>
          <x14:cfRule type="expression" priority="4193" stopIfTrue="1" id="{D67DE9B2-4E2E-4480-B4C4-0EE884319626}">
            <xm:f>AND(IF(J263&lt;'F:\Users\norela.briceno\Documents\Plan de acción\Plan Accion 2018\[Plan Accion Integrado ADRES Vigencia 2018 con Cuadro de Mando V6..xlsx]Plan de Accion 2018'!#REF!,J263&lt;&gt;"N/A"))</xm:f>
            <x14:dxf>
              <fill>
                <patternFill>
                  <bgColor indexed="10"/>
                </patternFill>
              </fill>
            </x14:dxf>
          </x14:cfRule>
          <xm:sqref>J263</xm:sqref>
        </x14:conditionalFormatting>
        <x14:conditionalFormatting xmlns:xm="http://schemas.microsoft.com/office/excel/2006/main">
          <x14:cfRule type="expression" priority="4188" id="{AAC4CA1D-C5AF-4C3A-B596-3571F967E6F8}">
            <xm:f>AND(IF(J269&gt;'F:\Users\norela.briceno\Documents\Plan de acción\Plan Accion 2018\[Plan Accion Integrado ADRES Vigencia 2018 con Cuadro de Mando V6..xlsx]Plan de Accion 2018'!#REF!,J269&lt;&gt;¨N/A¨))</xm:f>
            <x14:dxf>
              <fill>
                <patternFill>
                  <bgColor theme="1" tint="0.499984740745262"/>
                </patternFill>
              </fill>
            </x14:dxf>
          </x14:cfRule>
          <x14:cfRule type="expression" priority="4189" stopIfTrue="1" id="{60FD7488-1822-4571-9237-8B1FDF8B6DD0}">
            <xm:f>AND(IF(J269='F:\Users\norela.briceno\Documents\Plan de acción\Plan Accion 2018\[Plan Accion Integrado ADRES Vigencia 2018 con Cuadro de Mando V6..xlsx]Plan de Accion 2018'!#REF!,J269&lt;&gt;"N/A"))</xm:f>
            <x14:dxf>
              <fill>
                <patternFill>
                  <bgColor rgb="FF00B050"/>
                </patternFill>
              </fill>
            </x14:dxf>
          </x14:cfRule>
          <x14:cfRule type="expression" priority="4190" stopIfTrue="1" id="{E9BBB826-DEB8-45FE-84B1-9EA219F72A0B}">
            <xm:f>AND(IF(J269&lt;'F:\Users\norela.briceno\Documents\Plan de acción\Plan Accion 2018\[Plan Accion Integrado ADRES Vigencia 2018 con Cuadro de Mando V6..xlsx]Plan de Accion 2018'!#REF!,J269&lt;&gt;"N/A"))</xm:f>
            <x14:dxf>
              <fill>
                <patternFill>
                  <bgColor indexed="10"/>
                </patternFill>
              </fill>
            </x14:dxf>
          </x14:cfRule>
          <xm:sqref>J269</xm:sqref>
        </x14:conditionalFormatting>
        <x14:conditionalFormatting xmlns:xm="http://schemas.microsoft.com/office/excel/2006/main">
          <x14:cfRule type="expression" priority="4185" id="{E9D55E9F-C571-4574-8A6C-4104ED7FDE7D}">
            <xm:f>AND(IF(J272&gt;'F:\Users\norela.briceno\Documents\Plan de acción\Plan Accion 2018\[Plan Accion Integrado ADRES Vigencia 2018 con Cuadro de Mando V6..xlsx]Plan de Accion 2018'!#REF!,J272&lt;&gt;¨N/A¨))</xm:f>
            <x14:dxf>
              <fill>
                <patternFill>
                  <bgColor theme="1" tint="0.499984740745262"/>
                </patternFill>
              </fill>
            </x14:dxf>
          </x14:cfRule>
          <x14:cfRule type="expression" priority="4186" stopIfTrue="1" id="{955C5D15-BEFF-4E13-9D69-F7F7CADE59C8}">
            <xm:f>AND(IF(J272='F:\Users\norela.briceno\Documents\Plan de acción\Plan Accion 2018\[Plan Accion Integrado ADRES Vigencia 2018 con Cuadro de Mando V6..xlsx]Plan de Accion 2018'!#REF!,J272&lt;&gt;"N/A"))</xm:f>
            <x14:dxf>
              <fill>
                <patternFill>
                  <bgColor rgb="FF00B050"/>
                </patternFill>
              </fill>
            </x14:dxf>
          </x14:cfRule>
          <x14:cfRule type="expression" priority="4187" stopIfTrue="1" id="{54E80E88-4429-4ECA-BD01-E8A4720927BC}">
            <xm:f>AND(IF(J272&lt;'F:\Users\norela.briceno\Documents\Plan de acción\Plan Accion 2018\[Plan Accion Integrado ADRES Vigencia 2018 con Cuadro de Mando V6..xlsx]Plan de Accion 2018'!#REF!,J272&lt;&gt;"N/A"))</xm:f>
            <x14:dxf>
              <fill>
                <patternFill>
                  <bgColor indexed="10"/>
                </patternFill>
              </fill>
            </x14:dxf>
          </x14:cfRule>
          <xm:sqref>J272</xm:sqref>
        </x14:conditionalFormatting>
        <x14:conditionalFormatting xmlns:xm="http://schemas.microsoft.com/office/excel/2006/main">
          <x14:cfRule type="expression" priority="4182" id="{73CB2D0B-E773-4E5F-8E41-368487C67B62}">
            <xm:f>AND(IF(J273&gt;'F:\Users\norela.briceno\Documents\Plan de acción\Plan Accion 2018\[Plan Accion Integrado ADRES Vigencia 2018 con Cuadro de Mando V6..xlsx]Plan de Accion 2018'!#REF!,J273&lt;&gt;¨N/A¨))</xm:f>
            <x14:dxf>
              <fill>
                <patternFill>
                  <bgColor theme="1" tint="0.499984740745262"/>
                </patternFill>
              </fill>
            </x14:dxf>
          </x14:cfRule>
          <x14:cfRule type="expression" priority="4183" stopIfTrue="1" id="{2893BB84-031E-4940-9916-3B08D27AFB5A}">
            <xm:f>AND(IF(J273='F:\Users\norela.briceno\Documents\Plan de acción\Plan Accion 2018\[Plan Accion Integrado ADRES Vigencia 2018 con Cuadro de Mando V6..xlsx]Plan de Accion 2018'!#REF!,J273&lt;&gt;"N/A"))</xm:f>
            <x14:dxf>
              <fill>
                <patternFill>
                  <bgColor rgb="FF00B050"/>
                </patternFill>
              </fill>
            </x14:dxf>
          </x14:cfRule>
          <x14:cfRule type="expression" priority="4184" stopIfTrue="1" id="{55678A73-99B1-488A-B86D-9F727A8452EF}">
            <xm:f>AND(IF(J273&lt;'F:\Users\norela.briceno\Documents\Plan de acción\Plan Accion 2018\[Plan Accion Integrado ADRES Vigencia 2018 con Cuadro de Mando V6..xlsx]Plan de Accion 2018'!#REF!,J273&lt;&gt;"N/A"))</xm:f>
            <x14:dxf>
              <fill>
                <patternFill>
                  <bgColor indexed="10"/>
                </patternFill>
              </fill>
            </x14:dxf>
          </x14:cfRule>
          <xm:sqref>J273</xm:sqref>
        </x14:conditionalFormatting>
        <x14:conditionalFormatting xmlns:xm="http://schemas.microsoft.com/office/excel/2006/main">
          <x14:cfRule type="expression" priority="4179" id="{EA35C342-F2FE-49E3-8A38-F9325E350D6A}">
            <xm:f>AND(IF(J274&gt;'F:\Users\norela.briceno\Documents\Plan de acción\Plan Accion 2018\[Plan Accion Integrado ADRES Vigencia 2018 con Cuadro de Mando V6..xlsx]Plan de Accion 2018'!#REF!,J274&lt;&gt;¨N/A¨))</xm:f>
            <x14:dxf>
              <fill>
                <patternFill>
                  <bgColor theme="1" tint="0.499984740745262"/>
                </patternFill>
              </fill>
            </x14:dxf>
          </x14:cfRule>
          <x14:cfRule type="expression" priority="4180" stopIfTrue="1" id="{3A74A282-AE47-46E7-B1F5-CB1189DE1FA1}">
            <xm:f>AND(IF(J274='F:\Users\norela.briceno\Documents\Plan de acción\Plan Accion 2018\[Plan Accion Integrado ADRES Vigencia 2018 con Cuadro de Mando V6..xlsx]Plan de Accion 2018'!#REF!,J274&lt;&gt;"N/A"))</xm:f>
            <x14:dxf>
              <fill>
                <patternFill>
                  <bgColor rgb="FF00B050"/>
                </patternFill>
              </fill>
            </x14:dxf>
          </x14:cfRule>
          <x14:cfRule type="expression" priority="4181" stopIfTrue="1" id="{14D12ACC-85EA-4307-8844-2BEB67170E81}">
            <xm:f>AND(IF(J274&lt;'F:\Users\norela.briceno\Documents\Plan de acción\Plan Accion 2018\[Plan Accion Integrado ADRES Vigencia 2018 con Cuadro de Mando V6..xlsx]Plan de Accion 2018'!#REF!,J274&lt;&gt;"N/A"))</xm:f>
            <x14:dxf>
              <fill>
                <patternFill>
                  <bgColor indexed="10"/>
                </patternFill>
              </fill>
            </x14:dxf>
          </x14:cfRule>
          <xm:sqref>J274</xm:sqref>
        </x14:conditionalFormatting>
        <x14:conditionalFormatting xmlns:xm="http://schemas.microsoft.com/office/excel/2006/main">
          <x14:cfRule type="expression" priority="4176" id="{C07F8F2F-0080-4ED8-81AA-76BE994D03DE}">
            <xm:f>AND(IF(J275&gt;'F:\Users\norela.briceno\Documents\Plan de acción\Plan Accion 2018\[Plan Accion Integrado ADRES Vigencia 2018 con Cuadro de Mando V6..xlsx]Plan de Accion 2018'!#REF!,J275&lt;&gt;¨N/A¨))</xm:f>
            <x14:dxf>
              <fill>
                <patternFill>
                  <bgColor theme="1" tint="0.499984740745262"/>
                </patternFill>
              </fill>
            </x14:dxf>
          </x14:cfRule>
          <x14:cfRule type="expression" priority="4177" stopIfTrue="1" id="{6E56FF36-701B-4CC6-AAA8-9F236A570925}">
            <xm:f>AND(IF(J275='F:\Users\norela.briceno\Documents\Plan de acción\Plan Accion 2018\[Plan Accion Integrado ADRES Vigencia 2018 con Cuadro de Mando V6..xlsx]Plan de Accion 2018'!#REF!,J275&lt;&gt;"N/A"))</xm:f>
            <x14:dxf>
              <fill>
                <patternFill>
                  <bgColor rgb="FF00B050"/>
                </patternFill>
              </fill>
            </x14:dxf>
          </x14:cfRule>
          <x14:cfRule type="expression" priority="4178" stopIfTrue="1" id="{B67F61A0-B3D2-4998-8E36-EE8F7507741E}">
            <xm:f>AND(IF(J275&lt;'F:\Users\norela.briceno\Documents\Plan de acción\Plan Accion 2018\[Plan Accion Integrado ADRES Vigencia 2018 con Cuadro de Mando V6..xlsx]Plan de Accion 2018'!#REF!,J275&lt;&gt;"N/A"))</xm:f>
            <x14:dxf>
              <fill>
                <patternFill>
                  <bgColor indexed="10"/>
                </patternFill>
              </fill>
            </x14:dxf>
          </x14:cfRule>
          <xm:sqref>J275</xm:sqref>
        </x14:conditionalFormatting>
        <x14:conditionalFormatting xmlns:xm="http://schemas.microsoft.com/office/excel/2006/main">
          <x14:cfRule type="expression" priority="4173" id="{A3F0A17A-4C62-474D-90A8-AA519C86F477}">
            <xm:f>AND(IF(J278&gt;'F:\Users\norela.briceno\Documents\Plan de acción\Plan Accion 2018\[Plan Accion Integrado ADRES Vigencia 2018 con Cuadro de Mando V6..xlsx]Plan de Accion 2018'!#REF!,J278&lt;&gt;¨N/A¨))</xm:f>
            <x14:dxf>
              <fill>
                <patternFill>
                  <bgColor theme="1" tint="0.499984740745262"/>
                </patternFill>
              </fill>
            </x14:dxf>
          </x14:cfRule>
          <x14:cfRule type="expression" priority="4174" stopIfTrue="1" id="{A6AF2BFD-A746-4B74-B718-34235D288D03}">
            <xm:f>AND(IF(J278='F:\Users\norela.briceno\Documents\Plan de acción\Plan Accion 2018\[Plan Accion Integrado ADRES Vigencia 2018 con Cuadro de Mando V6..xlsx]Plan de Accion 2018'!#REF!,J278&lt;&gt;"N/A"))</xm:f>
            <x14:dxf>
              <fill>
                <patternFill>
                  <bgColor rgb="FF00B050"/>
                </patternFill>
              </fill>
            </x14:dxf>
          </x14:cfRule>
          <x14:cfRule type="expression" priority="4175" stopIfTrue="1" id="{1FF5BBCB-D3BA-4B22-91C3-166B8CE9357E}">
            <xm:f>AND(IF(J278&lt;'F:\Users\norela.briceno\Documents\Plan de acción\Plan Accion 2018\[Plan Accion Integrado ADRES Vigencia 2018 con Cuadro de Mando V6..xlsx]Plan de Accion 2018'!#REF!,J278&lt;&gt;"N/A"))</xm:f>
            <x14:dxf>
              <fill>
                <patternFill>
                  <bgColor indexed="10"/>
                </patternFill>
              </fill>
            </x14:dxf>
          </x14:cfRule>
          <xm:sqref>J278</xm:sqref>
        </x14:conditionalFormatting>
        <x14:conditionalFormatting xmlns:xm="http://schemas.microsoft.com/office/excel/2006/main">
          <x14:cfRule type="expression" priority="4170" id="{A9E63E30-CF84-43CF-9A7B-04F9D835B9D4}">
            <xm:f>AND(IF(J279&gt;'F:\Users\norela.briceno\Documents\Plan de acción\Plan Accion 2018\[Plan Accion Integrado ADRES Vigencia 2018 con Cuadro de Mando V6..xlsx]Plan de Accion 2018'!#REF!,J279&lt;&gt;¨N/A¨))</xm:f>
            <x14:dxf>
              <fill>
                <patternFill>
                  <bgColor theme="1" tint="0.499984740745262"/>
                </patternFill>
              </fill>
            </x14:dxf>
          </x14:cfRule>
          <x14:cfRule type="expression" priority="4171" stopIfTrue="1" id="{35E0D2F7-63FB-4239-A3CB-5A7405B4BC17}">
            <xm:f>AND(IF(J279='F:\Users\norela.briceno\Documents\Plan de acción\Plan Accion 2018\[Plan Accion Integrado ADRES Vigencia 2018 con Cuadro de Mando V6..xlsx]Plan de Accion 2018'!#REF!,J279&lt;&gt;"N/A"))</xm:f>
            <x14:dxf>
              <fill>
                <patternFill>
                  <bgColor rgb="FF00B050"/>
                </patternFill>
              </fill>
            </x14:dxf>
          </x14:cfRule>
          <x14:cfRule type="expression" priority="4172" stopIfTrue="1" id="{96D7E686-0A81-43B4-8C85-E44B8A7F4780}">
            <xm:f>AND(IF(J279&lt;'F:\Users\norela.briceno\Documents\Plan de acción\Plan Accion 2018\[Plan Accion Integrado ADRES Vigencia 2018 con Cuadro de Mando V6..xlsx]Plan de Accion 2018'!#REF!,J279&lt;&gt;"N/A"))</xm:f>
            <x14:dxf>
              <fill>
                <patternFill>
                  <bgColor indexed="10"/>
                </patternFill>
              </fill>
            </x14:dxf>
          </x14:cfRule>
          <xm:sqref>J279</xm:sqref>
        </x14:conditionalFormatting>
        <x14:conditionalFormatting xmlns:xm="http://schemas.microsoft.com/office/excel/2006/main">
          <x14:cfRule type="expression" priority="4167" id="{1FD3210D-405A-44C8-A57E-8A69D06A7BF4}">
            <xm:f>AND(IF(J280&gt;'F:\Users\norela.briceno\Documents\Plan de acción\Plan Accion 2018\[Plan Accion Integrado ADRES Vigencia 2018 con Cuadro de Mando V6..xlsx]Plan de Accion 2018'!#REF!,J280&lt;&gt;¨N/A¨))</xm:f>
            <x14:dxf>
              <fill>
                <patternFill>
                  <bgColor theme="1" tint="0.499984740745262"/>
                </patternFill>
              </fill>
            </x14:dxf>
          </x14:cfRule>
          <x14:cfRule type="expression" priority="4168" stopIfTrue="1" id="{10D9928C-08C6-4DB4-B1A7-82198D270820}">
            <xm:f>AND(IF(J280='F:\Users\norela.briceno\Documents\Plan de acción\Plan Accion 2018\[Plan Accion Integrado ADRES Vigencia 2018 con Cuadro de Mando V6..xlsx]Plan de Accion 2018'!#REF!,J280&lt;&gt;"N/A"))</xm:f>
            <x14:dxf>
              <fill>
                <patternFill>
                  <bgColor rgb="FF00B050"/>
                </patternFill>
              </fill>
            </x14:dxf>
          </x14:cfRule>
          <x14:cfRule type="expression" priority="4169" stopIfTrue="1" id="{CBF3EF06-C96F-41E1-9DF6-027952493060}">
            <xm:f>AND(IF(J280&lt;'F:\Users\norela.briceno\Documents\Plan de acción\Plan Accion 2018\[Plan Accion Integrado ADRES Vigencia 2018 con Cuadro de Mando V6..xlsx]Plan de Accion 2018'!#REF!,J280&lt;&gt;"N/A"))</xm:f>
            <x14:dxf>
              <fill>
                <patternFill>
                  <bgColor indexed="10"/>
                </patternFill>
              </fill>
            </x14:dxf>
          </x14:cfRule>
          <xm:sqref>J280</xm:sqref>
        </x14:conditionalFormatting>
        <x14:conditionalFormatting xmlns:xm="http://schemas.microsoft.com/office/excel/2006/main">
          <x14:cfRule type="expression" priority="4164" id="{D305749F-36C2-4F42-8556-203C4D340A79}">
            <xm:f>AND(IF(J281&gt;'F:\Users\norela.briceno\Documents\Plan de acción\Plan Accion 2018\[Plan Accion Integrado ADRES Vigencia 2018 con Cuadro de Mando V6..xlsx]Plan de Accion 2018'!#REF!,J281&lt;&gt;¨N/A¨))</xm:f>
            <x14:dxf>
              <fill>
                <patternFill>
                  <bgColor theme="1" tint="0.499984740745262"/>
                </patternFill>
              </fill>
            </x14:dxf>
          </x14:cfRule>
          <x14:cfRule type="expression" priority="4165" stopIfTrue="1" id="{2B63B983-125C-44F9-A321-6013394D296B}">
            <xm:f>AND(IF(J281='F:\Users\norela.briceno\Documents\Plan de acción\Plan Accion 2018\[Plan Accion Integrado ADRES Vigencia 2018 con Cuadro de Mando V6..xlsx]Plan de Accion 2018'!#REF!,J281&lt;&gt;"N/A"))</xm:f>
            <x14:dxf>
              <fill>
                <patternFill>
                  <bgColor rgb="FF00B050"/>
                </patternFill>
              </fill>
            </x14:dxf>
          </x14:cfRule>
          <x14:cfRule type="expression" priority="4166" stopIfTrue="1" id="{049F9C04-D287-4050-9E95-20AEEE21D37C}">
            <xm:f>AND(IF(J281&lt;'F:\Users\norela.briceno\Documents\Plan de acción\Plan Accion 2018\[Plan Accion Integrado ADRES Vigencia 2018 con Cuadro de Mando V6..xlsx]Plan de Accion 2018'!#REF!,J281&lt;&gt;"N/A"))</xm:f>
            <x14:dxf>
              <fill>
                <patternFill>
                  <bgColor indexed="10"/>
                </patternFill>
              </fill>
            </x14:dxf>
          </x14:cfRule>
          <xm:sqref>J281</xm:sqref>
        </x14:conditionalFormatting>
        <x14:conditionalFormatting xmlns:xm="http://schemas.microsoft.com/office/excel/2006/main">
          <x14:cfRule type="expression" priority="4161" id="{23319BB5-38DC-46F6-A0BE-417176F9D408}">
            <xm:f>AND(IF(J282&gt;'F:\Users\norela.briceno\Documents\Plan de acción\Plan Accion 2018\[Plan Accion Integrado ADRES Vigencia 2018 con Cuadro de Mando V6..xlsx]Plan de Accion 2018'!#REF!,J282&lt;&gt;¨N/A¨))</xm:f>
            <x14:dxf>
              <fill>
                <patternFill>
                  <bgColor theme="1" tint="0.499984740745262"/>
                </patternFill>
              </fill>
            </x14:dxf>
          </x14:cfRule>
          <x14:cfRule type="expression" priority="4162" stopIfTrue="1" id="{AD116F22-ECC4-4E73-8F00-C7E29BEE12C4}">
            <xm:f>AND(IF(J282='F:\Users\norela.briceno\Documents\Plan de acción\Plan Accion 2018\[Plan Accion Integrado ADRES Vigencia 2018 con Cuadro de Mando V6..xlsx]Plan de Accion 2018'!#REF!,J282&lt;&gt;"N/A"))</xm:f>
            <x14:dxf>
              <fill>
                <patternFill>
                  <bgColor rgb="FF00B050"/>
                </patternFill>
              </fill>
            </x14:dxf>
          </x14:cfRule>
          <x14:cfRule type="expression" priority="4163" stopIfTrue="1" id="{B5FB8F93-BEAF-45EF-9F43-D969AC06023F}">
            <xm:f>AND(IF(J282&lt;'F:\Users\norela.briceno\Documents\Plan de acción\Plan Accion 2018\[Plan Accion Integrado ADRES Vigencia 2018 con Cuadro de Mando V6..xlsx]Plan de Accion 2018'!#REF!,J282&lt;&gt;"N/A"))</xm:f>
            <x14:dxf>
              <fill>
                <patternFill>
                  <bgColor indexed="10"/>
                </patternFill>
              </fill>
            </x14:dxf>
          </x14:cfRule>
          <xm:sqref>J282</xm:sqref>
        </x14:conditionalFormatting>
        <x14:conditionalFormatting xmlns:xm="http://schemas.microsoft.com/office/excel/2006/main">
          <x14:cfRule type="expression" priority="4155" id="{666F3512-3252-4305-8E0C-24B96BBC86D5}">
            <xm:f>AND(IF(J285&gt;'F:\Users\norela.briceno\Documents\Plan de acción\Plan Accion 2018\[Plan Accion Integrado ADRES Vigencia 2018 con Cuadro de Mando V6..xlsx]Plan de Accion 2018'!#REF!,J285&lt;&gt;¨N/A¨))</xm:f>
            <x14:dxf>
              <fill>
                <patternFill>
                  <bgColor theme="1" tint="0.499984740745262"/>
                </patternFill>
              </fill>
            </x14:dxf>
          </x14:cfRule>
          <x14:cfRule type="expression" priority="4156" stopIfTrue="1" id="{C0F78F38-CAD2-4840-83B6-85A4F0A36334}">
            <xm:f>AND(IF(J285='F:\Users\norela.briceno\Documents\Plan de acción\Plan Accion 2018\[Plan Accion Integrado ADRES Vigencia 2018 con Cuadro de Mando V6..xlsx]Plan de Accion 2018'!#REF!,J285&lt;&gt;"N/A"))</xm:f>
            <x14:dxf>
              <fill>
                <patternFill>
                  <bgColor rgb="FF00B050"/>
                </patternFill>
              </fill>
            </x14:dxf>
          </x14:cfRule>
          <x14:cfRule type="expression" priority="4157" stopIfTrue="1" id="{D6926575-2466-4FB6-846F-37762ADD86F3}">
            <xm:f>AND(IF(J285&lt;'F:\Users\norela.briceno\Documents\Plan de acción\Plan Accion 2018\[Plan Accion Integrado ADRES Vigencia 2018 con Cuadro de Mando V6..xlsx]Plan de Accion 2018'!#REF!,J285&lt;&gt;"N/A"))</xm:f>
            <x14:dxf>
              <fill>
                <patternFill>
                  <bgColor indexed="10"/>
                </patternFill>
              </fill>
            </x14:dxf>
          </x14:cfRule>
          <xm:sqref>J285</xm:sqref>
        </x14:conditionalFormatting>
        <x14:conditionalFormatting xmlns:xm="http://schemas.microsoft.com/office/excel/2006/main">
          <x14:cfRule type="expression" priority="4152" id="{4669F42C-64DA-4BB3-A0D5-F5CADC99204E}">
            <xm:f>AND(IF(J286&gt;'F:\Users\norela.briceno\Documents\Plan de acción\Plan Accion 2018\[Plan Accion Integrado ADRES Vigencia 2018 con Cuadro de Mando V6..xlsx]Plan de Accion 2018'!#REF!,J286&lt;&gt;¨N/A¨))</xm:f>
            <x14:dxf>
              <fill>
                <patternFill>
                  <bgColor theme="1" tint="0.499984740745262"/>
                </patternFill>
              </fill>
            </x14:dxf>
          </x14:cfRule>
          <x14:cfRule type="expression" priority="4153" stopIfTrue="1" id="{E0C69DD9-F588-43D6-9041-B810B0134988}">
            <xm:f>AND(IF(J286='F:\Users\norela.briceno\Documents\Plan de acción\Plan Accion 2018\[Plan Accion Integrado ADRES Vigencia 2018 con Cuadro de Mando V6..xlsx]Plan de Accion 2018'!#REF!,J286&lt;&gt;"N/A"))</xm:f>
            <x14:dxf>
              <fill>
                <patternFill>
                  <bgColor rgb="FF00B050"/>
                </patternFill>
              </fill>
            </x14:dxf>
          </x14:cfRule>
          <x14:cfRule type="expression" priority="4154" stopIfTrue="1" id="{F7A34DE3-30A6-4013-B58E-DB790B773C87}">
            <xm:f>AND(IF(J286&lt;'F:\Users\norela.briceno\Documents\Plan de acción\Plan Accion 2018\[Plan Accion Integrado ADRES Vigencia 2018 con Cuadro de Mando V6..xlsx]Plan de Accion 2018'!#REF!,J286&lt;&gt;"N/A"))</xm:f>
            <x14:dxf>
              <fill>
                <patternFill>
                  <bgColor indexed="10"/>
                </patternFill>
              </fill>
            </x14:dxf>
          </x14:cfRule>
          <xm:sqref>J286</xm:sqref>
        </x14:conditionalFormatting>
        <x14:conditionalFormatting xmlns:xm="http://schemas.microsoft.com/office/excel/2006/main">
          <x14:cfRule type="expression" priority="4149" id="{62C36DAF-CE60-4D53-8CF0-5E171828D0A2}">
            <xm:f>AND(IF(J287&gt;'F:\Users\norela.briceno\Documents\Plan de acción\Plan Accion 2018\[Plan Accion Integrado ADRES Vigencia 2018 con Cuadro de Mando V6..xlsx]Plan de Accion 2018'!#REF!,J287&lt;&gt;¨N/A¨))</xm:f>
            <x14:dxf>
              <fill>
                <patternFill>
                  <bgColor theme="1" tint="0.499984740745262"/>
                </patternFill>
              </fill>
            </x14:dxf>
          </x14:cfRule>
          <x14:cfRule type="expression" priority="4150" stopIfTrue="1" id="{B3BBE509-ABDF-4E41-8AB5-9ECDC35BC2A7}">
            <xm:f>AND(IF(J287='F:\Users\norela.briceno\Documents\Plan de acción\Plan Accion 2018\[Plan Accion Integrado ADRES Vigencia 2018 con Cuadro de Mando V6..xlsx]Plan de Accion 2018'!#REF!,J287&lt;&gt;"N/A"))</xm:f>
            <x14:dxf>
              <fill>
                <patternFill>
                  <bgColor rgb="FF00B050"/>
                </patternFill>
              </fill>
            </x14:dxf>
          </x14:cfRule>
          <x14:cfRule type="expression" priority="4151" stopIfTrue="1" id="{5FA2C2E0-6133-4756-87D6-9B42B017E2DC}">
            <xm:f>AND(IF(J287&lt;'F:\Users\norela.briceno\Documents\Plan de acción\Plan Accion 2018\[Plan Accion Integrado ADRES Vigencia 2018 con Cuadro de Mando V6..xlsx]Plan de Accion 2018'!#REF!,J287&lt;&gt;"N/A"))</xm:f>
            <x14:dxf>
              <fill>
                <patternFill>
                  <bgColor indexed="10"/>
                </patternFill>
              </fill>
            </x14:dxf>
          </x14:cfRule>
          <xm:sqref>J287</xm:sqref>
        </x14:conditionalFormatting>
        <x14:conditionalFormatting xmlns:xm="http://schemas.microsoft.com/office/excel/2006/main">
          <x14:cfRule type="expression" priority="4146" id="{DCB37077-9663-4684-9A0D-B0A027F62789}">
            <xm:f>AND(IF(J289&gt;'F:\Users\norela.briceno\Documents\Plan de acción\Plan Accion 2018\[Plan Accion Integrado ADRES Vigencia 2018 con Cuadro de Mando V6..xlsx]Plan de Accion 2018'!#REF!,J289&lt;&gt;¨N/A¨))</xm:f>
            <x14:dxf>
              <fill>
                <patternFill>
                  <bgColor theme="1" tint="0.499984740745262"/>
                </patternFill>
              </fill>
            </x14:dxf>
          </x14:cfRule>
          <x14:cfRule type="expression" priority="4147" stopIfTrue="1" id="{8DEB3A1F-58D2-4365-897D-7188DCD8EC92}">
            <xm:f>AND(IF(J289='F:\Users\norela.briceno\Documents\Plan de acción\Plan Accion 2018\[Plan Accion Integrado ADRES Vigencia 2018 con Cuadro de Mando V6..xlsx]Plan de Accion 2018'!#REF!,J289&lt;&gt;"N/A"))</xm:f>
            <x14:dxf>
              <fill>
                <patternFill>
                  <bgColor rgb="FF00B050"/>
                </patternFill>
              </fill>
            </x14:dxf>
          </x14:cfRule>
          <x14:cfRule type="expression" priority="4148" stopIfTrue="1" id="{A47A0256-03B2-4E39-9D43-451730E6F554}">
            <xm:f>AND(IF(J289&lt;'F:\Users\norela.briceno\Documents\Plan de acción\Plan Accion 2018\[Plan Accion Integrado ADRES Vigencia 2018 con Cuadro de Mando V6..xlsx]Plan de Accion 2018'!#REF!,J289&lt;&gt;"N/A"))</xm:f>
            <x14:dxf>
              <fill>
                <patternFill>
                  <bgColor indexed="10"/>
                </patternFill>
              </fill>
            </x14:dxf>
          </x14:cfRule>
          <xm:sqref>J289</xm:sqref>
        </x14:conditionalFormatting>
        <x14:conditionalFormatting xmlns:xm="http://schemas.microsoft.com/office/excel/2006/main">
          <x14:cfRule type="expression" priority="4143" id="{1C7FDEBE-A6A7-4BE6-AEEB-DF5665652474}">
            <xm:f>AND(IF(J290&gt;'F:\Users\norela.briceno\Documents\Plan de acción\Plan Accion 2018\[Plan Accion Integrado ADRES Vigencia 2018 con Cuadro de Mando V6..xlsx]Plan de Accion 2018'!#REF!,J290&lt;&gt;¨N/A¨))</xm:f>
            <x14:dxf>
              <fill>
                <patternFill>
                  <bgColor theme="1" tint="0.499984740745262"/>
                </patternFill>
              </fill>
            </x14:dxf>
          </x14:cfRule>
          <x14:cfRule type="expression" priority="4144" stopIfTrue="1" id="{1EAC1BDC-1BDC-470B-9F89-A8A2F129AAE4}">
            <xm:f>AND(IF(J290='F:\Users\norela.briceno\Documents\Plan de acción\Plan Accion 2018\[Plan Accion Integrado ADRES Vigencia 2018 con Cuadro de Mando V6..xlsx]Plan de Accion 2018'!#REF!,J290&lt;&gt;"N/A"))</xm:f>
            <x14:dxf>
              <fill>
                <patternFill>
                  <bgColor rgb="FF00B050"/>
                </patternFill>
              </fill>
            </x14:dxf>
          </x14:cfRule>
          <x14:cfRule type="expression" priority="4145" stopIfTrue="1" id="{D07D343D-B94B-436F-B7EE-F2B43A2105E3}">
            <xm:f>AND(IF(J290&lt;'F:\Users\norela.briceno\Documents\Plan de acción\Plan Accion 2018\[Plan Accion Integrado ADRES Vigencia 2018 con Cuadro de Mando V6..xlsx]Plan de Accion 2018'!#REF!,J290&lt;&gt;"N/A"))</xm:f>
            <x14:dxf>
              <fill>
                <patternFill>
                  <bgColor indexed="10"/>
                </patternFill>
              </fill>
            </x14:dxf>
          </x14:cfRule>
          <xm:sqref>J290</xm:sqref>
        </x14:conditionalFormatting>
        <x14:conditionalFormatting xmlns:xm="http://schemas.microsoft.com/office/excel/2006/main">
          <x14:cfRule type="expression" priority="4140" id="{C304A34E-0CCD-4FDD-86BB-AF6BF0AD76B1}">
            <xm:f>AND(IF(J291&gt;'F:\Users\norela.briceno\Documents\Plan de acción\Plan Accion 2018\[Plan Accion Integrado ADRES Vigencia 2018 con Cuadro de Mando V6..xlsx]Plan de Accion 2018'!#REF!,J291&lt;&gt;¨N/A¨))</xm:f>
            <x14:dxf>
              <fill>
                <patternFill>
                  <bgColor theme="1" tint="0.499984740745262"/>
                </patternFill>
              </fill>
            </x14:dxf>
          </x14:cfRule>
          <x14:cfRule type="expression" priority="4141" stopIfTrue="1" id="{EECC42DA-7283-4CDB-BE86-3E7B093606CB}">
            <xm:f>AND(IF(J291='F:\Users\norela.briceno\Documents\Plan de acción\Plan Accion 2018\[Plan Accion Integrado ADRES Vigencia 2018 con Cuadro de Mando V6..xlsx]Plan de Accion 2018'!#REF!,J291&lt;&gt;"N/A"))</xm:f>
            <x14:dxf>
              <fill>
                <patternFill>
                  <bgColor rgb="FF00B050"/>
                </patternFill>
              </fill>
            </x14:dxf>
          </x14:cfRule>
          <x14:cfRule type="expression" priority="4142" stopIfTrue="1" id="{7D464609-A799-4BED-A600-54D4C286A287}">
            <xm:f>AND(IF(J291&lt;'F:\Users\norela.briceno\Documents\Plan de acción\Plan Accion 2018\[Plan Accion Integrado ADRES Vigencia 2018 con Cuadro de Mando V6..xlsx]Plan de Accion 2018'!#REF!,J291&lt;&gt;"N/A"))</xm:f>
            <x14:dxf>
              <fill>
                <patternFill>
                  <bgColor indexed="10"/>
                </patternFill>
              </fill>
            </x14:dxf>
          </x14:cfRule>
          <xm:sqref>J291</xm:sqref>
        </x14:conditionalFormatting>
        <x14:conditionalFormatting xmlns:xm="http://schemas.microsoft.com/office/excel/2006/main">
          <x14:cfRule type="expression" priority="4137" id="{A77F13B4-BBB7-4AAF-A635-77A00F270C2E}">
            <xm:f>AND(IF(J293&gt;'F:\Users\norela.briceno\Documents\Plan de acción\Plan Accion 2018\[Plan Accion Integrado ADRES Vigencia 2018 con Cuadro de Mando V6..xlsx]Plan de Accion 2018'!#REF!,J293&lt;&gt;¨N/A¨))</xm:f>
            <x14:dxf>
              <fill>
                <patternFill>
                  <bgColor theme="1" tint="0.499984740745262"/>
                </patternFill>
              </fill>
            </x14:dxf>
          </x14:cfRule>
          <x14:cfRule type="expression" priority="4138" stopIfTrue="1" id="{5FA43D6E-01B7-4751-B671-98F4C3B817D7}">
            <xm:f>AND(IF(J293='F:\Users\norela.briceno\Documents\Plan de acción\Plan Accion 2018\[Plan Accion Integrado ADRES Vigencia 2018 con Cuadro de Mando V6..xlsx]Plan de Accion 2018'!#REF!,J293&lt;&gt;"N/A"))</xm:f>
            <x14:dxf>
              <fill>
                <patternFill>
                  <bgColor rgb="FF00B050"/>
                </patternFill>
              </fill>
            </x14:dxf>
          </x14:cfRule>
          <x14:cfRule type="expression" priority="4139" stopIfTrue="1" id="{8756D9E1-1C79-4645-8CEF-A4FEA0CBE011}">
            <xm:f>AND(IF(J293&lt;'F:\Users\norela.briceno\Documents\Plan de acción\Plan Accion 2018\[Plan Accion Integrado ADRES Vigencia 2018 con Cuadro de Mando V6..xlsx]Plan de Accion 2018'!#REF!,J293&lt;&gt;"N/A"))</xm:f>
            <x14:dxf>
              <fill>
                <patternFill>
                  <bgColor indexed="10"/>
                </patternFill>
              </fill>
            </x14:dxf>
          </x14:cfRule>
          <xm:sqref>J293</xm:sqref>
        </x14:conditionalFormatting>
        <x14:conditionalFormatting xmlns:xm="http://schemas.microsoft.com/office/excel/2006/main">
          <x14:cfRule type="expression" priority="4134" id="{ECF600FC-EC4E-4C79-A961-6A368E2C8C03}">
            <xm:f>AND(IF(J294&gt;'F:\Users\norela.briceno\Documents\Plan de acción\Plan Accion 2018\[Plan Accion Integrado ADRES Vigencia 2018 con Cuadro de Mando V6..xlsx]Plan de Accion 2018'!#REF!,J294&lt;&gt;¨N/A¨))</xm:f>
            <x14:dxf>
              <fill>
                <patternFill>
                  <bgColor theme="1" tint="0.499984740745262"/>
                </patternFill>
              </fill>
            </x14:dxf>
          </x14:cfRule>
          <x14:cfRule type="expression" priority="4135" stopIfTrue="1" id="{25FDB5A5-86F3-479D-867B-F1A3959BDC6E}">
            <xm:f>AND(IF(J294='F:\Users\norela.briceno\Documents\Plan de acción\Plan Accion 2018\[Plan Accion Integrado ADRES Vigencia 2018 con Cuadro de Mando V6..xlsx]Plan de Accion 2018'!#REF!,J294&lt;&gt;"N/A"))</xm:f>
            <x14:dxf>
              <fill>
                <patternFill>
                  <bgColor rgb="FF00B050"/>
                </patternFill>
              </fill>
            </x14:dxf>
          </x14:cfRule>
          <x14:cfRule type="expression" priority="4136" stopIfTrue="1" id="{BDD06CD2-89E1-4348-BF14-5AF6A2EB50DE}">
            <xm:f>AND(IF(J294&lt;'F:\Users\norela.briceno\Documents\Plan de acción\Plan Accion 2018\[Plan Accion Integrado ADRES Vigencia 2018 con Cuadro de Mando V6..xlsx]Plan de Accion 2018'!#REF!,J294&lt;&gt;"N/A"))</xm:f>
            <x14:dxf>
              <fill>
                <patternFill>
                  <bgColor indexed="10"/>
                </patternFill>
              </fill>
            </x14:dxf>
          </x14:cfRule>
          <xm:sqref>J294</xm:sqref>
        </x14:conditionalFormatting>
        <x14:conditionalFormatting xmlns:xm="http://schemas.microsoft.com/office/excel/2006/main">
          <x14:cfRule type="expression" priority="4131" id="{CF8509CB-AD6D-4D84-A233-38E8F2B452A1}">
            <xm:f>AND(IF(J295&gt;'F:\Users\norela.briceno\Documents\Plan de acción\Plan Accion 2018\[Plan Accion Integrado ADRES Vigencia 2018 con Cuadro de Mando V6..xlsx]Plan de Accion 2018'!#REF!,J295&lt;&gt;¨N/A¨))</xm:f>
            <x14:dxf>
              <fill>
                <patternFill>
                  <bgColor theme="1" tint="0.499984740745262"/>
                </patternFill>
              </fill>
            </x14:dxf>
          </x14:cfRule>
          <x14:cfRule type="expression" priority="4132" stopIfTrue="1" id="{544421A5-1303-4814-B20E-6951B173506F}">
            <xm:f>AND(IF(J295='F:\Users\norela.briceno\Documents\Plan de acción\Plan Accion 2018\[Plan Accion Integrado ADRES Vigencia 2018 con Cuadro de Mando V6..xlsx]Plan de Accion 2018'!#REF!,J295&lt;&gt;"N/A"))</xm:f>
            <x14:dxf>
              <fill>
                <patternFill>
                  <bgColor rgb="FF00B050"/>
                </patternFill>
              </fill>
            </x14:dxf>
          </x14:cfRule>
          <x14:cfRule type="expression" priority="4133" stopIfTrue="1" id="{CF6CDA05-EE49-49CB-8476-34B5B07F23A6}">
            <xm:f>AND(IF(J295&lt;'F:\Users\norela.briceno\Documents\Plan de acción\Plan Accion 2018\[Plan Accion Integrado ADRES Vigencia 2018 con Cuadro de Mando V6..xlsx]Plan de Accion 2018'!#REF!,J295&lt;&gt;"N/A"))</xm:f>
            <x14:dxf>
              <fill>
                <patternFill>
                  <bgColor indexed="10"/>
                </patternFill>
              </fill>
            </x14:dxf>
          </x14:cfRule>
          <xm:sqref>J295</xm:sqref>
        </x14:conditionalFormatting>
        <x14:conditionalFormatting xmlns:xm="http://schemas.microsoft.com/office/excel/2006/main">
          <x14:cfRule type="expression" priority="4128" id="{06CD8B72-22E2-4E00-BBA6-A862A0F068C3}">
            <xm:f>AND(IF(J296&gt;'F:\Users\norela.briceno\Documents\Plan de acción\Plan Accion 2018\[Plan Accion Integrado ADRES Vigencia 2018 con Cuadro de Mando V6..xlsx]Plan de Accion 2018'!#REF!,J296&lt;&gt;¨N/A¨))</xm:f>
            <x14:dxf>
              <fill>
                <patternFill>
                  <bgColor theme="1" tint="0.499984740745262"/>
                </patternFill>
              </fill>
            </x14:dxf>
          </x14:cfRule>
          <x14:cfRule type="expression" priority="4129" stopIfTrue="1" id="{908FB6BD-62E8-478D-A0A1-25330AEC06DE}">
            <xm:f>AND(IF(J296='F:\Users\norela.briceno\Documents\Plan de acción\Plan Accion 2018\[Plan Accion Integrado ADRES Vigencia 2018 con Cuadro de Mando V6..xlsx]Plan de Accion 2018'!#REF!,J296&lt;&gt;"N/A"))</xm:f>
            <x14:dxf>
              <fill>
                <patternFill>
                  <bgColor rgb="FF00B050"/>
                </patternFill>
              </fill>
            </x14:dxf>
          </x14:cfRule>
          <x14:cfRule type="expression" priority="4130" stopIfTrue="1" id="{0769F7B0-6902-44A0-B932-F72F0A9A648D}">
            <xm:f>AND(IF(J296&lt;'F:\Users\norela.briceno\Documents\Plan de acción\Plan Accion 2018\[Plan Accion Integrado ADRES Vigencia 2018 con Cuadro de Mando V6..xlsx]Plan de Accion 2018'!#REF!,J296&lt;&gt;"N/A"))</xm:f>
            <x14:dxf>
              <fill>
                <patternFill>
                  <bgColor indexed="10"/>
                </patternFill>
              </fill>
            </x14:dxf>
          </x14:cfRule>
          <xm:sqref>J296</xm:sqref>
        </x14:conditionalFormatting>
        <x14:conditionalFormatting xmlns:xm="http://schemas.microsoft.com/office/excel/2006/main">
          <x14:cfRule type="expression" priority="4125" id="{D21BFF7E-7DF5-4F0B-B2D4-99F1F8CFA966}">
            <xm:f>AND(IF(J297&gt;'F:\Users\norela.briceno\Documents\Plan de acción\Plan Accion 2018\[Plan Accion Integrado ADRES Vigencia 2018 con Cuadro de Mando V6..xlsx]Plan de Accion 2018'!#REF!,J297&lt;&gt;¨N/A¨))</xm:f>
            <x14:dxf>
              <fill>
                <patternFill>
                  <bgColor theme="1" tint="0.499984740745262"/>
                </patternFill>
              </fill>
            </x14:dxf>
          </x14:cfRule>
          <x14:cfRule type="expression" priority="4126" stopIfTrue="1" id="{DF414E8E-FF02-4978-853B-B158D64C4EE6}">
            <xm:f>AND(IF(J297='F:\Users\norela.briceno\Documents\Plan de acción\Plan Accion 2018\[Plan Accion Integrado ADRES Vigencia 2018 con Cuadro de Mando V6..xlsx]Plan de Accion 2018'!#REF!,J297&lt;&gt;"N/A"))</xm:f>
            <x14:dxf>
              <fill>
                <patternFill>
                  <bgColor rgb="FF00B050"/>
                </patternFill>
              </fill>
            </x14:dxf>
          </x14:cfRule>
          <x14:cfRule type="expression" priority="4127" stopIfTrue="1" id="{1966A48C-12EC-4420-9330-5FB007B73FC4}">
            <xm:f>AND(IF(J297&lt;'F:\Users\norela.briceno\Documents\Plan de acción\Plan Accion 2018\[Plan Accion Integrado ADRES Vigencia 2018 con Cuadro de Mando V6..xlsx]Plan de Accion 2018'!#REF!,J297&lt;&gt;"N/A"))</xm:f>
            <x14:dxf>
              <fill>
                <patternFill>
                  <bgColor indexed="10"/>
                </patternFill>
              </fill>
            </x14:dxf>
          </x14:cfRule>
          <xm:sqref>J297</xm:sqref>
        </x14:conditionalFormatting>
        <x14:conditionalFormatting xmlns:xm="http://schemas.microsoft.com/office/excel/2006/main">
          <x14:cfRule type="expression" priority="4122" id="{A0F69426-92DD-4DA7-A28F-DE6262CA8971}">
            <xm:f>AND(IF(J298&gt;'F:\Users\norela.briceno\Documents\Plan de acción\Plan Accion 2018\[Plan Accion Integrado ADRES Vigencia 2018 con Cuadro de Mando V6..xlsx]Plan de Accion 2018'!#REF!,J298&lt;&gt;¨N/A¨))</xm:f>
            <x14:dxf>
              <fill>
                <patternFill>
                  <bgColor theme="1" tint="0.499984740745262"/>
                </patternFill>
              </fill>
            </x14:dxf>
          </x14:cfRule>
          <x14:cfRule type="expression" priority="4123" stopIfTrue="1" id="{9AD85C46-C683-439A-A65D-6D0A68984029}">
            <xm:f>AND(IF(J298='F:\Users\norela.briceno\Documents\Plan de acción\Plan Accion 2018\[Plan Accion Integrado ADRES Vigencia 2018 con Cuadro de Mando V6..xlsx]Plan de Accion 2018'!#REF!,J298&lt;&gt;"N/A"))</xm:f>
            <x14:dxf>
              <fill>
                <patternFill>
                  <bgColor rgb="FF00B050"/>
                </patternFill>
              </fill>
            </x14:dxf>
          </x14:cfRule>
          <x14:cfRule type="expression" priority="4124" stopIfTrue="1" id="{5E1002E9-2CB3-40FA-940D-499AD6B0AF1E}">
            <xm:f>AND(IF(J298&lt;'F:\Users\norela.briceno\Documents\Plan de acción\Plan Accion 2018\[Plan Accion Integrado ADRES Vigencia 2018 con Cuadro de Mando V6..xlsx]Plan de Accion 2018'!#REF!,J298&lt;&gt;"N/A"))</xm:f>
            <x14:dxf>
              <fill>
                <patternFill>
                  <bgColor indexed="10"/>
                </patternFill>
              </fill>
            </x14:dxf>
          </x14:cfRule>
          <xm:sqref>J298</xm:sqref>
        </x14:conditionalFormatting>
        <x14:conditionalFormatting xmlns:xm="http://schemas.microsoft.com/office/excel/2006/main">
          <x14:cfRule type="expression" priority="4119" id="{D7D9E196-D0E3-4DC5-BB4C-D0174410B677}">
            <xm:f>AND(IF(J299&gt;'F:\Users\norela.briceno\Documents\Plan de acción\Plan Accion 2018\[Plan Accion Integrado ADRES Vigencia 2018 con Cuadro de Mando V6..xlsx]Plan de Accion 2018'!#REF!,J299&lt;&gt;¨N/A¨))</xm:f>
            <x14:dxf>
              <fill>
                <patternFill>
                  <bgColor theme="1" tint="0.499984740745262"/>
                </patternFill>
              </fill>
            </x14:dxf>
          </x14:cfRule>
          <x14:cfRule type="expression" priority="4120" stopIfTrue="1" id="{9791DCD5-8F1F-435C-9347-3BD1AFBA3270}">
            <xm:f>AND(IF(J299='F:\Users\norela.briceno\Documents\Plan de acción\Plan Accion 2018\[Plan Accion Integrado ADRES Vigencia 2018 con Cuadro de Mando V6..xlsx]Plan de Accion 2018'!#REF!,J299&lt;&gt;"N/A"))</xm:f>
            <x14:dxf>
              <fill>
                <patternFill>
                  <bgColor rgb="FF00B050"/>
                </patternFill>
              </fill>
            </x14:dxf>
          </x14:cfRule>
          <x14:cfRule type="expression" priority="4121" stopIfTrue="1" id="{889576B8-A00E-48A5-A2DB-70637CA0DC01}">
            <xm:f>AND(IF(J299&lt;'F:\Users\norela.briceno\Documents\Plan de acción\Plan Accion 2018\[Plan Accion Integrado ADRES Vigencia 2018 con Cuadro de Mando V6..xlsx]Plan de Accion 2018'!#REF!,J299&lt;&gt;"N/A"))</xm:f>
            <x14:dxf>
              <fill>
                <patternFill>
                  <bgColor indexed="10"/>
                </patternFill>
              </fill>
            </x14:dxf>
          </x14:cfRule>
          <xm:sqref>J299</xm:sqref>
        </x14:conditionalFormatting>
        <x14:conditionalFormatting xmlns:xm="http://schemas.microsoft.com/office/excel/2006/main">
          <x14:cfRule type="expression" priority="4116" id="{6696C436-4CFE-400B-8DC1-437CD01B5866}">
            <xm:f>AND(IF(J300&gt;'F:\Users\norela.briceno\Documents\Plan de acción\Plan Accion 2018\[Plan Accion Integrado ADRES Vigencia 2018 con Cuadro de Mando V6..xlsx]Plan de Accion 2018'!#REF!,J300&lt;&gt;¨N/A¨))</xm:f>
            <x14:dxf>
              <fill>
                <patternFill>
                  <bgColor theme="1" tint="0.499984740745262"/>
                </patternFill>
              </fill>
            </x14:dxf>
          </x14:cfRule>
          <x14:cfRule type="expression" priority="4117" stopIfTrue="1" id="{9F9BE177-03B4-414F-9C55-F9B50539CB00}">
            <xm:f>AND(IF(J300='F:\Users\norela.briceno\Documents\Plan de acción\Plan Accion 2018\[Plan Accion Integrado ADRES Vigencia 2018 con Cuadro de Mando V6..xlsx]Plan de Accion 2018'!#REF!,J300&lt;&gt;"N/A"))</xm:f>
            <x14:dxf>
              <fill>
                <patternFill>
                  <bgColor rgb="FF00B050"/>
                </patternFill>
              </fill>
            </x14:dxf>
          </x14:cfRule>
          <x14:cfRule type="expression" priority="4118" stopIfTrue="1" id="{AE050D44-D7FC-4D06-B4FA-543362E3CA48}">
            <xm:f>AND(IF(J300&lt;'F:\Users\norela.briceno\Documents\Plan de acción\Plan Accion 2018\[Plan Accion Integrado ADRES Vigencia 2018 con Cuadro de Mando V6..xlsx]Plan de Accion 2018'!#REF!,J300&lt;&gt;"N/A"))</xm:f>
            <x14:dxf>
              <fill>
                <patternFill>
                  <bgColor indexed="10"/>
                </patternFill>
              </fill>
            </x14:dxf>
          </x14:cfRule>
          <xm:sqref>J300</xm:sqref>
        </x14:conditionalFormatting>
        <x14:conditionalFormatting xmlns:xm="http://schemas.microsoft.com/office/excel/2006/main">
          <x14:cfRule type="expression" priority="4113" id="{80A0AA6B-778C-43A7-801C-056528BBEFB9}">
            <xm:f>AND(IF(J301&gt;'F:\Users\norela.briceno\Documents\Plan de acción\Plan Accion 2018\[Plan Accion Integrado ADRES Vigencia 2018 con Cuadro de Mando V6..xlsx]Plan de Accion 2018'!#REF!,J301&lt;&gt;¨N/A¨))</xm:f>
            <x14:dxf>
              <fill>
                <patternFill>
                  <bgColor theme="1" tint="0.499984740745262"/>
                </patternFill>
              </fill>
            </x14:dxf>
          </x14:cfRule>
          <x14:cfRule type="expression" priority="4114" stopIfTrue="1" id="{45F54759-33D3-4560-82F5-0ADD03B0AF6E}">
            <xm:f>AND(IF(J301='F:\Users\norela.briceno\Documents\Plan de acción\Plan Accion 2018\[Plan Accion Integrado ADRES Vigencia 2018 con Cuadro de Mando V6..xlsx]Plan de Accion 2018'!#REF!,J301&lt;&gt;"N/A"))</xm:f>
            <x14:dxf>
              <fill>
                <patternFill>
                  <bgColor rgb="FF00B050"/>
                </patternFill>
              </fill>
            </x14:dxf>
          </x14:cfRule>
          <x14:cfRule type="expression" priority="4115" stopIfTrue="1" id="{89077BE7-0454-48B4-8D8B-01117F5111CA}">
            <xm:f>AND(IF(J301&lt;'F:\Users\norela.briceno\Documents\Plan de acción\Plan Accion 2018\[Plan Accion Integrado ADRES Vigencia 2018 con Cuadro de Mando V6..xlsx]Plan de Accion 2018'!#REF!,J301&lt;&gt;"N/A"))</xm:f>
            <x14:dxf>
              <fill>
                <patternFill>
                  <bgColor indexed="10"/>
                </patternFill>
              </fill>
            </x14:dxf>
          </x14:cfRule>
          <xm:sqref>J301</xm:sqref>
        </x14:conditionalFormatting>
        <x14:conditionalFormatting xmlns:xm="http://schemas.microsoft.com/office/excel/2006/main">
          <x14:cfRule type="expression" priority="4110" id="{1AD9A474-C3CA-4D3F-8E08-67457A8AC4CF}">
            <xm:f>AND(IF(J302&gt;'F:\Users\norela.briceno\Documents\Plan de acción\Plan Accion 2018\[Plan Accion Integrado ADRES Vigencia 2018 con Cuadro de Mando V6..xlsx]Plan de Accion 2018'!#REF!,J302&lt;&gt;¨N/A¨))</xm:f>
            <x14:dxf>
              <fill>
                <patternFill>
                  <bgColor theme="1" tint="0.499984740745262"/>
                </patternFill>
              </fill>
            </x14:dxf>
          </x14:cfRule>
          <x14:cfRule type="expression" priority="4111" stopIfTrue="1" id="{9A75A262-7F4D-4803-A955-B135F9D36B1E}">
            <xm:f>AND(IF(J302='F:\Users\norela.briceno\Documents\Plan de acción\Plan Accion 2018\[Plan Accion Integrado ADRES Vigencia 2018 con Cuadro de Mando V6..xlsx]Plan de Accion 2018'!#REF!,J302&lt;&gt;"N/A"))</xm:f>
            <x14:dxf>
              <fill>
                <patternFill>
                  <bgColor rgb="FF00B050"/>
                </patternFill>
              </fill>
            </x14:dxf>
          </x14:cfRule>
          <x14:cfRule type="expression" priority="4112" stopIfTrue="1" id="{31A4BE66-C95F-4127-B0E0-FD333C0836CA}">
            <xm:f>AND(IF(J302&lt;'F:\Users\norela.briceno\Documents\Plan de acción\Plan Accion 2018\[Plan Accion Integrado ADRES Vigencia 2018 con Cuadro de Mando V6..xlsx]Plan de Accion 2018'!#REF!,J302&lt;&gt;"N/A"))</xm:f>
            <x14:dxf>
              <fill>
                <patternFill>
                  <bgColor indexed="10"/>
                </patternFill>
              </fill>
            </x14:dxf>
          </x14:cfRule>
          <xm:sqref>J302</xm:sqref>
        </x14:conditionalFormatting>
        <x14:conditionalFormatting xmlns:xm="http://schemas.microsoft.com/office/excel/2006/main">
          <x14:cfRule type="expression" priority="4107" id="{95AFA146-B8B0-4350-94E4-52B7A56050DA}">
            <xm:f>AND(IF(J303&gt;'F:\Users\norela.briceno\Documents\Plan de acción\Plan Accion 2018\[Plan Accion Integrado ADRES Vigencia 2018 con Cuadro de Mando V6..xlsx]Plan de Accion 2018'!#REF!,J303&lt;&gt;¨N/A¨))</xm:f>
            <x14:dxf>
              <fill>
                <patternFill>
                  <bgColor theme="1" tint="0.499984740745262"/>
                </patternFill>
              </fill>
            </x14:dxf>
          </x14:cfRule>
          <x14:cfRule type="expression" priority="4108" stopIfTrue="1" id="{55404B6B-E569-45D7-84C9-60383F6C36C4}">
            <xm:f>AND(IF(J303='F:\Users\norela.briceno\Documents\Plan de acción\Plan Accion 2018\[Plan Accion Integrado ADRES Vigencia 2018 con Cuadro de Mando V6..xlsx]Plan de Accion 2018'!#REF!,J303&lt;&gt;"N/A"))</xm:f>
            <x14:dxf>
              <fill>
                <patternFill>
                  <bgColor rgb="FF00B050"/>
                </patternFill>
              </fill>
            </x14:dxf>
          </x14:cfRule>
          <x14:cfRule type="expression" priority="4109" stopIfTrue="1" id="{3FCDC013-C983-4F6E-9CCD-B4289C75636E}">
            <xm:f>AND(IF(J303&lt;'F:\Users\norela.briceno\Documents\Plan de acción\Plan Accion 2018\[Plan Accion Integrado ADRES Vigencia 2018 con Cuadro de Mando V6..xlsx]Plan de Accion 2018'!#REF!,J303&lt;&gt;"N/A"))</xm:f>
            <x14:dxf>
              <fill>
                <patternFill>
                  <bgColor indexed="10"/>
                </patternFill>
              </fill>
            </x14:dxf>
          </x14:cfRule>
          <xm:sqref>J303</xm:sqref>
        </x14:conditionalFormatting>
        <x14:conditionalFormatting xmlns:xm="http://schemas.microsoft.com/office/excel/2006/main">
          <x14:cfRule type="expression" priority="4104" id="{2F18D6A1-8E10-4644-9BF0-75B2CC6F6924}">
            <xm:f>AND(IF(J304&gt;'F:\Users\norela.briceno\Documents\Plan de acción\Plan Accion 2018\[Plan Accion Integrado ADRES Vigencia 2018 con Cuadro de Mando V6..xlsx]Plan de Accion 2018'!#REF!,J304&lt;&gt;¨N/A¨))</xm:f>
            <x14:dxf>
              <fill>
                <patternFill>
                  <bgColor theme="1" tint="0.499984740745262"/>
                </patternFill>
              </fill>
            </x14:dxf>
          </x14:cfRule>
          <x14:cfRule type="expression" priority="4105" stopIfTrue="1" id="{6A6012ED-CB7B-4BD9-99BE-05BF45F1FB56}">
            <xm:f>AND(IF(J304='F:\Users\norela.briceno\Documents\Plan de acción\Plan Accion 2018\[Plan Accion Integrado ADRES Vigencia 2018 con Cuadro de Mando V6..xlsx]Plan de Accion 2018'!#REF!,J304&lt;&gt;"N/A"))</xm:f>
            <x14:dxf>
              <fill>
                <patternFill>
                  <bgColor rgb="FF00B050"/>
                </patternFill>
              </fill>
            </x14:dxf>
          </x14:cfRule>
          <x14:cfRule type="expression" priority="4106" stopIfTrue="1" id="{C6E61C13-0E77-4BF1-BC75-64C4009A0B3B}">
            <xm:f>AND(IF(J304&lt;'F:\Users\norela.briceno\Documents\Plan de acción\Plan Accion 2018\[Plan Accion Integrado ADRES Vigencia 2018 con Cuadro de Mando V6..xlsx]Plan de Accion 2018'!#REF!,J304&lt;&gt;"N/A"))</xm:f>
            <x14:dxf>
              <fill>
                <patternFill>
                  <bgColor indexed="10"/>
                </patternFill>
              </fill>
            </x14:dxf>
          </x14:cfRule>
          <xm:sqref>J304</xm:sqref>
        </x14:conditionalFormatting>
        <x14:conditionalFormatting xmlns:xm="http://schemas.microsoft.com/office/excel/2006/main">
          <x14:cfRule type="expression" priority="4101" id="{236E64A7-B3EF-4B46-8CCB-04E8F16E85D8}">
            <xm:f>AND(IF(J305&gt;'F:\Users\norela.briceno\Documents\Plan de acción\Plan Accion 2018\[Plan Accion Integrado ADRES Vigencia 2018 con Cuadro de Mando V6..xlsx]Plan de Accion 2018'!#REF!,J305&lt;&gt;¨N/A¨))</xm:f>
            <x14:dxf>
              <fill>
                <patternFill>
                  <bgColor theme="1" tint="0.499984740745262"/>
                </patternFill>
              </fill>
            </x14:dxf>
          </x14:cfRule>
          <x14:cfRule type="expression" priority="4102" stopIfTrue="1" id="{5F6804F5-471D-439C-BA64-07730D92CF4F}">
            <xm:f>AND(IF(J305='F:\Users\norela.briceno\Documents\Plan de acción\Plan Accion 2018\[Plan Accion Integrado ADRES Vigencia 2018 con Cuadro de Mando V6..xlsx]Plan de Accion 2018'!#REF!,J305&lt;&gt;"N/A"))</xm:f>
            <x14:dxf>
              <fill>
                <patternFill>
                  <bgColor rgb="FF00B050"/>
                </patternFill>
              </fill>
            </x14:dxf>
          </x14:cfRule>
          <x14:cfRule type="expression" priority="4103" stopIfTrue="1" id="{CE4B3AF4-873D-4CF8-BCBC-7D9D9852D4C5}">
            <xm:f>AND(IF(J305&lt;'F:\Users\norela.briceno\Documents\Plan de acción\Plan Accion 2018\[Plan Accion Integrado ADRES Vigencia 2018 con Cuadro de Mando V6..xlsx]Plan de Accion 2018'!#REF!,J305&lt;&gt;"N/A"))</xm:f>
            <x14:dxf>
              <fill>
                <patternFill>
                  <bgColor indexed="10"/>
                </patternFill>
              </fill>
            </x14:dxf>
          </x14:cfRule>
          <xm:sqref>J305</xm:sqref>
        </x14:conditionalFormatting>
        <x14:conditionalFormatting xmlns:xm="http://schemas.microsoft.com/office/excel/2006/main">
          <x14:cfRule type="expression" priority="4098" id="{5C706E30-8A5B-46E6-A86E-0F2B2E4C3806}">
            <xm:f>AND(IF(J306&gt;'F:\Users\norela.briceno\Documents\Plan de acción\Plan Accion 2018\[Plan Accion Integrado ADRES Vigencia 2018 con Cuadro de Mando V6..xlsx]Plan de Accion 2018'!#REF!,J306&lt;&gt;¨N/A¨))</xm:f>
            <x14:dxf>
              <fill>
                <patternFill>
                  <bgColor theme="1" tint="0.499984740745262"/>
                </patternFill>
              </fill>
            </x14:dxf>
          </x14:cfRule>
          <x14:cfRule type="expression" priority="4099" stopIfTrue="1" id="{3000EAE8-871F-42AD-9334-15BD18C2636B}">
            <xm:f>AND(IF(J306='F:\Users\norela.briceno\Documents\Plan de acción\Plan Accion 2018\[Plan Accion Integrado ADRES Vigencia 2018 con Cuadro de Mando V6..xlsx]Plan de Accion 2018'!#REF!,J306&lt;&gt;"N/A"))</xm:f>
            <x14:dxf>
              <fill>
                <patternFill>
                  <bgColor rgb="FF00B050"/>
                </patternFill>
              </fill>
            </x14:dxf>
          </x14:cfRule>
          <x14:cfRule type="expression" priority="4100" stopIfTrue="1" id="{55C9D119-1176-41C7-937A-EAE136E38333}">
            <xm:f>AND(IF(J306&lt;'F:\Users\norela.briceno\Documents\Plan de acción\Plan Accion 2018\[Plan Accion Integrado ADRES Vigencia 2018 con Cuadro de Mando V6..xlsx]Plan de Accion 2018'!#REF!,J306&lt;&gt;"N/A"))</xm:f>
            <x14:dxf>
              <fill>
                <patternFill>
                  <bgColor indexed="10"/>
                </patternFill>
              </fill>
            </x14:dxf>
          </x14:cfRule>
          <xm:sqref>J306</xm:sqref>
        </x14:conditionalFormatting>
        <x14:conditionalFormatting xmlns:xm="http://schemas.microsoft.com/office/excel/2006/main">
          <x14:cfRule type="expression" priority="4095" id="{61ADE537-FF10-46E9-AD24-5EB4186E13F1}">
            <xm:f>AND(IF(J307&gt;'F:\Users\norela.briceno\Documents\Plan de acción\Plan Accion 2018\[Plan Accion Integrado ADRES Vigencia 2018 con Cuadro de Mando V6..xlsx]Plan de Accion 2018'!#REF!,J307&lt;&gt;¨N/A¨))</xm:f>
            <x14:dxf>
              <fill>
                <patternFill>
                  <bgColor theme="1" tint="0.499984740745262"/>
                </patternFill>
              </fill>
            </x14:dxf>
          </x14:cfRule>
          <x14:cfRule type="expression" priority="4096" stopIfTrue="1" id="{9F36C6D6-8069-441A-8058-2BA970C91560}">
            <xm:f>AND(IF(J307='F:\Users\norela.briceno\Documents\Plan de acción\Plan Accion 2018\[Plan Accion Integrado ADRES Vigencia 2018 con Cuadro de Mando V6..xlsx]Plan de Accion 2018'!#REF!,J307&lt;&gt;"N/A"))</xm:f>
            <x14:dxf>
              <fill>
                <patternFill>
                  <bgColor rgb="FF00B050"/>
                </patternFill>
              </fill>
            </x14:dxf>
          </x14:cfRule>
          <x14:cfRule type="expression" priority="4097" stopIfTrue="1" id="{EF19A3CD-AB76-482E-8AAC-C5CF82A471D8}">
            <xm:f>AND(IF(J307&lt;'F:\Users\norela.briceno\Documents\Plan de acción\Plan Accion 2018\[Plan Accion Integrado ADRES Vigencia 2018 con Cuadro de Mando V6..xlsx]Plan de Accion 2018'!#REF!,J307&lt;&gt;"N/A"))</xm:f>
            <x14:dxf>
              <fill>
                <patternFill>
                  <bgColor indexed="10"/>
                </patternFill>
              </fill>
            </x14:dxf>
          </x14:cfRule>
          <xm:sqref>J307</xm:sqref>
        </x14:conditionalFormatting>
        <x14:conditionalFormatting xmlns:xm="http://schemas.microsoft.com/office/excel/2006/main">
          <x14:cfRule type="expression" priority="4092" id="{BC105914-F08A-4FF3-B541-4DCF7DF62567}">
            <xm:f>AND(IF(J308&gt;'F:\Users\norela.briceno\Documents\Plan de acción\Plan Accion 2018\[Plan Accion Integrado ADRES Vigencia 2018 con Cuadro de Mando V6..xlsx]Plan de Accion 2018'!#REF!,J308&lt;&gt;¨N/A¨))</xm:f>
            <x14:dxf>
              <fill>
                <patternFill>
                  <bgColor theme="1" tint="0.499984740745262"/>
                </patternFill>
              </fill>
            </x14:dxf>
          </x14:cfRule>
          <x14:cfRule type="expression" priority="4093" stopIfTrue="1" id="{B397756C-A007-4E98-A69D-53A6D3AAADDD}">
            <xm:f>AND(IF(J308='F:\Users\norela.briceno\Documents\Plan de acción\Plan Accion 2018\[Plan Accion Integrado ADRES Vigencia 2018 con Cuadro de Mando V6..xlsx]Plan de Accion 2018'!#REF!,J308&lt;&gt;"N/A"))</xm:f>
            <x14:dxf>
              <fill>
                <patternFill>
                  <bgColor rgb="FF00B050"/>
                </patternFill>
              </fill>
            </x14:dxf>
          </x14:cfRule>
          <x14:cfRule type="expression" priority="4094" stopIfTrue="1" id="{68DDE2B3-FA31-4E07-B605-F6D36C1CEFFF}">
            <xm:f>AND(IF(J308&lt;'F:\Users\norela.briceno\Documents\Plan de acción\Plan Accion 2018\[Plan Accion Integrado ADRES Vigencia 2018 con Cuadro de Mando V6..xlsx]Plan de Accion 2018'!#REF!,J308&lt;&gt;"N/A"))</xm:f>
            <x14:dxf>
              <fill>
                <patternFill>
                  <bgColor indexed="10"/>
                </patternFill>
              </fill>
            </x14:dxf>
          </x14:cfRule>
          <xm:sqref>J308</xm:sqref>
        </x14:conditionalFormatting>
        <x14:conditionalFormatting xmlns:xm="http://schemas.microsoft.com/office/excel/2006/main">
          <x14:cfRule type="expression" priority="4089" id="{8D4A45E3-7BDA-4BFB-9663-5B3F45709AA8}">
            <xm:f>AND(IF(J309&gt;'F:\Users\norela.briceno\Documents\Plan de acción\Plan Accion 2018\[Plan Accion Integrado ADRES Vigencia 2018 con Cuadro de Mando V6..xlsx]Plan de Accion 2018'!#REF!,J309&lt;&gt;¨N/A¨))</xm:f>
            <x14:dxf>
              <fill>
                <patternFill>
                  <bgColor theme="1" tint="0.499984740745262"/>
                </patternFill>
              </fill>
            </x14:dxf>
          </x14:cfRule>
          <x14:cfRule type="expression" priority="4090" stopIfTrue="1" id="{BB87CCAE-6EF8-4155-963F-7307CAB7F5E9}">
            <xm:f>AND(IF(J309='F:\Users\norela.briceno\Documents\Plan de acción\Plan Accion 2018\[Plan Accion Integrado ADRES Vigencia 2018 con Cuadro de Mando V6..xlsx]Plan de Accion 2018'!#REF!,J309&lt;&gt;"N/A"))</xm:f>
            <x14:dxf>
              <fill>
                <patternFill>
                  <bgColor rgb="FF00B050"/>
                </patternFill>
              </fill>
            </x14:dxf>
          </x14:cfRule>
          <x14:cfRule type="expression" priority="4091" stopIfTrue="1" id="{578526A1-66A1-4347-9481-15AA6CD38242}">
            <xm:f>AND(IF(J309&lt;'F:\Users\norela.briceno\Documents\Plan de acción\Plan Accion 2018\[Plan Accion Integrado ADRES Vigencia 2018 con Cuadro de Mando V6..xlsx]Plan de Accion 2018'!#REF!,J309&lt;&gt;"N/A"))</xm:f>
            <x14:dxf>
              <fill>
                <patternFill>
                  <bgColor indexed="10"/>
                </patternFill>
              </fill>
            </x14:dxf>
          </x14:cfRule>
          <xm:sqref>J309</xm:sqref>
        </x14:conditionalFormatting>
        <x14:conditionalFormatting xmlns:xm="http://schemas.microsoft.com/office/excel/2006/main">
          <x14:cfRule type="expression" priority="4086" id="{08C17B7B-5BB0-41E3-9119-776277B628CE}">
            <xm:f>AND(IF(J310&gt;'F:\Users\norela.briceno\Documents\Plan de acción\Plan Accion 2018\[Plan Accion Integrado ADRES Vigencia 2018 con Cuadro de Mando V6..xlsx]Plan de Accion 2018'!#REF!,J310&lt;&gt;¨N/A¨))</xm:f>
            <x14:dxf>
              <fill>
                <patternFill>
                  <bgColor theme="1" tint="0.499984740745262"/>
                </patternFill>
              </fill>
            </x14:dxf>
          </x14:cfRule>
          <x14:cfRule type="expression" priority="4087" stopIfTrue="1" id="{10E434E5-DB01-40B9-A209-CC28B2B74DC7}">
            <xm:f>AND(IF(J310='F:\Users\norela.briceno\Documents\Plan de acción\Plan Accion 2018\[Plan Accion Integrado ADRES Vigencia 2018 con Cuadro de Mando V6..xlsx]Plan de Accion 2018'!#REF!,J310&lt;&gt;"N/A"))</xm:f>
            <x14:dxf>
              <fill>
                <patternFill>
                  <bgColor rgb="FF00B050"/>
                </patternFill>
              </fill>
            </x14:dxf>
          </x14:cfRule>
          <x14:cfRule type="expression" priority="4088" stopIfTrue="1" id="{9EC191ED-6B2C-43CE-9FEE-CBE882DB26AF}">
            <xm:f>AND(IF(J310&lt;'F:\Users\norela.briceno\Documents\Plan de acción\Plan Accion 2018\[Plan Accion Integrado ADRES Vigencia 2018 con Cuadro de Mando V6..xlsx]Plan de Accion 2018'!#REF!,J310&lt;&gt;"N/A"))</xm:f>
            <x14:dxf>
              <fill>
                <patternFill>
                  <bgColor indexed="10"/>
                </patternFill>
              </fill>
            </x14:dxf>
          </x14:cfRule>
          <xm:sqref>J310</xm:sqref>
        </x14:conditionalFormatting>
        <x14:conditionalFormatting xmlns:xm="http://schemas.microsoft.com/office/excel/2006/main">
          <x14:cfRule type="expression" priority="4083" id="{D0033153-8817-4D97-AFE3-BEFBF1070776}">
            <xm:f>AND(IF(J311&gt;'F:\Users\norela.briceno\Documents\Plan de acción\Plan Accion 2018\[Plan Accion Integrado ADRES Vigencia 2018 con Cuadro de Mando V6..xlsx]Plan de Accion 2018'!#REF!,J311&lt;&gt;¨N/A¨))</xm:f>
            <x14:dxf>
              <fill>
                <patternFill>
                  <bgColor theme="1" tint="0.499984740745262"/>
                </patternFill>
              </fill>
            </x14:dxf>
          </x14:cfRule>
          <x14:cfRule type="expression" priority="4084" stopIfTrue="1" id="{B3528B17-2DED-496A-B1F2-95E9CAC3E6CD}">
            <xm:f>AND(IF(J311='F:\Users\norela.briceno\Documents\Plan de acción\Plan Accion 2018\[Plan Accion Integrado ADRES Vigencia 2018 con Cuadro de Mando V6..xlsx]Plan de Accion 2018'!#REF!,J311&lt;&gt;"N/A"))</xm:f>
            <x14:dxf>
              <fill>
                <patternFill>
                  <bgColor rgb="FF00B050"/>
                </patternFill>
              </fill>
            </x14:dxf>
          </x14:cfRule>
          <x14:cfRule type="expression" priority="4085" stopIfTrue="1" id="{69F4746F-EE6B-4F2E-86E3-9E198688F87A}">
            <xm:f>AND(IF(J311&lt;'F:\Users\norela.briceno\Documents\Plan de acción\Plan Accion 2018\[Plan Accion Integrado ADRES Vigencia 2018 con Cuadro de Mando V6..xlsx]Plan de Accion 2018'!#REF!,J311&lt;&gt;"N/A"))</xm:f>
            <x14:dxf>
              <fill>
                <patternFill>
                  <bgColor indexed="10"/>
                </patternFill>
              </fill>
            </x14:dxf>
          </x14:cfRule>
          <xm:sqref>J311</xm:sqref>
        </x14:conditionalFormatting>
        <x14:conditionalFormatting xmlns:xm="http://schemas.microsoft.com/office/excel/2006/main">
          <x14:cfRule type="expression" priority="4080" id="{24CDB51C-0173-4F51-92F6-CA82C4562F0B}">
            <xm:f>AND(IF(J312&gt;'F:\Users\norela.briceno\Documents\Plan de acción\Plan Accion 2018\[Plan Accion Integrado ADRES Vigencia 2018 con Cuadro de Mando V6..xlsx]Plan de Accion 2018'!#REF!,J312&lt;&gt;¨N/A¨))</xm:f>
            <x14:dxf>
              <fill>
                <patternFill>
                  <bgColor theme="1" tint="0.499984740745262"/>
                </patternFill>
              </fill>
            </x14:dxf>
          </x14:cfRule>
          <x14:cfRule type="expression" priority="4081" stopIfTrue="1" id="{BAB2F587-CCB8-4BB0-9B97-FF4328CF48C6}">
            <xm:f>AND(IF(J312='F:\Users\norela.briceno\Documents\Plan de acción\Plan Accion 2018\[Plan Accion Integrado ADRES Vigencia 2018 con Cuadro de Mando V6..xlsx]Plan de Accion 2018'!#REF!,J312&lt;&gt;"N/A"))</xm:f>
            <x14:dxf>
              <fill>
                <patternFill>
                  <bgColor rgb="FF00B050"/>
                </patternFill>
              </fill>
            </x14:dxf>
          </x14:cfRule>
          <x14:cfRule type="expression" priority="4082" stopIfTrue="1" id="{3A263368-9228-4F04-879D-FB95A9ECF109}">
            <xm:f>AND(IF(J312&lt;'F:\Users\norela.briceno\Documents\Plan de acción\Plan Accion 2018\[Plan Accion Integrado ADRES Vigencia 2018 con Cuadro de Mando V6..xlsx]Plan de Accion 2018'!#REF!,J312&lt;&gt;"N/A"))</xm:f>
            <x14:dxf>
              <fill>
                <patternFill>
                  <bgColor indexed="10"/>
                </patternFill>
              </fill>
            </x14:dxf>
          </x14:cfRule>
          <xm:sqref>J312</xm:sqref>
        </x14:conditionalFormatting>
        <x14:conditionalFormatting xmlns:xm="http://schemas.microsoft.com/office/excel/2006/main">
          <x14:cfRule type="expression" priority="4077" id="{C187E69F-A02E-40D8-B391-5605C8C55DF0}">
            <xm:f>AND(IF(J313&gt;'F:\Users\norela.briceno\Documents\Plan de acción\Plan Accion 2018\[Plan Accion Integrado ADRES Vigencia 2018 con Cuadro de Mando V6..xlsx]Plan de Accion 2018'!#REF!,J313&lt;&gt;¨N/A¨))</xm:f>
            <x14:dxf>
              <fill>
                <patternFill>
                  <bgColor theme="1" tint="0.499984740745262"/>
                </patternFill>
              </fill>
            </x14:dxf>
          </x14:cfRule>
          <x14:cfRule type="expression" priority="4078" stopIfTrue="1" id="{F0AFC729-0879-4E84-813A-640920915B26}">
            <xm:f>AND(IF(J313='F:\Users\norela.briceno\Documents\Plan de acción\Plan Accion 2018\[Plan Accion Integrado ADRES Vigencia 2018 con Cuadro de Mando V6..xlsx]Plan de Accion 2018'!#REF!,J313&lt;&gt;"N/A"))</xm:f>
            <x14:dxf>
              <fill>
                <patternFill>
                  <bgColor rgb="FF00B050"/>
                </patternFill>
              </fill>
            </x14:dxf>
          </x14:cfRule>
          <x14:cfRule type="expression" priority="4079" stopIfTrue="1" id="{34EC3A34-F3EC-4F2B-BD9F-0D094A61D254}">
            <xm:f>AND(IF(J313&lt;'F:\Users\norela.briceno\Documents\Plan de acción\Plan Accion 2018\[Plan Accion Integrado ADRES Vigencia 2018 con Cuadro de Mando V6..xlsx]Plan de Accion 2018'!#REF!,J313&lt;&gt;"N/A"))</xm:f>
            <x14:dxf>
              <fill>
                <patternFill>
                  <bgColor indexed="10"/>
                </patternFill>
              </fill>
            </x14:dxf>
          </x14:cfRule>
          <xm:sqref>J313</xm:sqref>
        </x14:conditionalFormatting>
        <x14:conditionalFormatting xmlns:xm="http://schemas.microsoft.com/office/excel/2006/main">
          <x14:cfRule type="expression" priority="4074" id="{7480CE91-6913-4808-9EED-EC0F2EE5FB48}">
            <xm:f>AND(IF(J314&gt;'F:\Users\norela.briceno\Documents\Plan de acción\Plan Accion 2018\[Plan Accion Integrado ADRES Vigencia 2018 con Cuadro de Mando V6..xlsx]Plan de Accion 2018'!#REF!,J314&lt;&gt;¨N/A¨))</xm:f>
            <x14:dxf>
              <fill>
                <patternFill>
                  <bgColor theme="1" tint="0.499984740745262"/>
                </patternFill>
              </fill>
            </x14:dxf>
          </x14:cfRule>
          <x14:cfRule type="expression" priority="4075" stopIfTrue="1" id="{8707DFB1-42C8-4982-BFD5-2EAADA83237C}">
            <xm:f>AND(IF(J314='F:\Users\norela.briceno\Documents\Plan de acción\Plan Accion 2018\[Plan Accion Integrado ADRES Vigencia 2018 con Cuadro de Mando V6..xlsx]Plan de Accion 2018'!#REF!,J314&lt;&gt;"N/A"))</xm:f>
            <x14:dxf>
              <fill>
                <patternFill>
                  <bgColor rgb="FF00B050"/>
                </patternFill>
              </fill>
            </x14:dxf>
          </x14:cfRule>
          <x14:cfRule type="expression" priority="4076" stopIfTrue="1" id="{46183B08-2DEE-4083-B8D8-11DD01F5BDBF}">
            <xm:f>AND(IF(J314&lt;'F:\Users\norela.briceno\Documents\Plan de acción\Plan Accion 2018\[Plan Accion Integrado ADRES Vigencia 2018 con Cuadro de Mando V6..xlsx]Plan de Accion 2018'!#REF!,J314&lt;&gt;"N/A"))</xm:f>
            <x14:dxf>
              <fill>
                <patternFill>
                  <bgColor indexed="10"/>
                </patternFill>
              </fill>
            </x14:dxf>
          </x14:cfRule>
          <xm:sqref>J314</xm:sqref>
        </x14:conditionalFormatting>
        <x14:conditionalFormatting xmlns:xm="http://schemas.microsoft.com/office/excel/2006/main">
          <x14:cfRule type="expression" priority="4071" id="{05D23B2B-DC09-477A-8432-608F140D81A6}">
            <xm:f>AND(IF(J315&gt;'F:\Users\norela.briceno\Documents\Plan de acción\Plan Accion 2018\[Plan Accion Integrado ADRES Vigencia 2018 con Cuadro de Mando V6..xlsx]Plan de Accion 2018'!#REF!,J315&lt;&gt;¨N/A¨))</xm:f>
            <x14:dxf>
              <fill>
                <patternFill>
                  <bgColor theme="1" tint="0.499984740745262"/>
                </patternFill>
              </fill>
            </x14:dxf>
          </x14:cfRule>
          <x14:cfRule type="expression" priority="4072" stopIfTrue="1" id="{A76F713E-CD44-451E-825A-CD4A91E3A2ED}">
            <xm:f>AND(IF(J315='F:\Users\norela.briceno\Documents\Plan de acción\Plan Accion 2018\[Plan Accion Integrado ADRES Vigencia 2018 con Cuadro de Mando V6..xlsx]Plan de Accion 2018'!#REF!,J315&lt;&gt;"N/A"))</xm:f>
            <x14:dxf>
              <fill>
                <patternFill>
                  <bgColor rgb="FF00B050"/>
                </patternFill>
              </fill>
            </x14:dxf>
          </x14:cfRule>
          <x14:cfRule type="expression" priority="4073" stopIfTrue="1" id="{7963A524-EAAF-49BD-9250-AF6C59ADA5ED}">
            <xm:f>AND(IF(J315&lt;'F:\Users\norela.briceno\Documents\Plan de acción\Plan Accion 2018\[Plan Accion Integrado ADRES Vigencia 2018 con Cuadro de Mando V6..xlsx]Plan de Accion 2018'!#REF!,J315&lt;&gt;"N/A"))</xm:f>
            <x14:dxf>
              <fill>
                <patternFill>
                  <bgColor indexed="10"/>
                </patternFill>
              </fill>
            </x14:dxf>
          </x14:cfRule>
          <xm:sqref>J315</xm:sqref>
        </x14:conditionalFormatting>
        <x14:conditionalFormatting xmlns:xm="http://schemas.microsoft.com/office/excel/2006/main">
          <x14:cfRule type="expression" priority="4068" id="{BD3C1333-762A-4FB5-B467-F0707A23A1CC}">
            <xm:f>AND(IF(J316&gt;'F:\Users\norela.briceno\Documents\Plan de acción\Plan Accion 2018\[Plan Accion Integrado ADRES Vigencia 2018 con Cuadro de Mando V6..xlsx]Plan de Accion 2018'!#REF!,J316&lt;&gt;¨N/A¨))</xm:f>
            <x14:dxf>
              <fill>
                <patternFill>
                  <bgColor theme="1" tint="0.499984740745262"/>
                </patternFill>
              </fill>
            </x14:dxf>
          </x14:cfRule>
          <x14:cfRule type="expression" priority="4069" stopIfTrue="1" id="{5D7735C0-C61B-4E83-832E-D907D606AF83}">
            <xm:f>AND(IF(J316='F:\Users\norela.briceno\Documents\Plan de acción\Plan Accion 2018\[Plan Accion Integrado ADRES Vigencia 2018 con Cuadro de Mando V6..xlsx]Plan de Accion 2018'!#REF!,J316&lt;&gt;"N/A"))</xm:f>
            <x14:dxf>
              <fill>
                <patternFill>
                  <bgColor rgb="FF00B050"/>
                </patternFill>
              </fill>
            </x14:dxf>
          </x14:cfRule>
          <x14:cfRule type="expression" priority="4070" stopIfTrue="1" id="{9D4F5D25-0039-42EB-9FE7-9A1D764FD254}">
            <xm:f>AND(IF(J316&lt;'F:\Users\norela.briceno\Documents\Plan de acción\Plan Accion 2018\[Plan Accion Integrado ADRES Vigencia 2018 con Cuadro de Mando V6..xlsx]Plan de Accion 2018'!#REF!,J316&lt;&gt;"N/A"))</xm:f>
            <x14:dxf>
              <fill>
                <patternFill>
                  <bgColor indexed="10"/>
                </patternFill>
              </fill>
            </x14:dxf>
          </x14:cfRule>
          <xm:sqref>J316</xm:sqref>
        </x14:conditionalFormatting>
        <x14:conditionalFormatting xmlns:xm="http://schemas.microsoft.com/office/excel/2006/main">
          <x14:cfRule type="expression" priority="4065" id="{91AC499F-1731-4D8D-B1C2-711D8DC6C37D}">
            <xm:f>AND(IF(J317&gt;'F:\Users\norela.briceno\Documents\Plan de acción\Plan Accion 2018\[Plan Accion Integrado ADRES Vigencia 2018 con Cuadro de Mando V6..xlsx]Plan de Accion 2018'!#REF!,J317&lt;&gt;¨N/A¨))</xm:f>
            <x14:dxf>
              <fill>
                <patternFill>
                  <bgColor theme="1" tint="0.499984740745262"/>
                </patternFill>
              </fill>
            </x14:dxf>
          </x14:cfRule>
          <x14:cfRule type="expression" priority="4066" stopIfTrue="1" id="{029DF390-06F2-4BFF-AA66-CDD309F54A5E}">
            <xm:f>AND(IF(J317='F:\Users\norela.briceno\Documents\Plan de acción\Plan Accion 2018\[Plan Accion Integrado ADRES Vigencia 2018 con Cuadro de Mando V6..xlsx]Plan de Accion 2018'!#REF!,J317&lt;&gt;"N/A"))</xm:f>
            <x14:dxf>
              <fill>
                <patternFill>
                  <bgColor rgb="FF00B050"/>
                </patternFill>
              </fill>
            </x14:dxf>
          </x14:cfRule>
          <x14:cfRule type="expression" priority="4067" stopIfTrue="1" id="{B5E3BB51-7FEB-4D8D-B8B2-D4624CAB58A8}">
            <xm:f>AND(IF(J317&lt;'F:\Users\norela.briceno\Documents\Plan de acción\Plan Accion 2018\[Plan Accion Integrado ADRES Vigencia 2018 con Cuadro de Mando V6..xlsx]Plan de Accion 2018'!#REF!,J317&lt;&gt;"N/A"))</xm:f>
            <x14:dxf>
              <fill>
                <patternFill>
                  <bgColor indexed="10"/>
                </patternFill>
              </fill>
            </x14:dxf>
          </x14:cfRule>
          <xm:sqref>J317</xm:sqref>
        </x14:conditionalFormatting>
        <x14:conditionalFormatting xmlns:xm="http://schemas.microsoft.com/office/excel/2006/main">
          <x14:cfRule type="expression" priority="4062" id="{835D7C16-A2BE-4A50-8751-387F59F4A1C8}">
            <xm:f>AND(IF(J318&gt;'F:\Users\norela.briceno\Documents\Plan de acción\Plan Accion 2018\[Plan Accion Integrado ADRES Vigencia 2018 con Cuadro de Mando V6..xlsx]Plan de Accion 2018'!#REF!,J318&lt;&gt;¨N/A¨))</xm:f>
            <x14:dxf>
              <fill>
                <patternFill>
                  <bgColor theme="1" tint="0.499984740745262"/>
                </patternFill>
              </fill>
            </x14:dxf>
          </x14:cfRule>
          <x14:cfRule type="expression" priority="4063" stopIfTrue="1" id="{EB5EBFA7-A8AE-447B-9D36-6661BB22CF0D}">
            <xm:f>AND(IF(J318='F:\Users\norela.briceno\Documents\Plan de acción\Plan Accion 2018\[Plan Accion Integrado ADRES Vigencia 2018 con Cuadro de Mando V6..xlsx]Plan de Accion 2018'!#REF!,J318&lt;&gt;"N/A"))</xm:f>
            <x14:dxf>
              <fill>
                <patternFill>
                  <bgColor rgb="FF00B050"/>
                </patternFill>
              </fill>
            </x14:dxf>
          </x14:cfRule>
          <x14:cfRule type="expression" priority="4064" stopIfTrue="1" id="{34A38C87-F662-4E0D-BEC1-D6A53AA5A197}">
            <xm:f>AND(IF(J318&lt;'F:\Users\norela.briceno\Documents\Plan de acción\Plan Accion 2018\[Plan Accion Integrado ADRES Vigencia 2018 con Cuadro de Mando V6..xlsx]Plan de Accion 2018'!#REF!,J318&lt;&gt;"N/A"))</xm:f>
            <x14:dxf>
              <fill>
                <patternFill>
                  <bgColor indexed="10"/>
                </patternFill>
              </fill>
            </x14:dxf>
          </x14:cfRule>
          <xm:sqref>J318</xm:sqref>
        </x14:conditionalFormatting>
        <x14:conditionalFormatting xmlns:xm="http://schemas.microsoft.com/office/excel/2006/main">
          <x14:cfRule type="expression" priority="4059" id="{2B068296-DE92-47E9-9DD3-B0AB77F67FCD}">
            <xm:f>AND(IF(J319&gt;'F:\Users\norela.briceno\Documents\Plan de acción\Plan Accion 2018\[Plan Accion Integrado ADRES Vigencia 2018 con Cuadro de Mando V6..xlsx]Plan de Accion 2018'!#REF!,J319&lt;&gt;¨N/A¨))</xm:f>
            <x14:dxf>
              <fill>
                <patternFill>
                  <bgColor theme="1" tint="0.499984740745262"/>
                </patternFill>
              </fill>
            </x14:dxf>
          </x14:cfRule>
          <x14:cfRule type="expression" priority="4060" stopIfTrue="1" id="{C0AD942A-A876-40C4-B5F2-3FDFAED1EEF3}">
            <xm:f>AND(IF(J319='F:\Users\norela.briceno\Documents\Plan de acción\Plan Accion 2018\[Plan Accion Integrado ADRES Vigencia 2018 con Cuadro de Mando V6..xlsx]Plan de Accion 2018'!#REF!,J319&lt;&gt;"N/A"))</xm:f>
            <x14:dxf>
              <fill>
                <patternFill>
                  <bgColor rgb="FF00B050"/>
                </patternFill>
              </fill>
            </x14:dxf>
          </x14:cfRule>
          <x14:cfRule type="expression" priority="4061" stopIfTrue="1" id="{B9843978-0D82-4BE5-8999-BE3CDA23FA3A}">
            <xm:f>AND(IF(J319&lt;'F:\Users\norela.briceno\Documents\Plan de acción\Plan Accion 2018\[Plan Accion Integrado ADRES Vigencia 2018 con Cuadro de Mando V6..xlsx]Plan de Accion 2018'!#REF!,J319&lt;&gt;"N/A"))</xm:f>
            <x14:dxf>
              <fill>
                <patternFill>
                  <bgColor indexed="10"/>
                </patternFill>
              </fill>
            </x14:dxf>
          </x14:cfRule>
          <xm:sqref>J319</xm:sqref>
        </x14:conditionalFormatting>
        <x14:conditionalFormatting xmlns:xm="http://schemas.microsoft.com/office/excel/2006/main">
          <x14:cfRule type="expression" priority="4056" id="{D5498D8D-BAF8-4ED4-BAA4-DDE3451A8F8F}">
            <xm:f>AND(IF(J320&gt;'F:\Users\norela.briceno\Documents\Plan de acción\Plan Accion 2018\[Plan Accion Integrado ADRES Vigencia 2018 con Cuadro de Mando V6..xlsx]Plan de Accion 2018'!#REF!,J320&lt;&gt;¨N/A¨))</xm:f>
            <x14:dxf>
              <fill>
                <patternFill>
                  <bgColor theme="1" tint="0.499984740745262"/>
                </patternFill>
              </fill>
            </x14:dxf>
          </x14:cfRule>
          <x14:cfRule type="expression" priority="4057" stopIfTrue="1" id="{60D7B7F9-2741-46E8-A155-129BE7CD6170}">
            <xm:f>AND(IF(J320='F:\Users\norela.briceno\Documents\Plan de acción\Plan Accion 2018\[Plan Accion Integrado ADRES Vigencia 2018 con Cuadro de Mando V6..xlsx]Plan de Accion 2018'!#REF!,J320&lt;&gt;"N/A"))</xm:f>
            <x14:dxf>
              <fill>
                <patternFill>
                  <bgColor rgb="FF00B050"/>
                </patternFill>
              </fill>
            </x14:dxf>
          </x14:cfRule>
          <x14:cfRule type="expression" priority="4058" stopIfTrue="1" id="{411DA264-1159-4BED-B7CC-C48118F1F557}">
            <xm:f>AND(IF(J320&lt;'F:\Users\norela.briceno\Documents\Plan de acción\Plan Accion 2018\[Plan Accion Integrado ADRES Vigencia 2018 con Cuadro de Mando V6..xlsx]Plan de Accion 2018'!#REF!,J320&lt;&gt;"N/A"))</xm:f>
            <x14:dxf>
              <fill>
                <patternFill>
                  <bgColor indexed="10"/>
                </patternFill>
              </fill>
            </x14:dxf>
          </x14:cfRule>
          <xm:sqref>J320</xm:sqref>
        </x14:conditionalFormatting>
        <x14:conditionalFormatting xmlns:xm="http://schemas.microsoft.com/office/excel/2006/main">
          <x14:cfRule type="expression" priority="4053" id="{52AF0F75-A965-4E46-ABA9-2551CCC309AE}">
            <xm:f>AND(IF(J321&gt;'F:\Users\norela.briceno\Documents\Plan de acción\Plan Accion 2018\[Plan Accion Integrado ADRES Vigencia 2018 con Cuadro de Mando V6..xlsx]Plan de Accion 2018'!#REF!,J321&lt;&gt;¨N/A¨))</xm:f>
            <x14:dxf>
              <fill>
                <patternFill>
                  <bgColor theme="1" tint="0.499984740745262"/>
                </patternFill>
              </fill>
            </x14:dxf>
          </x14:cfRule>
          <x14:cfRule type="expression" priority="4054" stopIfTrue="1" id="{7D947319-BB6A-4641-A505-00B78677196D}">
            <xm:f>AND(IF(J321='F:\Users\norela.briceno\Documents\Plan de acción\Plan Accion 2018\[Plan Accion Integrado ADRES Vigencia 2018 con Cuadro de Mando V6..xlsx]Plan de Accion 2018'!#REF!,J321&lt;&gt;"N/A"))</xm:f>
            <x14:dxf>
              <fill>
                <patternFill>
                  <bgColor rgb="FF00B050"/>
                </patternFill>
              </fill>
            </x14:dxf>
          </x14:cfRule>
          <x14:cfRule type="expression" priority="4055" stopIfTrue="1" id="{1B43F01E-DB64-4253-8173-55F7E6B3BB9C}">
            <xm:f>AND(IF(J321&lt;'F:\Users\norela.briceno\Documents\Plan de acción\Plan Accion 2018\[Plan Accion Integrado ADRES Vigencia 2018 con Cuadro de Mando V6..xlsx]Plan de Accion 2018'!#REF!,J321&lt;&gt;"N/A"))</xm:f>
            <x14:dxf>
              <fill>
                <patternFill>
                  <bgColor indexed="10"/>
                </patternFill>
              </fill>
            </x14:dxf>
          </x14:cfRule>
          <xm:sqref>J321</xm:sqref>
        </x14:conditionalFormatting>
        <x14:conditionalFormatting xmlns:xm="http://schemas.microsoft.com/office/excel/2006/main">
          <x14:cfRule type="expression" priority="4050" id="{E07A8C36-D48A-47A6-BD5D-D2B47C1923E5}">
            <xm:f>AND(IF(J322&gt;'F:\Users\norela.briceno\Documents\Plan de acción\Plan Accion 2018\[Plan Accion Integrado ADRES Vigencia 2018 con Cuadro de Mando V6..xlsx]Plan de Accion 2018'!#REF!,J322&lt;&gt;¨N/A¨))</xm:f>
            <x14:dxf>
              <fill>
                <patternFill>
                  <bgColor theme="1" tint="0.499984740745262"/>
                </patternFill>
              </fill>
            </x14:dxf>
          </x14:cfRule>
          <x14:cfRule type="expression" priority="4051" stopIfTrue="1" id="{09367B4D-8C4F-4A49-9EF1-A275623B40BA}">
            <xm:f>AND(IF(J322='F:\Users\norela.briceno\Documents\Plan de acción\Plan Accion 2018\[Plan Accion Integrado ADRES Vigencia 2018 con Cuadro de Mando V6..xlsx]Plan de Accion 2018'!#REF!,J322&lt;&gt;"N/A"))</xm:f>
            <x14:dxf>
              <fill>
                <patternFill>
                  <bgColor rgb="FF00B050"/>
                </patternFill>
              </fill>
            </x14:dxf>
          </x14:cfRule>
          <x14:cfRule type="expression" priority="4052" stopIfTrue="1" id="{4D8230C8-FB7A-42A8-93FC-BB85EDC3356A}">
            <xm:f>AND(IF(J322&lt;'F:\Users\norela.briceno\Documents\Plan de acción\Plan Accion 2018\[Plan Accion Integrado ADRES Vigencia 2018 con Cuadro de Mando V6..xlsx]Plan de Accion 2018'!#REF!,J322&lt;&gt;"N/A"))</xm:f>
            <x14:dxf>
              <fill>
                <patternFill>
                  <bgColor indexed="10"/>
                </patternFill>
              </fill>
            </x14:dxf>
          </x14:cfRule>
          <xm:sqref>J322</xm:sqref>
        </x14:conditionalFormatting>
        <x14:conditionalFormatting xmlns:xm="http://schemas.microsoft.com/office/excel/2006/main">
          <x14:cfRule type="expression" priority="4047" id="{2C532752-24E0-4268-A894-ECAA56CD73E7}">
            <xm:f>AND(IF(J323&gt;'F:\Users\norela.briceno\Documents\Plan de acción\Plan Accion 2018\[Plan Accion Integrado ADRES Vigencia 2018 con Cuadro de Mando V6..xlsx]Plan de Accion 2018'!#REF!,J323&lt;&gt;¨N/A¨))</xm:f>
            <x14:dxf>
              <fill>
                <patternFill>
                  <bgColor theme="1" tint="0.499984740745262"/>
                </patternFill>
              </fill>
            </x14:dxf>
          </x14:cfRule>
          <x14:cfRule type="expression" priority="4048" stopIfTrue="1" id="{148AB6FB-0040-468F-BF00-A56C1773F932}">
            <xm:f>AND(IF(J323='F:\Users\norela.briceno\Documents\Plan de acción\Plan Accion 2018\[Plan Accion Integrado ADRES Vigencia 2018 con Cuadro de Mando V6..xlsx]Plan de Accion 2018'!#REF!,J323&lt;&gt;"N/A"))</xm:f>
            <x14:dxf>
              <fill>
                <patternFill>
                  <bgColor rgb="FF00B050"/>
                </patternFill>
              </fill>
            </x14:dxf>
          </x14:cfRule>
          <x14:cfRule type="expression" priority="4049" stopIfTrue="1" id="{9EBBA7C4-EA84-4846-B4F3-0FEF25FB2E50}">
            <xm:f>AND(IF(J323&lt;'F:\Users\norela.briceno\Documents\Plan de acción\Plan Accion 2018\[Plan Accion Integrado ADRES Vigencia 2018 con Cuadro de Mando V6..xlsx]Plan de Accion 2018'!#REF!,J323&lt;&gt;"N/A"))</xm:f>
            <x14:dxf>
              <fill>
                <patternFill>
                  <bgColor indexed="10"/>
                </patternFill>
              </fill>
            </x14:dxf>
          </x14:cfRule>
          <xm:sqref>J323</xm:sqref>
        </x14:conditionalFormatting>
        <x14:conditionalFormatting xmlns:xm="http://schemas.microsoft.com/office/excel/2006/main">
          <x14:cfRule type="expression" priority="4044" id="{F9B986C6-546E-41EE-A190-A5BB747917E4}">
            <xm:f>AND(IF(J324&gt;'F:\Users\norela.briceno\Documents\Plan de acción\Plan Accion 2018\[Plan Accion Integrado ADRES Vigencia 2018 con Cuadro de Mando V6..xlsx]Plan de Accion 2018'!#REF!,J324&lt;&gt;¨N/A¨))</xm:f>
            <x14:dxf>
              <fill>
                <patternFill>
                  <bgColor theme="1" tint="0.499984740745262"/>
                </patternFill>
              </fill>
            </x14:dxf>
          </x14:cfRule>
          <x14:cfRule type="expression" priority="4045" stopIfTrue="1" id="{783AC2C5-6973-4A76-8002-48F79840C334}">
            <xm:f>AND(IF(J324='F:\Users\norela.briceno\Documents\Plan de acción\Plan Accion 2018\[Plan Accion Integrado ADRES Vigencia 2018 con Cuadro de Mando V6..xlsx]Plan de Accion 2018'!#REF!,J324&lt;&gt;"N/A"))</xm:f>
            <x14:dxf>
              <fill>
                <patternFill>
                  <bgColor rgb="FF00B050"/>
                </patternFill>
              </fill>
            </x14:dxf>
          </x14:cfRule>
          <x14:cfRule type="expression" priority="4046" stopIfTrue="1" id="{B7E43FC9-C176-4CEC-B4EC-508E80E56515}">
            <xm:f>AND(IF(J324&lt;'F:\Users\norela.briceno\Documents\Plan de acción\Plan Accion 2018\[Plan Accion Integrado ADRES Vigencia 2018 con Cuadro de Mando V6..xlsx]Plan de Accion 2018'!#REF!,J324&lt;&gt;"N/A"))</xm:f>
            <x14:dxf>
              <fill>
                <patternFill>
                  <bgColor indexed="10"/>
                </patternFill>
              </fill>
            </x14:dxf>
          </x14:cfRule>
          <xm:sqref>J324</xm:sqref>
        </x14:conditionalFormatting>
        <x14:conditionalFormatting xmlns:xm="http://schemas.microsoft.com/office/excel/2006/main">
          <x14:cfRule type="expression" priority="4041" id="{84D24A24-3E25-45EA-9FBD-A193BBEB3662}">
            <xm:f>AND(IF(J325&gt;'F:\Users\norela.briceno\Documents\Plan de acción\Plan Accion 2018\[Plan Accion Integrado ADRES Vigencia 2018 con Cuadro de Mando V6..xlsx]Plan de Accion 2018'!#REF!,J325&lt;&gt;¨N/A¨))</xm:f>
            <x14:dxf>
              <fill>
                <patternFill>
                  <bgColor theme="1" tint="0.499984740745262"/>
                </patternFill>
              </fill>
            </x14:dxf>
          </x14:cfRule>
          <x14:cfRule type="expression" priority="4042" stopIfTrue="1" id="{3FD227E2-7FFB-4844-A55A-CA38B539459E}">
            <xm:f>AND(IF(J325='F:\Users\norela.briceno\Documents\Plan de acción\Plan Accion 2018\[Plan Accion Integrado ADRES Vigencia 2018 con Cuadro de Mando V6..xlsx]Plan de Accion 2018'!#REF!,J325&lt;&gt;"N/A"))</xm:f>
            <x14:dxf>
              <fill>
                <patternFill>
                  <bgColor rgb="FF00B050"/>
                </patternFill>
              </fill>
            </x14:dxf>
          </x14:cfRule>
          <x14:cfRule type="expression" priority="4043" stopIfTrue="1" id="{F4CB9B13-B783-4FEE-8A18-AF7AE1F8392C}">
            <xm:f>AND(IF(J325&lt;'F:\Users\norela.briceno\Documents\Plan de acción\Plan Accion 2018\[Plan Accion Integrado ADRES Vigencia 2018 con Cuadro de Mando V6..xlsx]Plan de Accion 2018'!#REF!,J325&lt;&gt;"N/A"))</xm:f>
            <x14:dxf>
              <fill>
                <patternFill>
                  <bgColor indexed="10"/>
                </patternFill>
              </fill>
            </x14:dxf>
          </x14:cfRule>
          <xm:sqref>J325</xm:sqref>
        </x14:conditionalFormatting>
        <x14:conditionalFormatting xmlns:xm="http://schemas.microsoft.com/office/excel/2006/main">
          <x14:cfRule type="expression" priority="4038" id="{3F9BD801-FD86-4B7B-9878-5564787D8470}">
            <xm:f>AND(IF(J326&gt;'F:\Users\norela.briceno\Documents\Plan de acción\Plan Accion 2018\[Plan Accion Integrado ADRES Vigencia 2018 con Cuadro de Mando V6..xlsx]Plan de Accion 2018'!#REF!,J326&lt;&gt;¨N/A¨))</xm:f>
            <x14:dxf>
              <fill>
                <patternFill>
                  <bgColor theme="1" tint="0.499984740745262"/>
                </patternFill>
              </fill>
            </x14:dxf>
          </x14:cfRule>
          <x14:cfRule type="expression" priority="4039" stopIfTrue="1" id="{600984A0-56FE-470C-8D39-7504E130801C}">
            <xm:f>AND(IF(J326='F:\Users\norela.briceno\Documents\Plan de acción\Plan Accion 2018\[Plan Accion Integrado ADRES Vigencia 2018 con Cuadro de Mando V6..xlsx]Plan de Accion 2018'!#REF!,J326&lt;&gt;"N/A"))</xm:f>
            <x14:dxf>
              <fill>
                <patternFill>
                  <bgColor rgb="FF00B050"/>
                </patternFill>
              </fill>
            </x14:dxf>
          </x14:cfRule>
          <x14:cfRule type="expression" priority="4040" stopIfTrue="1" id="{5955F03B-C8C1-4332-9B82-E87DEA44BEBC}">
            <xm:f>AND(IF(J326&lt;'F:\Users\norela.briceno\Documents\Plan de acción\Plan Accion 2018\[Plan Accion Integrado ADRES Vigencia 2018 con Cuadro de Mando V6..xlsx]Plan de Accion 2018'!#REF!,J326&lt;&gt;"N/A"))</xm:f>
            <x14:dxf>
              <fill>
                <patternFill>
                  <bgColor indexed="10"/>
                </patternFill>
              </fill>
            </x14:dxf>
          </x14:cfRule>
          <xm:sqref>J326</xm:sqref>
        </x14:conditionalFormatting>
        <x14:conditionalFormatting xmlns:xm="http://schemas.microsoft.com/office/excel/2006/main">
          <x14:cfRule type="expression" priority="4035" id="{8102EBC3-7B26-4A9A-8226-57B3B8AB5733}">
            <xm:f>AND(IF(J327&gt;'F:\Users\norela.briceno\Documents\Plan de acción\Plan Accion 2018\[Plan Accion Integrado ADRES Vigencia 2018 con Cuadro de Mando V6..xlsx]Plan de Accion 2018'!#REF!,J327&lt;&gt;¨N/A¨))</xm:f>
            <x14:dxf>
              <fill>
                <patternFill>
                  <bgColor theme="1" tint="0.499984740745262"/>
                </patternFill>
              </fill>
            </x14:dxf>
          </x14:cfRule>
          <x14:cfRule type="expression" priority="4036" stopIfTrue="1" id="{C071326F-C3F6-4E30-9561-478892AFFB0D}">
            <xm:f>AND(IF(J327='F:\Users\norela.briceno\Documents\Plan de acción\Plan Accion 2018\[Plan Accion Integrado ADRES Vigencia 2018 con Cuadro de Mando V6..xlsx]Plan de Accion 2018'!#REF!,J327&lt;&gt;"N/A"))</xm:f>
            <x14:dxf>
              <fill>
                <patternFill>
                  <bgColor rgb="FF00B050"/>
                </patternFill>
              </fill>
            </x14:dxf>
          </x14:cfRule>
          <x14:cfRule type="expression" priority="4037" stopIfTrue="1" id="{B5B4DDCC-8A3F-4368-89A9-A824AA068A38}">
            <xm:f>AND(IF(J327&lt;'F:\Users\norela.briceno\Documents\Plan de acción\Plan Accion 2018\[Plan Accion Integrado ADRES Vigencia 2018 con Cuadro de Mando V6..xlsx]Plan de Accion 2018'!#REF!,J327&lt;&gt;"N/A"))</xm:f>
            <x14:dxf>
              <fill>
                <patternFill>
                  <bgColor indexed="10"/>
                </patternFill>
              </fill>
            </x14:dxf>
          </x14:cfRule>
          <xm:sqref>J327</xm:sqref>
        </x14:conditionalFormatting>
        <x14:conditionalFormatting xmlns:xm="http://schemas.microsoft.com/office/excel/2006/main">
          <x14:cfRule type="expression" priority="4032" id="{4C935D4F-8AF6-4384-9F7D-E42FC1F15BCF}">
            <xm:f>AND(IF(J328&gt;'F:\Users\norela.briceno\Documents\Plan de acción\Plan Accion 2018\[Plan Accion Integrado ADRES Vigencia 2018 con Cuadro de Mando V6..xlsx]Plan de Accion 2018'!#REF!,J328&lt;&gt;¨N/A¨))</xm:f>
            <x14:dxf>
              <fill>
                <patternFill>
                  <bgColor theme="1" tint="0.499984740745262"/>
                </patternFill>
              </fill>
            </x14:dxf>
          </x14:cfRule>
          <x14:cfRule type="expression" priority="4033" stopIfTrue="1" id="{794EC82E-132B-4067-AACB-0A9A93D62BBF}">
            <xm:f>AND(IF(J328='F:\Users\norela.briceno\Documents\Plan de acción\Plan Accion 2018\[Plan Accion Integrado ADRES Vigencia 2018 con Cuadro de Mando V6..xlsx]Plan de Accion 2018'!#REF!,J328&lt;&gt;"N/A"))</xm:f>
            <x14:dxf>
              <fill>
                <patternFill>
                  <bgColor rgb="FF00B050"/>
                </patternFill>
              </fill>
            </x14:dxf>
          </x14:cfRule>
          <x14:cfRule type="expression" priority="4034" stopIfTrue="1" id="{FBF5B9B6-935E-4B66-9F84-63BD77DE5872}">
            <xm:f>AND(IF(J328&lt;'F:\Users\norela.briceno\Documents\Plan de acción\Plan Accion 2018\[Plan Accion Integrado ADRES Vigencia 2018 con Cuadro de Mando V6..xlsx]Plan de Accion 2018'!#REF!,J328&lt;&gt;"N/A"))</xm:f>
            <x14:dxf>
              <fill>
                <patternFill>
                  <bgColor indexed="10"/>
                </patternFill>
              </fill>
            </x14:dxf>
          </x14:cfRule>
          <xm:sqref>J328</xm:sqref>
        </x14:conditionalFormatting>
        <x14:conditionalFormatting xmlns:xm="http://schemas.microsoft.com/office/excel/2006/main">
          <x14:cfRule type="expression" priority="4029" id="{B0809F8E-F8C0-4F14-83DB-4F67CB83428B}">
            <xm:f>AND(IF(J329&gt;'F:\Users\norela.briceno\Documents\Plan de acción\Plan Accion 2018\[Plan Accion Integrado ADRES Vigencia 2018 con Cuadro de Mando V6..xlsx]Plan de Accion 2018'!#REF!,J329&lt;&gt;¨N/A¨))</xm:f>
            <x14:dxf>
              <fill>
                <patternFill>
                  <bgColor theme="1" tint="0.499984740745262"/>
                </patternFill>
              </fill>
            </x14:dxf>
          </x14:cfRule>
          <x14:cfRule type="expression" priority="4030" stopIfTrue="1" id="{5E5C86B0-B1B6-41B8-B190-A8E580AA1E51}">
            <xm:f>AND(IF(J329='F:\Users\norela.briceno\Documents\Plan de acción\Plan Accion 2018\[Plan Accion Integrado ADRES Vigencia 2018 con Cuadro de Mando V6..xlsx]Plan de Accion 2018'!#REF!,J329&lt;&gt;"N/A"))</xm:f>
            <x14:dxf>
              <fill>
                <patternFill>
                  <bgColor rgb="FF00B050"/>
                </patternFill>
              </fill>
            </x14:dxf>
          </x14:cfRule>
          <x14:cfRule type="expression" priority="4031" stopIfTrue="1" id="{95DAC3D7-5C75-4B65-AD84-8403DFD12059}">
            <xm:f>AND(IF(J329&lt;'F:\Users\norela.briceno\Documents\Plan de acción\Plan Accion 2018\[Plan Accion Integrado ADRES Vigencia 2018 con Cuadro de Mando V6..xlsx]Plan de Accion 2018'!#REF!,J329&lt;&gt;"N/A"))</xm:f>
            <x14:dxf>
              <fill>
                <patternFill>
                  <bgColor indexed="10"/>
                </patternFill>
              </fill>
            </x14:dxf>
          </x14:cfRule>
          <xm:sqref>J329</xm:sqref>
        </x14:conditionalFormatting>
        <x14:conditionalFormatting xmlns:xm="http://schemas.microsoft.com/office/excel/2006/main">
          <x14:cfRule type="expression" priority="4026" id="{FA715FE4-D9E5-45D5-8DE5-8073907F6C49}">
            <xm:f>AND(IF(J330&gt;'F:\Users\norela.briceno\Documents\Plan de acción\Plan Accion 2018\[Plan Accion Integrado ADRES Vigencia 2018 con Cuadro de Mando V6..xlsx]Plan de Accion 2018'!#REF!,J330&lt;&gt;¨N/A¨))</xm:f>
            <x14:dxf>
              <fill>
                <patternFill>
                  <bgColor theme="1" tint="0.499984740745262"/>
                </patternFill>
              </fill>
            </x14:dxf>
          </x14:cfRule>
          <x14:cfRule type="expression" priority="4027" stopIfTrue="1" id="{452A5839-45A6-4436-B4C6-2281286430CC}">
            <xm:f>AND(IF(J330='F:\Users\norela.briceno\Documents\Plan de acción\Plan Accion 2018\[Plan Accion Integrado ADRES Vigencia 2018 con Cuadro de Mando V6..xlsx]Plan de Accion 2018'!#REF!,J330&lt;&gt;"N/A"))</xm:f>
            <x14:dxf>
              <fill>
                <patternFill>
                  <bgColor rgb="FF00B050"/>
                </patternFill>
              </fill>
            </x14:dxf>
          </x14:cfRule>
          <x14:cfRule type="expression" priority="4028" stopIfTrue="1" id="{0B31FD9E-AC7C-46F9-B881-0202A8CD9A78}">
            <xm:f>AND(IF(J330&lt;'F:\Users\norela.briceno\Documents\Plan de acción\Plan Accion 2018\[Plan Accion Integrado ADRES Vigencia 2018 con Cuadro de Mando V6..xlsx]Plan de Accion 2018'!#REF!,J330&lt;&gt;"N/A"))</xm:f>
            <x14:dxf>
              <fill>
                <patternFill>
                  <bgColor indexed="10"/>
                </patternFill>
              </fill>
            </x14:dxf>
          </x14:cfRule>
          <xm:sqref>J330</xm:sqref>
        </x14:conditionalFormatting>
        <x14:conditionalFormatting xmlns:xm="http://schemas.microsoft.com/office/excel/2006/main">
          <x14:cfRule type="expression" priority="4023" id="{BA58DB98-BAEA-43C9-B8AE-75F43F650BB7}">
            <xm:f>AND(IF(J331&gt;'F:\Users\norela.briceno\Documents\Plan de acción\Plan Accion 2018\[Plan Accion Integrado ADRES Vigencia 2018 con Cuadro de Mando V6..xlsx]Plan de Accion 2018'!#REF!,J331&lt;&gt;¨N/A¨))</xm:f>
            <x14:dxf>
              <fill>
                <patternFill>
                  <bgColor theme="1" tint="0.499984740745262"/>
                </patternFill>
              </fill>
            </x14:dxf>
          </x14:cfRule>
          <x14:cfRule type="expression" priority="4024" stopIfTrue="1" id="{731B4D3B-01BF-45DF-A40B-D1BC01AFEFED}">
            <xm:f>AND(IF(J331='F:\Users\norela.briceno\Documents\Plan de acción\Plan Accion 2018\[Plan Accion Integrado ADRES Vigencia 2018 con Cuadro de Mando V6..xlsx]Plan de Accion 2018'!#REF!,J331&lt;&gt;"N/A"))</xm:f>
            <x14:dxf>
              <fill>
                <patternFill>
                  <bgColor rgb="FF00B050"/>
                </patternFill>
              </fill>
            </x14:dxf>
          </x14:cfRule>
          <x14:cfRule type="expression" priority="4025" stopIfTrue="1" id="{DD25BE0F-208F-4485-B987-82EAB9CD63AF}">
            <xm:f>AND(IF(J331&lt;'F:\Users\norela.briceno\Documents\Plan de acción\Plan Accion 2018\[Plan Accion Integrado ADRES Vigencia 2018 con Cuadro de Mando V6..xlsx]Plan de Accion 2018'!#REF!,J331&lt;&gt;"N/A"))</xm:f>
            <x14:dxf>
              <fill>
                <patternFill>
                  <bgColor indexed="10"/>
                </patternFill>
              </fill>
            </x14:dxf>
          </x14:cfRule>
          <xm:sqref>J331</xm:sqref>
        </x14:conditionalFormatting>
        <x14:conditionalFormatting xmlns:xm="http://schemas.microsoft.com/office/excel/2006/main">
          <x14:cfRule type="expression" priority="4020" id="{C9CAA439-9614-4AC7-AC8F-8C8E49623E42}">
            <xm:f>AND(IF(J332&gt;'F:\Users\norela.briceno\Documents\Plan de acción\Plan Accion 2018\[Plan Accion Integrado ADRES Vigencia 2018 con Cuadro de Mando V6..xlsx]Plan de Accion 2018'!#REF!,J332&lt;&gt;¨N/A¨))</xm:f>
            <x14:dxf>
              <fill>
                <patternFill>
                  <bgColor theme="1" tint="0.499984740745262"/>
                </patternFill>
              </fill>
            </x14:dxf>
          </x14:cfRule>
          <x14:cfRule type="expression" priority="4021" stopIfTrue="1" id="{A875145B-DFD2-40DE-A462-C3CF7811531D}">
            <xm:f>AND(IF(J332='F:\Users\norela.briceno\Documents\Plan de acción\Plan Accion 2018\[Plan Accion Integrado ADRES Vigencia 2018 con Cuadro de Mando V6..xlsx]Plan de Accion 2018'!#REF!,J332&lt;&gt;"N/A"))</xm:f>
            <x14:dxf>
              <fill>
                <patternFill>
                  <bgColor rgb="FF00B050"/>
                </patternFill>
              </fill>
            </x14:dxf>
          </x14:cfRule>
          <x14:cfRule type="expression" priority="4022" stopIfTrue="1" id="{879EC521-E38B-4028-B2D9-EECDE855915E}">
            <xm:f>AND(IF(J332&lt;'F:\Users\norela.briceno\Documents\Plan de acción\Plan Accion 2018\[Plan Accion Integrado ADRES Vigencia 2018 con Cuadro de Mando V6..xlsx]Plan de Accion 2018'!#REF!,J332&lt;&gt;"N/A"))</xm:f>
            <x14:dxf>
              <fill>
                <patternFill>
                  <bgColor indexed="10"/>
                </patternFill>
              </fill>
            </x14:dxf>
          </x14:cfRule>
          <xm:sqref>J332</xm:sqref>
        </x14:conditionalFormatting>
        <x14:conditionalFormatting xmlns:xm="http://schemas.microsoft.com/office/excel/2006/main">
          <x14:cfRule type="expression" priority="4017" id="{BACC99F1-0BD9-4EFC-BE87-58F94BB667AE}">
            <xm:f>AND(IF(J333&gt;'F:\Users\norela.briceno\Documents\Plan de acción\Plan Accion 2018\[Plan Accion Integrado ADRES Vigencia 2018 con Cuadro de Mando V6..xlsx]Plan de Accion 2018'!#REF!,J333&lt;&gt;¨N/A¨))</xm:f>
            <x14:dxf>
              <fill>
                <patternFill>
                  <bgColor theme="1" tint="0.499984740745262"/>
                </patternFill>
              </fill>
            </x14:dxf>
          </x14:cfRule>
          <x14:cfRule type="expression" priority="4018" stopIfTrue="1" id="{EE8592AC-B49E-4176-85D0-6EC2885EAAF5}">
            <xm:f>AND(IF(J333='F:\Users\norela.briceno\Documents\Plan de acción\Plan Accion 2018\[Plan Accion Integrado ADRES Vigencia 2018 con Cuadro de Mando V6..xlsx]Plan de Accion 2018'!#REF!,J333&lt;&gt;"N/A"))</xm:f>
            <x14:dxf>
              <fill>
                <patternFill>
                  <bgColor rgb="FF00B050"/>
                </patternFill>
              </fill>
            </x14:dxf>
          </x14:cfRule>
          <x14:cfRule type="expression" priority="4019" stopIfTrue="1" id="{B2D866F1-9963-402E-BA59-B1D413FA0E7B}">
            <xm:f>AND(IF(J333&lt;'F:\Users\norela.briceno\Documents\Plan de acción\Plan Accion 2018\[Plan Accion Integrado ADRES Vigencia 2018 con Cuadro de Mando V6..xlsx]Plan de Accion 2018'!#REF!,J333&lt;&gt;"N/A"))</xm:f>
            <x14:dxf>
              <fill>
                <patternFill>
                  <bgColor indexed="10"/>
                </patternFill>
              </fill>
            </x14:dxf>
          </x14:cfRule>
          <xm:sqref>J333</xm:sqref>
        </x14:conditionalFormatting>
        <x14:conditionalFormatting xmlns:xm="http://schemas.microsoft.com/office/excel/2006/main">
          <x14:cfRule type="expression" priority="4014" id="{419D2B31-3775-41DE-8E0A-E36B3E6A6BDA}">
            <xm:f>AND(IF(J334&gt;'F:\Users\norela.briceno\Documents\Plan de acción\Plan Accion 2018\[Plan Accion Integrado ADRES Vigencia 2018 con Cuadro de Mando V6..xlsx]Plan de Accion 2018'!#REF!,J334&lt;&gt;¨N/A¨))</xm:f>
            <x14:dxf>
              <fill>
                <patternFill>
                  <bgColor theme="1" tint="0.499984740745262"/>
                </patternFill>
              </fill>
            </x14:dxf>
          </x14:cfRule>
          <x14:cfRule type="expression" priority="4015" stopIfTrue="1" id="{5A101F35-E969-4406-B660-8864EECECB3B}">
            <xm:f>AND(IF(J334='F:\Users\norela.briceno\Documents\Plan de acción\Plan Accion 2018\[Plan Accion Integrado ADRES Vigencia 2018 con Cuadro de Mando V6..xlsx]Plan de Accion 2018'!#REF!,J334&lt;&gt;"N/A"))</xm:f>
            <x14:dxf>
              <fill>
                <patternFill>
                  <bgColor rgb="FF00B050"/>
                </patternFill>
              </fill>
            </x14:dxf>
          </x14:cfRule>
          <x14:cfRule type="expression" priority="4016" stopIfTrue="1" id="{368529CD-CB94-4C61-860E-066365634661}">
            <xm:f>AND(IF(J334&lt;'F:\Users\norela.briceno\Documents\Plan de acción\Plan Accion 2018\[Plan Accion Integrado ADRES Vigencia 2018 con Cuadro de Mando V6..xlsx]Plan de Accion 2018'!#REF!,J334&lt;&gt;"N/A"))</xm:f>
            <x14:dxf>
              <fill>
                <patternFill>
                  <bgColor indexed="10"/>
                </patternFill>
              </fill>
            </x14:dxf>
          </x14:cfRule>
          <xm:sqref>J334</xm:sqref>
        </x14:conditionalFormatting>
        <x14:conditionalFormatting xmlns:xm="http://schemas.microsoft.com/office/excel/2006/main">
          <x14:cfRule type="expression" priority="4011" id="{C85AF9B7-AD51-4411-BE09-3977CFFC7DAD}">
            <xm:f>AND(IF(J335&gt;'F:\Users\norela.briceno\Documents\Plan de acción\Plan Accion 2018\[Plan Accion Integrado ADRES Vigencia 2018 con Cuadro de Mando V6..xlsx]Plan de Accion 2018'!#REF!,J335&lt;&gt;¨N/A¨))</xm:f>
            <x14:dxf>
              <fill>
                <patternFill>
                  <bgColor theme="1" tint="0.499984740745262"/>
                </patternFill>
              </fill>
            </x14:dxf>
          </x14:cfRule>
          <x14:cfRule type="expression" priority="4012" stopIfTrue="1" id="{FB87EA08-2114-4B88-936B-0A4BEB570CAD}">
            <xm:f>AND(IF(J335='F:\Users\norela.briceno\Documents\Plan de acción\Plan Accion 2018\[Plan Accion Integrado ADRES Vigencia 2018 con Cuadro de Mando V6..xlsx]Plan de Accion 2018'!#REF!,J335&lt;&gt;"N/A"))</xm:f>
            <x14:dxf>
              <fill>
                <patternFill>
                  <bgColor rgb="FF00B050"/>
                </patternFill>
              </fill>
            </x14:dxf>
          </x14:cfRule>
          <x14:cfRule type="expression" priority="4013" stopIfTrue="1" id="{4E90C988-3062-499C-AF0E-55C13BBFE760}">
            <xm:f>AND(IF(J335&lt;'F:\Users\norela.briceno\Documents\Plan de acción\Plan Accion 2018\[Plan Accion Integrado ADRES Vigencia 2018 con Cuadro de Mando V6..xlsx]Plan de Accion 2018'!#REF!,J335&lt;&gt;"N/A"))</xm:f>
            <x14:dxf>
              <fill>
                <patternFill>
                  <bgColor indexed="10"/>
                </patternFill>
              </fill>
            </x14:dxf>
          </x14:cfRule>
          <xm:sqref>J335</xm:sqref>
        </x14:conditionalFormatting>
        <x14:conditionalFormatting xmlns:xm="http://schemas.microsoft.com/office/excel/2006/main">
          <x14:cfRule type="expression" priority="4008" id="{C218752D-9165-4C58-8066-7C8AA7FE8CB1}">
            <xm:f>AND(IF(J336&gt;'F:\Users\norela.briceno\Documents\Plan de acción\Plan Accion 2018\[Plan Accion Integrado ADRES Vigencia 2018 con Cuadro de Mando V6..xlsx]Plan de Accion 2018'!#REF!,J336&lt;&gt;¨N/A¨))</xm:f>
            <x14:dxf>
              <fill>
                <patternFill>
                  <bgColor theme="1" tint="0.499984740745262"/>
                </patternFill>
              </fill>
            </x14:dxf>
          </x14:cfRule>
          <x14:cfRule type="expression" priority="4009" stopIfTrue="1" id="{282BF6BB-48E3-478D-90A7-FA5C2CBC883A}">
            <xm:f>AND(IF(J336='F:\Users\norela.briceno\Documents\Plan de acción\Plan Accion 2018\[Plan Accion Integrado ADRES Vigencia 2018 con Cuadro de Mando V6..xlsx]Plan de Accion 2018'!#REF!,J336&lt;&gt;"N/A"))</xm:f>
            <x14:dxf>
              <fill>
                <patternFill>
                  <bgColor rgb="FF00B050"/>
                </patternFill>
              </fill>
            </x14:dxf>
          </x14:cfRule>
          <x14:cfRule type="expression" priority="4010" stopIfTrue="1" id="{D0100765-2070-4907-8517-A08798455B99}">
            <xm:f>AND(IF(J336&lt;'F:\Users\norela.briceno\Documents\Plan de acción\Plan Accion 2018\[Plan Accion Integrado ADRES Vigencia 2018 con Cuadro de Mando V6..xlsx]Plan de Accion 2018'!#REF!,J336&lt;&gt;"N/A"))</xm:f>
            <x14:dxf>
              <fill>
                <patternFill>
                  <bgColor indexed="10"/>
                </patternFill>
              </fill>
            </x14:dxf>
          </x14:cfRule>
          <xm:sqref>J336</xm:sqref>
        </x14:conditionalFormatting>
        <x14:conditionalFormatting xmlns:xm="http://schemas.microsoft.com/office/excel/2006/main">
          <x14:cfRule type="expression" priority="4005" id="{D3733EE2-D918-48F8-86E9-CA97038B08BA}">
            <xm:f>AND(IF(J337&gt;'F:\Users\norela.briceno\Documents\Plan de acción\Plan Accion 2018\[Plan Accion Integrado ADRES Vigencia 2018 con Cuadro de Mando V6..xlsx]Plan de Accion 2018'!#REF!,J337&lt;&gt;¨N/A¨))</xm:f>
            <x14:dxf>
              <fill>
                <patternFill>
                  <bgColor theme="1" tint="0.499984740745262"/>
                </patternFill>
              </fill>
            </x14:dxf>
          </x14:cfRule>
          <x14:cfRule type="expression" priority="4006" stopIfTrue="1" id="{4EC11AFF-2C55-4AF4-9A28-3E18447E6447}">
            <xm:f>AND(IF(J337='F:\Users\norela.briceno\Documents\Plan de acción\Plan Accion 2018\[Plan Accion Integrado ADRES Vigencia 2018 con Cuadro de Mando V6..xlsx]Plan de Accion 2018'!#REF!,J337&lt;&gt;"N/A"))</xm:f>
            <x14:dxf>
              <fill>
                <patternFill>
                  <bgColor rgb="FF00B050"/>
                </patternFill>
              </fill>
            </x14:dxf>
          </x14:cfRule>
          <x14:cfRule type="expression" priority="4007" stopIfTrue="1" id="{8AFF68B0-5B33-4F7C-A2C9-D7068DF54141}">
            <xm:f>AND(IF(J337&lt;'F:\Users\norela.briceno\Documents\Plan de acción\Plan Accion 2018\[Plan Accion Integrado ADRES Vigencia 2018 con Cuadro de Mando V6..xlsx]Plan de Accion 2018'!#REF!,J337&lt;&gt;"N/A"))</xm:f>
            <x14:dxf>
              <fill>
                <patternFill>
                  <bgColor indexed="10"/>
                </patternFill>
              </fill>
            </x14:dxf>
          </x14:cfRule>
          <xm:sqref>J337 J339</xm:sqref>
        </x14:conditionalFormatting>
        <x14:conditionalFormatting xmlns:xm="http://schemas.microsoft.com/office/excel/2006/main">
          <x14:cfRule type="expression" priority="4002" id="{50875E89-6087-46CD-B6F4-1C614A5BE7CA}">
            <xm:f>AND(IF(J340&gt;'F:\Users\norela.briceno\Documents\Plan de acción\Plan Accion 2018\[Plan Accion Integrado ADRES Vigencia 2018 con Cuadro de Mando V6..xlsx]Plan de Accion 2018'!#REF!,J340&lt;&gt;¨N/A¨))</xm:f>
            <x14:dxf>
              <fill>
                <patternFill>
                  <bgColor theme="1" tint="0.499984740745262"/>
                </patternFill>
              </fill>
            </x14:dxf>
          </x14:cfRule>
          <x14:cfRule type="expression" priority="4003" stopIfTrue="1" id="{8F34E03F-ED4A-4E9E-890B-2F4B3B24735B}">
            <xm:f>AND(IF(J340='F:\Users\norela.briceno\Documents\Plan de acción\Plan Accion 2018\[Plan Accion Integrado ADRES Vigencia 2018 con Cuadro de Mando V6..xlsx]Plan de Accion 2018'!#REF!,J340&lt;&gt;"N/A"))</xm:f>
            <x14:dxf>
              <fill>
                <patternFill>
                  <bgColor rgb="FF00B050"/>
                </patternFill>
              </fill>
            </x14:dxf>
          </x14:cfRule>
          <x14:cfRule type="expression" priority="4004" stopIfTrue="1" id="{3B536A2C-0798-4305-AE92-C5255A9B3642}">
            <xm:f>AND(IF(J340&lt;'F:\Users\norela.briceno\Documents\Plan de acción\Plan Accion 2018\[Plan Accion Integrado ADRES Vigencia 2018 con Cuadro de Mando V6..xlsx]Plan de Accion 2018'!#REF!,J340&lt;&gt;"N/A"))</xm:f>
            <x14:dxf>
              <fill>
                <patternFill>
                  <bgColor indexed="10"/>
                </patternFill>
              </fill>
            </x14:dxf>
          </x14:cfRule>
          <xm:sqref>J340</xm:sqref>
        </x14:conditionalFormatting>
        <x14:conditionalFormatting xmlns:xm="http://schemas.microsoft.com/office/excel/2006/main">
          <x14:cfRule type="expression" priority="3999" id="{582BAD77-ACAA-4DBB-B8EB-A29F2D58686C}">
            <xm:f>AND(IF(J341&gt;'F:\Users\norela.briceno\Documents\Plan de acción\Plan Accion 2018\[Plan Accion Integrado ADRES Vigencia 2018 con Cuadro de Mando V6..xlsx]Plan de Accion 2018'!#REF!,J341&lt;&gt;¨N/A¨))</xm:f>
            <x14:dxf>
              <fill>
                <patternFill>
                  <bgColor theme="1" tint="0.499984740745262"/>
                </patternFill>
              </fill>
            </x14:dxf>
          </x14:cfRule>
          <x14:cfRule type="expression" priority="4000" stopIfTrue="1" id="{425E17B3-1196-444B-AF56-03DB8142A340}">
            <xm:f>AND(IF(J341='F:\Users\norela.briceno\Documents\Plan de acción\Plan Accion 2018\[Plan Accion Integrado ADRES Vigencia 2018 con Cuadro de Mando V6..xlsx]Plan de Accion 2018'!#REF!,J341&lt;&gt;"N/A"))</xm:f>
            <x14:dxf>
              <fill>
                <patternFill>
                  <bgColor rgb="FF00B050"/>
                </patternFill>
              </fill>
            </x14:dxf>
          </x14:cfRule>
          <x14:cfRule type="expression" priority="4001" stopIfTrue="1" id="{84D6E65C-E3FC-46A5-AFAE-3825D5BE7552}">
            <xm:f>AND(IF(J341&lt;'F:\Users\norela.briceno\Documents\Plan de acción\Plan Accion 2018\[Plan Accion Integrado ADRES Vigencia 2018 con Cuadro de Mando V6..xlsx]Plan de Accion 2018'!#REF!,J341&lt;&gt;"N/A"))</xm:f>
            <x14:dxf>
              <fill>
                <patternFill>
                  <bgColor indexed="10"/>
                </patternFill>
              </fill>
            </x14:dxf>
          </x14:cfRule>
          <xm:sqref>J341</xm:sqref>
        </x14:conditionalFormatting>
        <x14:conditionalFormatting xmlns:xm="http://schemas.microsoft.com/office/excel/2006/main">
          <x14:cfRule type="expression" priority="3996" id="{FA932AC1-F7D9-4EF9-8EE0-743DC86531F5}">
            <xm:f>AND(IF(Q341&gt;'F:\Users\norela.briceno\Documents\Plan de acción\Plan Accion 2018\[Plan Accion Integrado ADRES Vigencia 2018 con Cuadro de Mando V6..xlsx]Plan de Accion 2018'!#REF!,Q341&lt;&gt;¨N/A¨))</xm:f>
            <x14:dxf>
              <fill>
                <patternFill>
                  <bgColor theme="1" tint="0.499984740745262"/>
                </patternFill>
              </fill>
            </x14:dxf>
          </x14:cfRule>
          <x14:cfRule type="expression" priority="3997" stopIfTrue="1" id="{52E8698C-323F-431B-8CDB-22BCE98DEAB0}">
            <xm:f>AND(IF(Q341='F:\Users\norela.briceno\Documents\Plan de acción\Plan Accion 2018\[Plan Accion Integrado ADRES Vigencia 2018 con Cuadro de Mando V6..xlsx]Plan de Accion 2018'!#REF!,Q341&lt;&gt;"N/A"))</xm:f>
            <x14:dxf>
              <fill>
                <patternFill>
                  <bgColor rgb="FF00B050"/>
                </patternFill>
              </fill>
            </x14:dxf>
          </x14:cfRule>
          <x14:cfRule type="expression" priority="3998" stopIfTrue="1" id="{D33D47A7-67CE-4993-AE7C-4745F9770261}">
            <xm:f>AND(IF(Q341&lt;'F:\Users\norela.briceno\Documents\Plan de acción\Plan Accion 2018\[Plan Accion Integrado ADRES Vigencia 2018 con Cuadro de Mando V6..xlsx]Plan de Accion 2018'!#REF!,Q341&lt;&gt;"N/A"))</xm:f>
            <x14:dxf>
              <fill>
                <patternFill>
                  <bgColor indexed="10"/>
                </patternFill>
              </fill>
            </x14:dxf>
          </x14:cfRule>
          <xm:sqref>Q341</xm:sqref>
        </x14:conditionalFormatting>
        <x14:conditionalFormatting xmlns:xm="http://schemas.microsoft.com/office/excel/2006/main">
          <x14:cfRule type="expression" priority="3993" id="{49DDB158-CBAE-40F9-B8B3-8EF887B7A4FB}">
            <xm:f>AND(IF(Q340&gt;'F:\Users\norela.briceno\Documents\Plan de acción\Plan Accion 2018\[Plan Accion Integrado ADRES Vigencia 2018 con Cuadro de Mando V6..xlsx]Plan de Accion 2018'!#REF!,Q340&lt;&gt;¨N/A¨))</xm:f>
            <x14:dxf>
              <fill>
                <patternFill>
                  <bgColor theme="1" tint="0.499984740745262"/>
                </patternFill>
              </fill>
            </x14:dxf>
          </x14:cfRule>
          <x14:cfRule type="expression" priority="3994" stopIfTrue="1" id="{9EE1C65B-A39E-4915-B007-4C80CAFA7B3E}">
            <xm:f>AND(IF(Q340='F:\Users\norela.briceno\Documents\Plan de acción\Plan Accion 2018\[Plan Accion Integrado ADRES Vigencia 2018 con Cuadro de Mando V6..xlsx]Plan de Accion 2018'!#REF!,Q340&lt;&gt;"N/A"))</xm:f>
            <x14:dxf>
              <fill>
                <patternFill>
                  <bgColor rgb="FF00B050"/>
                </patternFill>
              </fill>
            </x14:dxf>
          </x14:cfRule>
          <x14:cfRule type="expression" priority="3995" stopIfTrue="1" id="{FECDC918-56D5-46F8-8825-5A09E9E18F28}">
            <xm:f>AND(IF(Q340&lt;'F:\Users\norela.briceno\Documents\Plan de acción\Plan Accion 2018\[Plan Accion Integrado ADRES Vigencia 2018 con Cuadro de Mando V6..xlsx]Plan de Accion 2018'!#REF!,Q340&lt;&gt;"N/A"))</xm:f>
            <x14:dxf>
              <fill>
                <patternFill>
                  <bgColor indexed="10"/>
                </patternFill>
              </fill>
            </x14:dxf>
          </x14:cfRule>
          <xm:sqref>Q340</xm:sqref>
        </x14:conditionalFormatting>
        <x14:conditionalFormatting xmlns:xm="http://schemas.microsoft.com/office/excel/2006/main">
          <x14:cfRule type="expression" priority="3990" id="{FC584531-032D-438C-BA1B-334CBBEA355C}">
            <xm:f>AND(IF(Q337&gt;'F:\Users\norela.briceno\Documents\Plan de acción\Plan Accion 2018\[Plan Accion Integrado ADRES Vigencia 2018 con Cuadro de Mando V6..xlsx]Plan de Accion 2018'!#REF!,Q337&lt;&gt;¨N/A¨))</xm:f>
            <x14:dxf>
              <fill>
                <patternFill>
                  <bgColor theme="1" tint="0.499984740745262"/>
                </patternFill>
              </fill>
            </x14:dxf>
          </x14:cfRule>
          <x14:cfRule type="expression" priority="3991" stopIfTrue="1" id="{48FEE00D-0170-4F73-8AE7-EA10125D9AF2}">
            <xm:f>AND(IF(Q337='F:\Users\norela.briceno\Documents\Plan de acción\Plan Accion 2018\[Plan Accion Integrado ADRES Vigencia 2018 con Cuadro de Mando V6..xlsx]Plan de Accion 2018'!#REF!,Q337&lt;&gt;"N/A"))</xm:f>
            <x14:dxf>
              <fill>
                <patternFill>
                  <bgColor rgb="FF00B050"/>
                </patternFill>
              </fill>
            </x14:dxf>
          </x14:cfRule>
          <x14:cfRule type="expression" priority="3992" stopIfTrue="1" id="{96DC58FC-D635-4607-9085-2A909D250D10}">
            <xm:f>AND(IF(Q337&lt;'F:\Users\norela.briceno\Documents\Plan de acción\Plan Accion 2018\[Plan Accion Integrado ADRES Vigencia 2018 con Cuadro de Mando V6..xlsx]Plan de Accion 2018'!#REF!,Q337&lt;&gt;"N/A"))</xm:f>
            <x14:dxf>
              <fill>
                <patternFill>
                  <bgColor indexed="10"/>
                </patternFill>
              </fill>
            </x14:dxf>
          </x14:cfRule>
          <xm:sqref>Q337 Q339</xm:sqref>
        </x14:conditionalFormatting>
        <x14:conditionalFormatting xmlns:xm="http://schemas.microsoft.com/office/excel/2006/main">
          <x14:cfRule type="expression" priority="3987" id="{25949B3C-659B-4579-B94D-88FA857F4C68}">
            <xm:f>AND(IF(Q336&gt;'F:\Users\norela.briceno\Documents\Plan de acción\Plan Accion 2018\[Plan Accion Integrado ADRES Vigencia 2018 con Cuadro de Mando V6..xlsx]Plan de Accion 2018'!#REF!,Q336&lt;&gt;¨N/A¨))</xm:f>
            <x14:dxf>
              <fill>
                <patternFill>
                  <bgColor theme="1" tint="0.499984740745262"/>
                </patternFill>
              </fill>
            </x14:dxf>
          </x14:cfRule>
          <x14:cfRule type="expression" priority="3988" stopIfTrue="1" id="{C239CC11-DB06-466A-9BBB-CEB32D1502EA}">
            <xm:f>AND(IF(Q336='F:\Users\norela.briceno\Documents\Plan de acción\Plan Accion 2018\[Plan Accion Integrado ADRES Vigencia 2018 con Cuadro de Mando V6..xlsx]Plan de Accion 2018'!#REF!,Q336&lt;&gt;"N/A"))</xm:f>
            <x14:dxf>
              <fill>
                <patternFill>
                  <bgColor rgb="FF00B050"/>
                </patternFill>
              </fill>
            </x14:dxf>
          </x14:cfRule>
          <x14:cfRule type="expression" priority="3989" stopIfTrue="1" id="{490C37F2-2C18-4886-8755-B968E1D2CEA2}">
            <xm:f>AND(IF(Q336&lt;'F:\Users\norela.briceno\Documents\Plan de acción\Plan Accion 2018\[Plan Accion Integrado ADRES Vigencia 2018 con Cuadro de Mando V6..xlsx]Plan de Accion 2018'!#REF!,Q336&lt;&gt;"N/A"))</xm:f>
            <x14:dxf>
              <fill>
                <patternFill>
                  <bgColor indexed="10"/>
                </patternFill>
              </fill>
            </x14:dxf>
          </x14:cfRule>
          <xm:sqref>Q336</xm:sqref>
        </x14:conditionalFormatting>
        <x14:conditionalFormatting xmlns:xm="http://schemas.microsoft.com/office/excel/2006/main">
          <x14:cfRule type="expression" priority="3984" id="{2B7B2B13-E1A1-4C2A-9175-A7A61F2AC04B}">
            <xm:f>AND(IF(Q335&gt;'F:\Users\norela.briceno\Documents\Plan de acción\Plan Accion 2018\[Plan Accion Integrado ADRES Vigencia 2018 con Cuadro de Mando V6..xlsx]Plan de Accion 2018'!#REF!,Q335&lt;&gt;¨N/A¨))</xm:f>
            <x14:dxf>
              <fill>
                <patternFill>
                  <bgColor theme="1" tint="0.499984740745262"/>
                </patternFill>
              </fill>
            </x14:dxf>
          </x14:cfRule>
          <x14:cfRule type="expression" priority="3985" stopIfTrue="1" id="{76F3ADF6-165B-4635-BC6B-8060666FBCC4}">
            <xm:f>AND(IF(Q335='F:\Users\norela.briceno\Documents\Plan de acción\Plan Accion 2018\[Plan Accion Integrado ADRES Vigencia 2018 con Cuadro de Mando V6..xlsx]Plan de Accion 2018'!#REF!,Q335&lt;&gt;"N/A"))</xm:f>
            <x14:dxf>
              <fill>
                <patternFill>
                  <bgColor rgb="FF00B050"/>
                </patternFill>
              </fill>
            </x14:dxf>
          </x14:cfRule>
          <x14:cfRule type="expression" priority="3986" stopIfTrue="1" id="{551B4BD0-ACED-47FD-B773-B7B2817E72DA}">
            <xm:f>AND(IF(Q335&lt;'F:\Users\norela.briceno\Documents\Plan de acción\Plan Accion 2018\[Plan Accion Integrado ADRES Vigencia 2018 con Cuadro de Mando V6..xlsx]Plan de Accion 2018'!#REF!,Q335&lt;&gt;"N/A"))</xm:f>
            <x14:dxf>
              <fill>
                <patternFill>
                  <bgColor indexed="10"/>
                </patternFill>
              </fill>
            </x14:dxf>
          </x14:cfRule>
          <xm:sqref>Q335</xm:sqref>
        </x14:conditionalFormatting>
        <x14:conditionalFormatting xmlns:xm="http://schemas.microsoft.com/office/excel/2006/main">
          <x14:cfRule type="expression" priority="3981" id="{316FCC8D-21B2-427A-B83B-6E0FE0393375}">
            <xm:f>AND(IF(Q334&gt;'F:\Users\norela.briceno\Documents\Plan de acción\Plan Accion 2018\[Plan Accion Integrado ADRES Vigencia 2018 con Cuadro de Mando V6..xlsx]Plan de Accion 2018'!#REF!,Q334&lt;&gt;¨N/A¨))</xm:f>
            <x14:dxf>
              <fill>
                <patternFill>
                  <bgColor theme="1" tint="0.499984740745262"/>
                </patternFill>
              </fill>
            </x14:dxf>
          </x14:cfRule>
          <x14:cfRule type="expression" priority="3982" stopIfTrue="1" id="{4D7C8248-86B3-4DAF-89FE-DF5CC3BCC76F}">
            <xm:f>AND(IF(Q334='F:\Users\norela.briceno\Documents\Plan de acción\Plan Accion 2018\[Plan Accion Integrado ADRES Vigencia 2018 con Cuadro de Mando V6..xlsx]Plan de Accion 2018'!#REF!,Q334&lt;&gt;"N/A"))</xm:f>
            <x14:dxf>
              <fill>
                <patternFill>
                  <bgColor rgb="FF00B050"/>
                </patternFill>
              </fill>
            </x14:dxf>
          </x14:cfRule>
          <x14:cfRule type="expression" priority="3983" stopIfTrue="1" id="{B642CCC0-6F7C-4C23-A9E1-BE408E5C54AA}">
            <xm:f>AND(IF(Q334&lt;'F:\Users\norela.briceno\Documents\Plan de acción\Plan Accion 2018\[Plan Accion Integrado ADRES Vigencia 2018 con Cuadro de Mando V6..xlsx]Plan de Accion 2018'!#REF!,Q334&lt;&gt;"N/A"))</xm:f>
            <x14:dxf>
              <fill>
                <patternFill>
                  <bgColor indexed="10"/>
                </patternFill>
              </fill>
            </x14:dxf>
          </x14:cfRule>
          <xm:sqref>Q334</xm:sqref>
        </x14:conditionalFormatting>
        <x14:conditionalFormatting xmlns:xm="http://schemas.microsoft.com/office/excel/2006/main">
          <x14:cfRule type="expression" priority="3978" id="{1B777111-4519-4E1F-87B0-23C9BB2B8A45}">
            <xm:f>AND(IF(Q333&gt;'F:\Users\norela.briceno\Documents\Plan de acción\Plan Accion 2018\[Plan Accion Integrado ADRES Vigencia 2018 con Cuadro de Mando V6..xlsx]Plan de Accion 2018'!#REF!,Q333&lt;&gt;¨N/A¨))</xm:f>
            <x14:dxf>
              <fill>
                <patternFill>
                  <bgColor theme="1" tint="0.499984740745262"/>
                </patternFill>
              </fill>
            </x14:dxf>
          </x14:cfRule>
          <x14:cfRule type="expression" priority="3979" stopIfTrue="1" id="{90FB0599-97C1-4D24-A936-29919B41A443}">
            <xm:f>AND(IF(Q333='F:\Users\norela.briceno\Documents\Plan de acción\Plan Accion 2018\[Plan Accion Integrado ADRES Vigencia 2018 con Cuadro de Mando V6..xlsx]Plan de Accion 2018'!#REF!,Q333&lt;&gt;"N/A"))</xm:f>
            <x14:dxf>
              <fill>
                <patternFill>
                  <bgColor rgb="FF00B050"/>
                </patternFill>
              </fill>
            </x14:dxf>
          </x14:cfRule>
          <x14:cfRule type="expression" priority="3980" stopIfTrue="1" id="{71542A4A-A3FD-4D15-A440-16F691E040B7}">
            <xm:f>AND(IF(Q333&lt;'F:\Users\norela.briceno\Documents\Plan de acción\Plan Accion 2018\[Plan Accion Integrado ADRES Vigencia 2018 con Cuadro de Mando V6..xlsx]Plan de Accion 2018'!#REF!,Q333&lt;&gt;"N/A"))</xm:f>
            <x14:dxf>
              <fill>
                <patternFill>
                  <bgColor indexed="10"/>
                </patternFill>
              </fill>
            </x14:dxf>
          </x14:cfRule>
          <xm:sqref>Q333</xm:sqref>
        </x14:conditionalFormatting>
        <x14:conditionalFormatting xmlns:xm="http://schemas.microsoft.com/office/excel/2006/main">
          <x14:cfRule type="expression" priority="3975" id="{6ACA615B-B6D1-465D-8DD1-F55D404FABBC}">
            <xm:f>AND(IF(Q332&gt;'F:\Users\norela.briceno\Documents\Plan de acción\Plan Accion 2018\[Plan Accion Integrado ADRES Vigencia 2018 con Cuadro de Mando V6..xlsx]Plan de Accion 2018'!#REF!,Q332&lt;&gt;¨N/A¨))</xm:f>
            <x14:dxf>
              <fill>
                <patternFill>
                  <bgColor theme="1" tint="0.499984740745262"/>
                </patternFill>
              </fill>
            </x14:dxf>
          </x14:cfRule>
          <x14:cfRule type="expression" priority="3976" stopIfTrue="1" id="{55584AFD-0AB6-4D82-A2A3-B9EE8C7338E7}">
            <xm:f>AND(IF(Q332='F:\Users\norela.briceno\Documents\Plan de acción\Plan Accion 2018\[Plan Accion Integrado ADRES Vigencia 2018 con Cuadro de Mando V6..xlsx]Plan de Accion 2018'!#REF!,Q332&lt;&gt;"N/A"))</xm:f>
            <x14:dxf>
              <fill>
                <patternFill>
                  <bgColor rgb="FF00B050"/>
                </patternFill>
              </fill>
            </x14:dxf>
          </x14:cfRule>
          <x14:cfRule type="expression" priority="3977" stopIfTrue="1" id="{90805D4A-4D7D-4A13-930C-B86C56B5F2E5}">
            <xm:f>AND(IF(Q332&lt;'F:\Users\norela.briceno\Documents\Plan de acción\Plan Accion 2018\[Plan Accion Integrado ADRES Vigencia 2018 con Cuadro de Mando V6..xlsx]Plan de Accion 2018'!#REF!,Q332&lt;&gt;"N/A"))</xm:f>
            <x14:dxf>
              <fill>
                <patternFill>
                  <bgColor indexed="10"/>
                </patternFill>
              </fill>
            </x14:dxf>
          </x14:cfRule>
          <xm:sqref>Q332</xm:sqref>
        </x14:conditionalFormatting>
        <x14:conditionalFormatting xmlns:xm="http://schemas.microsoft.com/office/excel/2006/main">
          <x14:cfRule type="expression" priority="3972" id="{CE211F3A-D37A-4F24-9A4B-C02CB647A2CB}">
            <xm:f>AND(IF(Q331&gt;'F:\Users\norela.briceno\Documents\Plan de acción\Plan Accion 2018\[Plan Accion Integrado ADRES Vigencia 2018 con Cuadro de Mando V6..xlsx]Plan de Accion 2018'!#REF!,Q331&lt;&gt;¨N/A¨))</xm:f>
            <x14:dxf>
              <fill>
                <patternFill>
                  <bgColor theme="1" tint="0.499984740745262"/>
                </patternFill>
              </fill>
            </x14:dxf>
          </x14:cfRule>
          <x14:cfRule type="expression" priority="3973" stopIfTrue="1" id="{5D3391D3-EE38-41C8-8040-CCE55845CA9D}">
            <xm:f>AND(IF(Q331='F:\Users\norela.briceno\Documents\Plan de acción\Plan Accion 2018\[Plan Accion Integrado ADRES Vigencia 2018 con Cuadro de Mando V6..xlsx]Plan de Accion 2018'!#REF!,Q331&lt;&gt;"N/A"))</xm:f>
            <x14:dxf>
              <fill>
                <patternFill>
                  <bgColor rgb="FF00B050"/>
                </patternFill>
              </fill>
            </x14:dxf>
          </x14:cfRule>
          <x14:cfRule type="expression" priority="3974" stopIfTrue="1" id="{9945B512-B134-4DB1-BF5D-6A5162F7BEA2}">
            <xm:f>AND(IF(Q331&lt;'F:\Users\norela.briceno\Documents\Plan de acción\Plan Accion 2018\[Plan Accion Integrado ADRES Vigencia 2018 con Cuadro de Mando V6..xlsx]Plan de Accion 2018'!#REF!,Q331&lt;&gt;"N/A"))</xm:f>
            <x14:dxf>
              <fill>
                <patternFill>
                  <bgColor indexed="10"/>
                </patternFill>
              </fill>
            </x14:dxf>
          </x14:cfRule>
          <xm:sqref>Q331</xm:sqref>
        </x14:conditionalFormatting>
        <x14:conditionalFormatting xmlns:xm="http://schemas.microsoft.com/office/excel/2006/main">
          <x14:cfRule type="expression" priority="3969" id="{FE7D1729-CD2C-44A9-A557-27FA7EA63C82}">
            <xm:f>AND(IF(Q330&gt;'F:\Users\norela.briceno\Documents\Plan de acción\Plan Accion 2018\[Plan Accion Integrado ADRES Vigencia 2018 con Cuadro de Mando V6..xlsx]Plan de Accion 2018'!#REF!,Q330&lt;&gt;¨N/A¨))</xm:f>
            <x14:dxf>
              <fill>
                <patternFill>
                  <bgColor theme="1" tint="0.499984740745262"/>
                </patternFill>
              </fill>
            </x14:dxf>
          </x14:cfRule>
          <x14:cfRule type="expression" priority="3970" stopIfTrue="1" id="{742617D9-7ABC-4BD8-91EA-7D337729293E}">
            <xm:f>AND(IF(Q330='F:\Users\norela.briceno\Documents\Plan de acción\Plan Accion 2018\[Plan Accion Integrado ADRES Vigencia 2018 con Cuadro de Mando V6..xlsx]Plan de Accion 2018'!#REF!,Q330&lt;&gt;"N/A"))</xm:f>
            <x14:dxf>
              <fill>
                <patternFill>
                  <bgColor rgb="FF00B050"/>
                </patternFill>
              </fill>
            </x14:dxf>
          </x14:cfRule>
          <x14:cfRule type="expression" priority="3971" stopIfTrue="1" id="{B2BA40BC-7478-4852-B92D-37AB15067CE9}">
            <xm:f>AND(IF(Q330&lt;'F:\Users\norela.briceno\Documents\Plan de acción\Plan Accion 2018\[Plan Accion Integrado ADRES Vigencia 2018 con Cuadro de Mando V6..xlsx]Plan de Accion 2018'!#REF!,Q330&lt;&gt;"N/A"))</xm:f>
            <x14:dxf>
              <fill>
                <patternFill>
                  <bgColor indexed="10"/>
                </patternFill>
              </fill>
            </x14:dxf>
          </x14:cfRule>
          <xm:sqref>Q330</xm:sqref>
        </x14:conditionalFormatting>
        <x14:conditionalFormatting xmlns:xm="http://schemas.microsoft.com/office/excel/2006/main">
          <x14:cfRule type="expression" priority="3966" id="{6A906A8F-BEEE-487D-9256-B5DBCE441D49}">
            <xm:f>AND(IF(Q329&gt;'F:\Users\norela.briceno\Documents\Plan de acción\Plan Accion 2018\[Plan Accion Integrado ADRES Vigencia 2018 con Cuadro de Mando V6..xlsx]Plan de Accion 2018'!#REF!,Q329&lt;&gt;¨N/A¨))</xm:f>
            <x14:dxf>
              <fill>
                <patternFill>
                  <bgColor theme="1" tint="0.499984740745262"/>
                </patternFill>
              </fill>
            </x14:dxf>
          </x14:cfRule>
          <x14:cfRule type="expression" priority="3967" stopIfTrue="1" id="{B9AE756A-0613-4C41-BB8B-FD15730DCADE}">
            <xm:f>AND(IF(Q329='F:\Users\norela.briceno\Documents\Plan de acción\Plan Accion 2018\[Plan Accion Integrado ADRES Vigencia 2018 con Cuadro de Mando V6..xlsx]Plan de Accion 2018'!#REF!,Q329&lt;&gt;"N/A"))</xm:f>
            <x14:dxf>
              <fill>
                <patternFill>
                  <bgColor rgb="FF00B050"/>
                </patternFill>
              </fill>
            </x14:dxf>
          </x14:cfRule>
          <x14:cfRule type="expression" priority="3968" stopIfTrue="1" id="{D1B7B242-D95C-44A4-A8B0-A439430762A1}">
            <xm:f>AND(IF(Q329&lt;'F:\Users\norela.briceno\Documents\Plan de acción\Plan Accion 2018\[Plan Accion Integrado ADRES Vigencia 2018 con Cuadro de Mando V6..xlsx]Plan de Accion 2018'!#REF!,Q329&lt;&gt;"N/A"))</xm:f>
            <x14:dxf>
              <fill>
                <patternFill>
                  <bgColor indexed="10"/>
                </patternFill>
              </fill>
            </x14:dxf>
          </x14:cfRule>
          <xm:sqref>Q329</xm:sqref>
        </x14:conditionalFormatting>
        <x14:conditionalFormatting xmlns:xm="http://schemas.microsoft.com/office/excel/2006/main">
          <x14:cfRule type="expression" priority="3963" id="{349E9105-AB9E-4ABF-853F-6136F1DF07D9}">
            <xm:f>AND(IF(Q328&gt;'F:\Users\norela.briceno\Documents\Plan de acción\Plan Accion 2018\[Plan Accion Integrado ADRES Vigencia 2018 con Cuadro de Mando V6..xlsx]Plan de Accion 2018'!#REF!,Q328&lt;&gt;¨N/A¨))</xm:f>
            <x14:dxf>
              <fill>
                <patternFill>
                  <bgColor theme="1" tint="0.499984740745262"/>
                </patternFill>
              </fill>
            </x14:dxf>
          </x14:cfRule>
          <x14:cfRule type="expression" priority="3964" stopIfTrue="1" id="{67FAEB79-3FD6-48CE-BD5E-E238563E9328}">
            <xm:f>AND(IF(Q328='F:\Users\norela.briceno\Documents\Plan de acción\Plan Accion 2018\[Plan Accion Integrado ADRES Vigencia 2018 con Cuadro de Mando V6..xlsx]Plan de Accion 2018'!#REF!,Q328&lt;&gt;"N/A"))</xm:f>
            <x14:dxf>
              <fill>
                <patternFill>
                  <bgColor rgb="FF00B050"/>
                </patternFill>
              </fill>
            </x14:dxf>
          </x14:cfRule>
          <x14:cfRule type="expression" priority="3965" stopIfTrue="1" id="{23337304-CEE2-4EDC-BC1B-8850370BF257}">
            <xm:f>AND(IF(Q328&lt;'F:\Users\norela.briceno\Documents\Plan de acción\Plan Accion 2018\[Plan Accion Integrado ADRES Vigencia 2018 con Cuadro de Mando V6..xlsx]Plan de Accion 2018'!#REF!,Q328&lt;&gt;"N/A"))</xm:f>
            <x14:dxf>
              <fill>
                <patternFill>
                  <bgColor indexed="10"/>
                </patternFill>
              </fill>
            </x14:dxf>
          </x14:cfRule>
          <xm:sqref>Q328</xm:sqref>
        </x14:conditionalFormatting>
        <x14:conditionalFormatting xmlns:xm="http://schemas.microsoft.com/office/excel/2006/main">
          <x14:cfRule type="expression" priority="3960" id="{D7ED292D-60E2-4CB8-ADFD-EAE965422B22}">
            <xm:f>AND(IF(Q327&gt;'F:\Users\norela.briceno\Documents\Plan de acción\Plan Accion 2018\[Plan Accion Integrado ADRES Vigencia 2018 con Cuadro de Mando V6..xlsx]Plan de Accion 2018'!#REF!,Q327&lt;&gt;¨N/A¨))</xm:f>
            <x14:dxf>
              <fill>
                <patternFill>
                  <bgColor theme="1" tint="0.499984740745262"/>
                </patternFill>
              </fill>
            </x14:dxf>
          </x14:cfRule>
          <x14:cfRule type="expression" priority="3961" stopIfTrue="1" id="{0D9BE612-2712-4552-837E-5A01C1D9A53A}">
            <xm:f>AND(IF(Q327='F:\Users\norela.briceno\Documents\Plan de acción\Plan Accion 2018\[Plan Accion Integrado ADRES Vigencia 2018 con Cuadro de Mando V6..xlsx]Plan de Accion 2018'!#REF!,Q327&lt;&gt;"N/A"))</xm:f>
            <x14:dxf>
              <fill>
                <patternFill>
                  <bgColor rgb="FF00B050"/>
                </patternFill>
              </fill>
            </x14:dxf>
          </x14:cfRule>
          <x14:cfRule type="expression" priority="3962" stopIfTrue="1" id="{FFC3F677-8073-46ED-BC87-A8B393F04338}">
            <xm:f>AND(IF(Q327&lt;'F:\Users\norela.briceno\Documents\Plan de acción\Plan Accion 2018\[Plan Accion Integrado ADRES Vigencia 2018 con Cuadro de Mando V6..xlsx]Plan de Accion 2018'!#REF!,Q327&lt;&gt;"N/A"))</xm:f>
            <x14:dxf>
              <fill>
                <patternFill>
                  <bgColor indexed="10"/>
                </patternFill>
              </fill>
            </x14:dxf>
          </x14:cfRule>
          <xm:sqref>Q327</xm:sqref>
        </x14:conditionalFormatting>
        <x14:conditionalFormatting xmlns:xm="http://schemas.microsoft.com/office/excel/2006/main">
          <x14:cfRule type="expression" priority="3957" id="{FEA3261B-BCAF-468B-BEF8-8A4975589B26}">
            <xm:f>AND(IF(Q326&gt;'F:\Users\norela.briceno\Documents\Plan de acción\Plan Accion 2018\[Plan Accion Integrado ADRES Vigencia 2018 con Cuadro de Mando V6..xlsx]Plan de Accion 2018'!#REF!,Q326&lt;&gt;¨N/A¨))</xm:f>
            <x14:dxf>
              <fill>
                <patternFill>
                  <bgColor theme="1" tint="0.499984740745262"/>
                </patternFill>
              </fill>
            </x14:dxf>
          </x14:cfRule>
          <x14:cfRule type="expression" priority="3958" stopIfTrue="1" id="{77DD2168-BA2D-4D42-9353-FF64ACE1B151}">
            <xm:f>AND(IF(Q326='F:\Users\norela.briceno\Documents\Plan de acción\Plan Accion 2018\[Plan Accion Integrado ADRES Vigencia 2018 con Cuadro de Mando V6..xlsx]Plan de Accion 2018'!#REF!,Q326&lt;&gt;"N/A"))</xm:f>
            <x14:dxf>
              <fill>
                <patternFill>
                  <bgColor rgb="FF00B050"/>
                </patternFill>
              </fill>
            </x14:dxf>
          </x14:cfRule>
          <x14:cfRule type="expression" priority="3959" stopIfTrue="1" id="{B3DA84CC-99E8-47F9-84D3-0B836DE9ED97}">
            <xm:f>AND(IF(Q326&lt;'F:\Users\norela.briceno\Documents\Plan de acción\Plan Accion 2018\[Plan Accion Integrado ADRES Vigencia 2018 con Cuadro de Mando V6..xlsx]Plan de Accion 2018'!#REF!,Q326&lt;&gt;"N/A"))</xm:f>
            <x14:dxf>
              <fill>
                <patternFill>
                  <bgColor indexed="10"/>
                </patternFill>
              </fill>
            </x14:dxf>
          </x14:cfRule>
          <xm:sqref>Q326</xm:sqref>
        </x14:conditionalFormatting>
        <x14:conditionalFormatting xmlns:xm="http://schemas.microsoft.com/office/excel/2006/main">
          <x14:cfRule type="expression" priority="3954" id="{80DA6EAC-4966-4F18-B99A-B737B2694531}">
            <xm:f>AND(IF(Q325&gt;'F:\Users\norela.briceno\Documents\Plan de acción\Plan Accion 2018\[Plan Accion Integrado ADRES Vigencia 2018 con Cuadro de Mando V6..xlsx]Plan de Accion 2018'!#REF!,Q325&lt;&gt;¨N/A¨))</xm:f>
            <x14:dxf>
              <fill>
                <patternFill>
                  <bgColor theme="1" tint="0.499984740745262"/>
                </patternFill>
              </fill>
            </x14:dxf>
          </x14:cfRule>
          <x14:cfRule type="expression" priority="3955" stopIfTrue="1" id="{3F58F478-3E79-453A-A5C6-4E025C452E11}">
            <xm:f>AND(IF(Q325='F:\Users\norela.briceno\Documents\Plan de acción\Plan Accion 2018\[Plan Accion Integrado ADRES Vigencia 2018 con Cuadro de Mando V6..xlsx]Plan de Accion 2018'!#REF!,Q325&lt;&gt;"N/A"))</xm:f>
            <x14:dxf>
              <fill>
                <patternFill>
                  <bgColor rgb="FF00B050"/>
                </patternFill>
              </fill>
            </x14:dxf>
          </x14:cfRule>
          <x14:cfRule type="expression" priority="3956" stopIfTrue="1" id="{717D9F08-2617-41CA-9A74-496E967F50CC}">
            <xm:f>AND(IF(Q325&lt;'F:\Users\norela.briceno\Documents\Plan de acción\Plan Accion 2018\[Plan Accion Integrado ADRES Vigencia 2018 con Cuadro de Mando V6..xlsx]Plan de Accion 2018'!#REF!,Q325&lt;&gt;"N/A"))</xm:f>
            <x14:dxf>
              <fill>
                <patternFill>
                  <bgColor indexed="10"/>
                </patternFill>
              </fill>
            </x14:dxf>
          </x14:cfRule>
          <xm:sqref>Q325</xm:sqref>
        </x14:conditionalFormatting>
        <x14:conditionalFormatting xmlns:xm="http://schemas.microsoft.com/office/excel/2006/main">
          <x14:cfRule type="expression" priority="3951" id="{D6CC7375-7BC3-49E1-9EBD-A22A64BACCED}">
            <xm:f>AND(IF(Q324&gt;'F:\Users\norela.briceno\Documents\Plan de acción\Plan Accion 2018\[Plan Accion Integrado ADRES Vigencia 2018 con Cuadro de Mando V6..xlsx]Plan de Accion 2018'!#REF!,Q324&lt;&gt;¨N/A¨))</xm:f>
            <x14:dxf>
              <fill>
                <patternFill>
                  <bgColor theme="1" tint="0.499984740745262"/>
                </patternFill>
              </fill>
            </x14:dxf>
          </x14:cfRule>
          <x14:cfRule type="expression" priority="3952" stopIfTrue="1" id="{4DAFBA60-8ECB-4786-A838-8C87A6413F10}">
            <xm:f>AND(IF(Q324='F:\Users\norela.briceno\Documents\Plan de acción\Plan Accion 2018\[Plan Accion Integrado ADRES Vigencia 2018 con Cuadro de Mando V6..xlsx]Plan de Accion 2018'!#REF!,Q324&lt;&gt;"N/A"))</xm:f>
            <x14:dxf>
              <fill>
                <patternFill>
                  <bgColor rgb="FF00B050"/>
                </patternFill>
              </fill>
            </x14:dxf>
          </x14:cfRule>
          <x14:cfRule type="expression" priority="3953" stopIfTrue="1" id="{F8BEA2E1-1256-4393-A859-D8B3FF791326}">
            <xm:f>AND(IF(Q324&lt;'F:\Users\norela.briceno\Documents\Plan de acción\Plan Accion 2018\[Plan Accion Integrado ADRES Vigencia 2018 con Cuadro de Mando V6..xlsx]Plan de Accion 2018'!#REF!,Q324&lt;&gt;"N/A"))</xm:f>
            <x14:dxf>
              <fill>
                <patternFill>
                  <bgColor indexed="10"/>
                </patternFill>
              </fill>
            </x14:dxf>
          </x14:cfRule>
          <xm:sqref>Q324</xm:sqref>
        </x14:conditionalFormatting>
        <x14:conditionalFormatting xmlns:xm="http://schemas.microsoft.com/office/excel/2006/main">
          <x14:cfRule type="expression" priority="3948" id="{A9402384-5C9C-41C0-8291-5DD446DB6F15}">
            <xm:f>AND(IF(Q323&gt;'F:\Users\norela.briceno\Documents\Plan de acción\Plan Accion 2018\[Plan Accion Integrado ADRES Vigencia 2018 con Cuadro de Mando V6..xlsx]Plan de Accion 2018'!#REF!,Q323&lt;&gt;¨N/A¨))</xm:f>
            <x14:dxf>
              <fill>
                <patternFill>
                  <bgColor theme="1" tint="0.499984740745262"/>
                </patternFill>
              </fill>
            </x14:dxf>
          </x14:cfRule>
          <x14:cfRule type="expression" priority="3949" stopIfTrue="1" id="{7BB0DF30-F0EC-4046-84CC-5534E34A4A61}">
            <xm:f>AND(IF(Q323='F:\Users\norela.briceno\Documents\Plan de acción\Plan Accion 2018\[Plan Accion Integrado ADRES Vigencia 2018 con Cuadro de Mando V6..xlsx]Plan de Accion 2018'!#REF!,Q323&lt;&gt;"N/A"))</xm:f>
            <x14:dxf>
              <fill>
                <patternFill>
                  <bgColor rgb="FF00B050"/>
                </patternFill>
              </fill>
            </x14:dxf>
          </x14:cfRule>
          <x14:cfRule type="expression" priority="3950" stopIfTrue="1" id="{A6E32597-A616-41CB-9CAC-B1B017CD5B96}">
            <xm:f>AND(IF(Q323&lt;'F:\Users\norela.briceno\Documents\Plan de acción\Plan Accion 2018\[Plan Accion Integrado ADRES Vigencia 2018 con Cuadro de Mando V6..xlsx]Plan de Accion 2018'!#REF!,Q323&lt;&gt;"N/A"))</xm:f>
            <x14:dxf>
              <fill>
                <patternFill>
                  <bgColor indexed="10"/>
                </patternFill>
              </fill>
            </x14:dxf>
          </x14:cfRule>
          <xm:sqref>Q323</xm:sqref>
        </x14:conditionalFormatting>
        <x14:conditionalFormatting xmlns:xm="http://schemas.microsoft.com/office/excel/2006/main">
          <x14:cfRule type="expression" priority="3945" id="{BE365029-BD34-4B0F-AF4C-7B11368A63C2}">
            <xm:f>AND(IF(Q322&gt;'F:\Users\norela.briceno\Documents\Plan de acción\Plan Accion 2018\[Plan Accion Integrado ADRES Vigencia 2018 con Cuadro de Mando V6..xlsx]Plan de Accion 2018'!#REF!,Q322&lt;&gt;¨N/A¨))</xm:f>
            <x14:dxf>
              <fill>
                <patternFill>
                  <bgColor theme="1" tint="0.499984740745262"/>
                </patternFill>
              </fill>
            </x14:dxf>
          </x14:cfRule>
          <x14:cfRule type="expression" priority="3946" stopIfTrue="1" id="{D5F65EA3-313F-4F20-B932-6C13EA95A93A}">
            <xm:f>AND(IF(Q322='F:\Users\norela.briceno\Documents\Plan de acción\Plan Accion 2018\[Plan Accion Integrado ADRES Vigencia 2018 con Cuadro de Mando V6..xlsx]Plan de Accion 2018'!#REF!,Q322&lt;&gt;"N/A"))</xm:f>
            <x14:dxf>
              <fill>
                <patternFill>
                  <bgColor rgb="FF00B050"/>
                </patternFill>
              </fill>
            </x14:dxf>
          </x14:cfRule>
          <x14:cfRule type="expression" priority="3947" stopIfTrue="1" id="{DC811944-E841-424F-A5B0-17BEAD405879}">
            <xm:f>AND(IF(Q322&lt;'F:\Users\norela.briceno\Documents\Plan de acción\Plan Accion 2018\[Plan Accion Integrado ADRES Vigencia 2018 con Cuadro de Mando V6..xlsx]Plan de Accion 2018'!#REF!,Q322&lt;&gt;"N/A"))</xm:f>
            <x14:dxf>
              <fill>
                <patternFill>
                  <bgColor indexed="10"/>
                </patternFill>
              </fill>
            </x14:dxf>
          </x14:cfRule>
          <xm:sqref>Q322</xm:sqref>
        </x14:conditionalFormatting>
        <x14:conditionalFormatting xmlns:xm="http://schemas.microsoft.com/office/excel/2006/main">
          <x14:cfRule type="expression" priority="3942" id="{4BCE5809-8FD4-45C4-B7F6-DAD782BD4D52}">
            <xm:f>AND(IF(Q321&gt;'F:\Users\norela.briceno\Documents\Plan de acción\Plan Accion 2018\[Plan Accion Integrado ADRES Vigencia 2018 con Cuadro de Mando V6..xlsx]Plan de Accion 2018'!#REF!,Q321&lt;&gt;¨N/A¨))</xm:f>
            <x14:dxf>
              <fill>
                <patternFill>
                  <bgColor theme="1" tint="0.499984740745262"/>
                </patternFill>
              </fill>
            </x14:dxf>
          </x14:cfRule>
          <x14:cfRule type="expression" priority="3943" stopIfTrue="1" id="{35D8BE35-50C8-46D2-BB61-196D4C92091F}">
            <xm:f>AND(IF(Q321='F:\Users\norela.briceno\Documents\Plan de acción\Plan Accion 2018\[Plan Accion Integrado ADRES Vigencia 2018 con Cuadro de Mando V6..xlsx]Plan de Accion 2018'!#REF!,Q321&lt;&gt;"N/A"))</xm:f>
            <x14:dxf>
              <fill>
                <patternFill>
                  <bgColor rgb="FF00B050"/>
                </patternFill>
              </fill>
            </x14:dxf>
          </x14:cfRule>
          <x14:cfRule type="expression" priority="3944" stopIfTrue="1" id="{1571BAD8-F0AC-433B-B373-4A4C625B7F53}">
            <xm:f>AND(IF(Q321&lt;'F:\Users\norela.briceno\Documents\Plan de acción\Plan Accion 2018\[Plan Accion Integrado ADRES Vigencia 2018 con Cuadro de Mando V6..xlsx]Plan de Accion 2018'!#REF!,Q321&lt;&gt;"N/A"))</xm:f>
            <x14:dxf>
              <fill>
                <patternFill>
                  <bgColor indexed="10"/>
                </patternFill>
              </fill>
            </x14:dxf>
          </x14:cfRule>
          <xm:sqref>Q321</xm:sqref>
        </x14:conditionalFormatting>
        <x14:conditionalFormatting xmlns:xm="http://schemas.microsoft.com/office/excel/2006/main">
          <x14:cfRule type="expression" priority="3939" id="{DCDDC238-8F40-4827-896C-2BBFBEB4C71C}">
            <xm:f>AND(IF(Q320&gt;'F:\Users\norela.briceno\Documents\Plan de acción\Plan Accion 2018\[Plan Accion Integrado ADRES Vigencia 2018 con Cuadro de Mando V6..xlsx]Plan de Accion 2018'!#REF!,Q320&lt;&gt;¨N/A¨))</xm:f>
            <x14:dxf>
              <fill>
                <patternFill>
                  <bgColor theme="1" tint="0.499984740745262"/>
                </patternFill>
              </fill>
            </x14:dxf>
          </x14:cfRule>
          <x14:cfRule type="expression" priority="3940" stopIfTrue="1" id="{4F366C0D-7254-408E-A896-835D5F68FCB7}">
            <xm:f>AND(IF(Q320='F:\Users\norela.briceno\Documents\Plan de acción\Plan Accion 2018\[Plan Accion Integrado ADRES Vigencia 2018 con Cuadro de Mando V6..xlsx]Plan de Accion 2018'!#REF!,Q320&lt;&gt;"N/A"))</xm:f>
            <x14:dxf>
              <fill>
                <patternFill>
                  <bgColor rgb="FF00B050"/>
                </patternFill>
              </fill>
            </x14:dxf>
          </x14:cfRule>
          <x14:cfRule type="expression" priority="3941" stopIfTrue="1" id="{77CC0383-7AED-484E-8006-9A8022CE23FF}">
            <xm:f>AND(IF(Q320&lt;'F:\Users\norela.briceno\Documents\Plan de acción\Plan Accion 2018\[Plan Accion Integrado ADRES Vigencia 2018 con Cuadro de Mando V6..xlsx]Plan de Accion 2018'!#REF!,Q320&lt;&gt;"N/A"))</xm:f>
            <x14:dxf>
              <fill>
                <patternFill>
                  <bgColor indexed="10"/>
                </patternFill>
              </fill>
            </x14:dxf>
          </x14:cfRule>
          <xm:sqref>Q320</xm:sqref>
        </x14:conditionalFormatting>
        <x14:conditionalFormatting xmlns:xm="http://schemas.microsoft.com/office/excel/2006/main">
          <x14:cfRule type="expression" priority="3936" id="{46FFAE58-D962-4CB4-8BD7-5886C31AC13A}">
            <xm:f>AND(IF(Q319&gt;'F:\Users\norela.briceno\Documents\Plan de acción\Plan Accion 2018\[Plan Accion Integrado ADRES Vigencia 2018 con Cuadro de Mando V6..xlsx]Plan de Accion 2018'!#REF!,Q319&lt;&gt;¨N/A¨))</xm:f>
            <x14:dxf>
              <fill>
                <patternFill>
                  <bgColor theme="1" tint="0.499984740745262"/>
                </patternFill>
              </fill>
            </x14:dxf>
          </x14:cfRule>
          <x14:cfRule type="expression" priority="3937" stopIfTrue="1" id="{6E7422DA-A155-459F-A0D9-80AA1EC27F4A}">
            <xm:f>AND(IF(Q319='F:\Users\norela.briceno\Documents\Plan de acción\Plan Accion 2018\[Plan Accion Integrado ADRES Vigencia 2018 con Cuadro de Mando V6..xlsx]Plan de Accion 2018'!#REF!,Q319&lt;&gt;"N/A"))</xm:f>
            <x14:dxf>
              <fill>
                <patternFill>
                  <bgColor rgb="FF00B050"/>
                </patternFill>
              </fill>
            </x14:dxf>
          </x14:cfRule>
          <x14:cfRule type="expression" priority="3938" stopIfTrue="1" id="{32EDC68D-AEF0-4EC6-90EF-346358CAD15A}">
            <xm:f>AND(IF(Q319&lt;'F:\Users\norela.briceno\Documents\Plan de acción\Plan Accion 2018\[Plan Accion Integrado ADRES Vigencia 2018 con Cuadro de Mando V6..xlsx]Plan de Accion 2018'!#REF!,Q319&lt;&gt;"N/A"))</xm:f>
            <x14:dxf>
              <fill>
                <patternFill>
                  <bgColor indexed="10"/>
                </patternFill>
              </fill>
            </x14:dxf>
          </x14:cfRule>
          <xm:sqref>Q319</xm:sqref>
        </x14:conditionalFormatting>
        <x14:conditionalFormatting xmlns:xm="http://schemas.microsoft.com/office/excel/2006/main">
          <x14:cfRule type="expression" priority="3933" id="{76C1D374-9D7D-4230-8F86-84D82017B247}">
            <xm:f>AND(IF(Q318&gt;'F:\Users\norela.briceno\Documents\Plan de acción\Plan Accion 2018\[Plan Accion Integrado ADRES Vigencia 2018 con Cuadro de Mando V6..xlsx]Plan de Accion 2018'!#REF!,Q318&lt;&gt;¨N/A¨))</xm:f>
            <x14:dxf>
              <fill>
                <patternFill>
                  <bgColor theme="1" tint="0.499984740745262"/>
                </patternFill>
              </fill>
            </x14:dxf>
          </x14:cfRule>
          <x14:cfRule type="expression" priority="3934" stopIfTrue="1" id="{46B6446A-9865-4EB2-B54D-2A0203B420C5}">
            <xm:f>AND(IF(Q318='F:\Users\norela.briceno\Documents\Plan de acción\Plan Accion 2018\[Plan Accion Integrado ADRES Vigencia 2018 con Cuadro de Mando V6..xlsx]Plan de Accion 2018'!#REF!,Q318&lt;&gt;"N/A"))</xm:f>
            <x14:dxf>
              <fill>
                <patternFill>
                  <bgColor rgb="FF00B050"/>
                </patternFill>
              </fill>
            </x14:dxf>
          </x14:cfRule>
          <x14:cfRule type="expression" priority="3935" stopIfTrue="1" id="{B498674F-1FEC-4FAD-BFD5-3DBD4F105D8A}">
            <xm:f>AND(IF(Q318&lt;'F:\Users\norela.briceno\Documents\Plan de acción\Plan Accion 2018\[Plan Accion Integrado ADRES Vigencia 2018 con Cuadro de Mando V6..xlsx]Plan de Accion 2018'!#REF!,Q318&lt;&gt;"N/A"))</xm:f>
            <x14:dxf>
              <fill>
                <patternFill>
                  <bgColor indexed="10"/>
                </patternFill>
              </fill>
            </x14:dxf>
          </x14:cfRule>
          <xm:sqref>Q318</xm:sqref>
        </x14:conditionalFormatting>
        <x14:conditionalFormatting xmlns:xm="http://schemas.microsoft.com/office/excel/2006/main">
          <x14:cfRule type="expression" priority="3930" id="{F51134C6-05DA-4A48-947E-1E7E534D217B}">
            <xm:f>AND(IF(Q317&gt;'F:\Users\norela.briceno\Documents\Plan de acción\Plan Accion 2018\[Plan Accion Integrado ADRES Vigencia 2018 con Cuadro de Mando V6..xlsx]Plan de Accion 2018'!#REF!,Q317&lt;&gt;¨N/A¨))</xm:f>
            <x14:dxf>
              <fill>
                <patternFill>
                  <bgColor theme="1" tint="0.499984740745262"/>
                </patternFill>
              </fill>
            </x14:dxf>
          </x14:cfRule>
          <x14:cfRule type="expression" priority="3931" stopIfTrue="1" id="{3445E732-82BC-4AA7-A370-829CD2244B50}">
            <xm:f>AND(IF(Q317='F:\Users\norela.briceno\Documents\Plan de acción\Plan Accion 2018\[Plan Accion Integrado ADRES Vigencia 2018 con Cuadro de Mando V6..xlsx]Plan de Accion 2018'!#REF!,Q317&lt;&gt;"N/A"))</xm:f>
            <x14:dxf>
              <fill>
                <patternFill>
                  <bgColor rgb="FF00B050"/>
                </patternFill>
              </fill>
            </x14:dxf>
          </x14:cfRule>
          <x14:cfRule type="expression" priority="3932" stopIfTrue="1" id="{A6749D55-F6E6-4552-8D5F-76DAB851341C}">
            <xm:f>AND(IF(Q317&lt;'F:\Users\norela.briceno\Documents\Plan de acción\Plan Accion 2018\[Plan Accion Integrado ADRES Vigencia 2018 con Cuadro de Mando V6..xlsx]Plan de Accion 2018'!#REF!,Q317&lt;&gt;"N/A"))</xm:f>
            <x14:dxf>
              <fill>
                <patternFill>
                  <bgColor indexed="10"/>
                </patternFill>
              </fill>
            </x14:dxf>
          </x14:cfRule>
          <xm:sqref>Q317</xm:sqref>
        </x14:conditionalFormatting>
        <x14:conditionalFormatting xmlns:xm="http://schemas.microsoft.com/office/excel/2006/main">
          <x14:cfRule type="expression" priority="3927" id="{A0655581-DEA6-41BB-B61B-D1F3A98FDB14}">
            <xm:f>AND(IF(Q316&gt;'F:\Users\norela.briceno\Documents\Plan de acción\Plan Accion 2018\[Plan Accion Integrado ADRES Vigencia 2018 con Cuadro de Mando V6..xlsx]Plan de Accion 2018'!#REF!,Q316&lt;&gt;¨N/A¨))</xm:f>
            <x14:dxf>
              <fill>
                <patternFill>
                  <bgColor theme="1" tint="0.499984740745262"/>
                </patternFill>
              </fill>
            </x14:dxf>
          </x14:cfRule>
          <x14:cfRule type="expression" priority="3928" stopIfTrue="1" id="{412F8230-792B-4081-A90D-B03BB8F382FB}">
            <xm:f>AND(IF(Q316='F:\Users\norela.briceno\Documents\Plan de acción\Plan Accion 2018\[Plan Accion Integrado ADRES Vigencia 2018 con Cuadro de Mando V6..xlsx]Plan de Accion 2018'!#REF!,Q316&lt;&gt;"N/A"))</xm:f>
            <x14:dxf>
              <fill>
                <patternFill>
                  <bgColor rgb="FF00B050"/>
                </patternFill>
              </fill>
            </x14:dxf>
          </x14:cfRule>
          <x14:cfRule type="expression" priority="3929" stopIfTrue="1" id="{0C1C02C0-3B4D-4F7E-9CFA-FBD8B9CF3211}">
            <xm:f>AND(IF(Q316&lt;'F:\Users\norela.briceno\Documents\Plan de acción\Plan Accion 2018\[Plan Accion Integrado ADRES Vigencia 2018 con Cuadro de Mando V6..xlsx]Plan de Accion 2018'!#REF!,Q316&lt;&gt;"N/A"))</xm:f>
            <x14:dxf>
              <fill>
                <patternFill>
                  <bgColor indexed="10"/>
                </patternFill>
              </fill>
            </x14:dxf>
          </x14:cfRule>
          <xm:sqref>Q316</xm:sqref>
        </x14:conditionalFormatting>
        <x14:conditionalFormatting xmlns:xm="http://schemas.microsoft.com/office/excel/2006/main">
          <x14:cfRule type="expression" priority="3924" id="{DF0D15F6-3739-4884-BDF9-1EF4F07DB1C1}">
            <xm:f>AND(IF(Q315&gt;'F:\Users\norela.briceno\Documents\Plan de acción\Plan Accion 2018\[Plan Accion Integrado ADRES Vigencia 2018 con Cuadro de Mando V6..xlsx]Plan de Accion 2018'!#REF!,Q315&lt;&gt;¨N/A¨))</xm:f>
            <x14:dxf>
              <fill>
                <patternFill>
                  <bgColor theme="1" tint="0.499984740745262"/>
                </patternFill>
              </fill>
            </x14:dxf>
          </x14:cfRule>
          <x14:cfRule type="expression" priority="3925" stopIfTrue="1" id="{69A166E0-E0E3-4840-80EF-B679F9DE57B9}">
            <xm:f>AND(IF(Q315='F:\Users\norela.briceno\Documents\Plan de acción\Plan Accion 2018\[Plan Accion Integrado ADRES Vigencia 2018 con Cuadro de Mando V6..xlsx]Plan de Accion 2018'!#REF!,Q315&lt;&gt;"N/A"))</xm:f>
            <x14:dxf>
              <fill>
                <patternFill>
                  <bgColor rgb="FF00B050"/>
                </patternFill>
              </fill>
            </x14:dxf>
          </x14:cfRule>
          <x14:cfRule type="expression" priority="3926" stopIfTrue="1" id="{D52C24F5-05BB-4DEA-BD65-D029A4ECE89D}">
            <xm:f>AND(IF(Q315&lt;'F:\Users\norela.briceno\Documents\Plan de acción\Plan Accion 2018\[Plan Accion Integrado ADRES Vigencia 2018 con Cuadro de Mando V6..xlsx]Plan de Accion 2018'!#REF!,Q315&lt;&gt;"N/A"))</xm:f>
            <x14:dxf>
              <fill>
                <patternFill>
                  <bgColor indexed="10"/>
                </patternFill>
              </fill>
            </x14:dxf>
          </x14:cfRule>
          <xm:sqref>Q315</xm:sqref>
        </x14:conditionalFormatting>
        <x14:conditionalFormatting xmlns:xm="http://schemas.microsoft.com/office/excel/2006/main">
          <x14:cfRule type="expression" priority="3921" id="{2F586408-4876-4171-BDDE-8390B161355A}">
            <xm:f>AND(IF(Q314&gt;'F:\Users\norela.briceno\Documents\Plan de acción\Plan Accion 2018\[Plan Accion Integrado ADRES Vigencia 2018 con Cuadro de Mando V6..xlsx]Plan de Accion 2018'!#REF!,Q314&lt;&gt;¨N/A¨))</xm:f>
            <x14:dxf>
              <fill>
                <patternFill>
                  <bgColor theme="1" tint="0.499984740745262"/>
                </patternFill>
              </fill>
            </x14:dxf>
          </x14:cfRule>
          <x14:cfRule type="expression" priority="3922" stopIfTrue="1" id="{E1327235-833F-4D83-8E33-62C7E8A59F46}">
            <xm:f>AND(IF(Q314='F:\Users\norela.briceno\Documents\Plan de acción\Plan Accion 2018\[Plan Accion Integrado ADRES Vigencia 2018 con Cuadro de Mando V6..xlsx]Plan de Accion 2018'!#REF!,Q314&lt;&gt;"N/A"))</xm:f>
            <x14:dxf>
              <fill>
                <patternFill>
                  <bgColor rgb="FF00B050"/>
                </patternFill>
              </fill>
            </x14:dxf>
          </x14:cfRule>
          <x14:cfRule type="expression" priority="3923" stopIfTrue="1" id="{231B723D-A7BF-41DF-B8C1-FF34425F9134}">
            <xm:f>AND(IF(Q314&lt;'F:\Users\norela.briceno\Documents\Plan de acción\Plan Accion 2018\[Plan Accion Integrado ADRES Vigencia 2018 con Cuadro de Mando V6..xlsx]Plan de Accion 2018'!#REF!,Q314&lt;&gt;"N/A"))</xm:f>
            <x14:dxf>
              <fill>
                <patternFill>
                  <bgColor indexed="10"/>
                </patternFill>
              </fill>
            </x14:dxf>
          </x14:cfRule>
          <xm:sqref>Q314</xm:sqref>
        </x14:conditionalFormatting>
        <x14:conditionalFormatting xmlns:xm="http://schemas.microsoft.com/office/excel/2006/main">
          <x14:cfRule type="expression" priority="3918" id="{5E813BAB-CFAB-4179-BBE2-296AFFC6DA4D}">
            <xm:f>AND(IF(Q313&gt;'F:\Users\norela.briceno\Documents\Plan de acción\Plan Accion 2018\[Plan Accion Integrado ADRES Vigencia 2018 con Cuadro de Mando V6..xlsx]Plan de Accion 2018'!#REF!,Q313&lt;&gt;¨N/A¨))</xm:f>
            <x14:dxf>
              <fill>
                <patternFill>
                  <bgColor theme="1" tint="0.499984740745262"/>
                </patternFill>
              </fill>
            </x14:dxf>
          </x14:cfRule>
          <x14:cfRule type="expression" priority="3919" stopIfTrue="1" id="{FB6105E7-5FED-4752-94D3-1374279B44AC}">
            <xm:f>AND(IF(Q313='F:\Users\norela.briceno\Documents\Plan de acción\Plan Accion 2018\[Plan Accion Integrado ADRES Vigencia 2018 con Cuadro de Mando V6..xlsx]Plan de Accion 2018'!#REF!,Q313&lt;&gt;"N/A"))</xm:f>
            <x14:dxf>
              <fill>
                <patternFill>
                  <bgColor rgb="FF00B050"/>
                </patternFill>
              </fill>
            </x14:dxf>
          </x14:cfRule>
          <x14:cfRule type="expression" priority="3920" stopIfTrue="1" id="{FBD84052-4CFD-4227-96A0-35913DA32085}">
            <xm:f>AND(IF(Q313&lt;'F:\Users\norela.briceno\Documents\Plan de acción\Plan Accion 2018\[Plan Accion Integrado ADRES Vigencia 2018 con Cuadro de Mando V6..xlsx]Plan de Accion 2018'!#REF!,Q313&lt;&gt;"N/A"))</xm:f>
            <x14:dxf>
              <fill>
                <patternFill>
                  <bgColor indexed="10"/>
                </patternFill>
              </fill>
            </x14:dxf>
          </x14:cfRule>
          <xm:sqref>Q313</xm:sqref>
        </x14:conditionalFormatting>
        <x14:conditionalFormatting xmlns:xm="http://schemas.microsoft.com/office/excel/2006/main">
          <x14:cfRule type="expression" priority="3915" id="{F4D04534-4233-4EE5-B679-59FB67D39C57}">
            <xm:f>AND(IF(Q312&gt;'F:\Users\norela.briceno\Documents\Plan de acción\Plan Accion 2018\[Plan Accion Integrado ADRES Vigencia 2018 con Cuadro de Mando V6..xlsx]Plan de Accion 2018'!#REF!,Q312&lt;&gt;¨N/A¨))</xm:f>
            <x14:dxf>
              <fill>
                <patternFill>
                  <bgColor theme="1" tint="0.499984740745262"/>
                </patternFill>
              </fill>
            </x14:dxf>
          </x14:cfRule>
          <x14:cfRule type="expression" priority="3916" stopIfTrue="1" id="{D2BE57C6-F612-40D5-9437-FC47EBDF96C0}">
            <xm:f>AND(IF(Q312='F:\Users\norela.briceno\Documents\Plan de acción\Plan Accion 2018\[Plan Accion Integrado ADRES Vigencia 2018 con Cuadro de Mando V6..xlsx]Plan de Accion 2018'!#REF!,Q312&lt;&gt;"N/A"))</xm:f>
            <x14:dxf>
              <fill>
                <patternFill>
                  <bgColor rgb="FF00B050"/>
                </patternFill>
              </fill>
            </x14:dxf>
          </x14:cfRule>
          <x14:cfRule type="expression" priority="3917" stopIfTrue="1" id="{30C8C007-9554-4A3B-B32D-BC7FF6A72E55}">
            <xm:f>AND(IF(Q312&lt;'F:\Users\norela.briceno\Documents\Plan de acción\Plan Accion 2018\[Plan Accion Integrado ADRES Vigencia 2018 con Cuadro de Mando V6..xlsx]Plan de Accion 2018'!#REF!,Q312&lt;&gt;"N/A"))</xm:f>
            <x14:dxf>
              <fill>
                <patternFill>
                  <bgColor indexed="10"/>
                </patternFill>
              </fill>
            </x14:dxf>
          </x14:cfRule>
          <xm:sqref>Q312</xm:sqref>
        </x14:conditionalFormatting>
        <x14:conditionalFormatting xmlns:xm="http://schemas.microsoft.com/office/excel/2006/main">
          <x14:cfRule type="expression" priority="3912" id="{CE39ECD4-818F-4457-882A-5D9B07DF7FA2}">
            <xm:f>AND(IF(Q311&gt;'F:\Users\norela.briceno\Documents\Plan de acción\Plan Accion 2018\[Plan Accion Integrado ADRES Vigencia 2018 con Cuadro de Mando V6..xlsx]Plan de Accion 2018'!#REF!,Q311&lt;&gt;¨N/A¨))</xm:f>
            <x14:dxf>
              <fill>
                <patternFill>
                  <bgColor theme="1" tint="0.499984740745262"/>
                </patternFill>
              </fill>
            </x14:dxf>
          </x14:cfRule>
          <x14:cfRule type="expression" priority="3913" stopIfTrue="1" id="{6B8F79EB-1A30-4FD1-A2DE-754E6CEB7DD9}">
            <xm:f>AND(IF(Q311='F:\Users\norela.briceno\Documents\Plan de acción\Plan Accion 2018\[Plan Accion Integrado ADRES Vigencia 2018 con Cuadro de Mando V6..xlsx]Plan de Accion 2018'!#REF!,Q311&lt;&gt;"N/A"))</xm:f>
            <x14:dxf>
              <fill>
                <patternFill>
                  <bgColor rgb="FF00B050"/>
                </patternFill>
              </fill>
            </x14:dxf>
          </x14:cfRule>
          <x14:cfRule type="expression" priority="3914" stopIfTrue="1" id="{A2545940-2C01-454F-B03E-55F5226AD51F}">
            <xm:f>AND(IF(Q311&lt;'F:\Users\norela.briceno\Documents\Plan de acción\Plan Accion 2018\[Plan Accion Integrado ADRES Vigencia 2018 con Cuadro de Mando V6..xlsx]Plan de Accion 2018'!#REF!,Q311&lt;&gt;"N/A"))</xm:f>
            <x14:dxf>
              <fill>
                <patternFill>
                  <bgColor indexed="10"/>
                </patternFill>
              </fill>
            </x14:dxf>
          </x14:cfRule>
          <xm:sqref>Q311</xm:sqref>
        </x14:conditionalFormatting>
        <x14:conditionalFormatting xmlns:xm="http://schemas.microsoft.com/office/excel/2006/main">
          <x14:cfRule type="expression" priority="3909" id="{339DBA48-3968-48AB-8182-22EBCDAF47E4}">
            <xm:f>AND(IF(Q310&gt;'F:\Users\norela.briceno\Documents\Plan de acción\Plan Accion 2018\[Plan Accion Integrado ADRES Vigencia 2018 con Cuadro de Mando V6..xlsx]Plan de Accion 2018'!#REF!,Q310&lt;&gt;¨N/A¨))</xm:f>
            <x14:dxf>
              <fill>
                <patternFill>
                  <bgColor theme="1" tint="0.499984740745262"/>
                </patternFill>
              </fill>
            </x14:dxf>
          </x14:cfRule>
          <x14:cfRule type="expression" priority="3910" stopIfTrue="1" id="{1527EA26-912E-48C2-BD74-4C9670F86E2B}">
            <xm:f>AND(IF(Q310='F:\Users\norela.briceno\Documents\Plan de acción\Plan Accion 2018\[Plan Accion Integrado ADRES Vigencia 2018 con Cuadro de Mando V6..xlsx]Plan de Accion 2018'!#REF!,Q310&lt;&gt;"N/A"))</xm:f>
            <x14:dxf>
              <fill>
                <patternFill>
                  <bgColor rgb="FF00B050"/>
                </patternFill>
              </fill>
            </x14:dxf>
          </x14:cfRule>
          <x14:cfRule type="expression" priority="3911" stopIfTrue="1" id="{8F824863-50E2-46F5-ADA2-1A065BEC9A78}">
            <xm:f>AND(IF(Q310&lt;'F:\Users\norela.briceno\Documents\Plan de acción\Plan Accion 2018\[Plan Accion Integrado ADRES Vigencia 2018 con Cuadro de Mando V6..xlsx]Plan de Accion 2018'!#REF!,Q310&lt;&gt;"N/A"))</xm:f>
            <x14:dxf>
              <fill>
                <patternFill>
                  <bgColor indexed="10"/>
                </patternFill>
              </fill>
            </x14:dxf>
          </x14:cfRule>
          <xm:sqref>Q310</xm:sqref>
        </x14:conditionalFormatting>
        <x14:conditionalFormatting xmlns:xm="http://schemas.microsoft.com/office/excel/2006/main">
          <x14:cfRule type="expression" priority="3906" id="{629B2119-3616-4811-93C2-E10A58EAA988}">
            <xm:f>AND(IF(Q309&gt;'F:\Users\norela.briceno\Documents\Plan de acción\Plan Accion 2018\[Plan Accion Integrado ADRES Vigencia 2018 con Cuadro de Mando V6..xlsx]Plan de Accion 2018'!#REF!,Q309&lt;&gt;¨N/A¨))</xm:f>
            <x14:dxf>
              <fill>
                <patternFill>
                  <bgColor theme="1" tint="0.499984740745262"/>
                </patternFill>
              </fill>
            </x14:dxf>
          </x14:cfRule>
          <x14:cfRule type="expression" priority="3907" stopIfTrue="1" id="{39EBF56C-1F6C-40DA-8E93-E369D99879CC}">
            <xm:f>AND(IF(Q309='F:\Users\norela.briceno\Documents\Plan de acción\Plan Accion 2018\[Plan Accion Integrado ADRES Vigencia 2018 con Cuadro de Mando V6..xlsx]Plan de Accion 2018'!#REF!,Q309&lt;&gt;"N/A"))</xm:f>
            <x14:dxf>
              <fill>
                <patternFill>
                  <bgColor rgb="FF00B050"/>
                </patternFill>
              </fill>
            </x14:dxf>
          </x14:cfRule>
          <x14:cfRule type="expression" priority="3908" stopIfTrue="1" id="{6522A9CF-2DC0-419F-B98F-F0B761953E84}">
            <xm:f>AND(IF(Q309&lt;'F:\Users\norela.briceno\Documents\Plan de acción\Plan Accion 2018\[Plan Accion Integrado ADRES Vigencia 2018 con Cuadro de Mando V6..xlsx]Plan de Accion 2018'!#REF!,Q309&lt;&gt;"N/A"))</xm:f>
            <x14:dxf>
              <fill>
                <patternFill>
                  <bgColor indexed="10"/>
                </patternFill>
              </fill>
            </x14:dxf>
          </x14:cfRule>
          <xm:sqref>Q309</xm:sqref>
        </x14:conditionalFormatting>
        <x14:conditionalFormatting xmlns:xm="http://schemas.microsoft.com/office/excel/2006/main">
          <x14:cfRule type="expression" priority="3903" id="{EC215BAD-74CE-4B46-BD57-BA25A343D0FF}">
            <xm:f>AND(IF(Q308&gt;'F:\Users\norela.briceno\Documents\Plan de acción\Plan Accion 2018\[Plan Accion Integrado ADRES Vigencia 2018 con Cuadro de Mando V6..xlsx]Plan de Accion 2018'!#REF!,Q308&lt;&gt;¨N/A¨))</xm:f>
            <x14:dxf>
              <fill>
                <patternFill>
                  <bgColor theme="1" tint="0.499984740745262"/>
                </patternFill>
              </fill>
            </x14:dxf>
          </x14:cfRule>
          <x14:cfRule type="expression" priority="3904" stopIfTrue="1" id="{A11A15C1-BF24-499C-B987-9EE46106C759}">
            <xm:f>AND(IF(Q308='F:\Users\norela.briceno\Documents\Plan de acción\Plan Accion 2018\[Plan Accion Integrado ADRES Vigencia 2018 con Cuadro de Mando V6..xlsx]Plan de Accion 2018'!#REF!,Q308&lt;&gt;"N/A"))</xm:f>
            <x14:dxf>
              <fill>
                <patternFill>
                  <bgColor rgb="FF00B050"/>
                </patternFill>
              </fill>
            </x14:dxf>
          </x14:cfRule>
          <x14:cfRule type="expression" priority="3905" stopIfTrue="1" id="{D867A8B7-430D-4D54-8AD4-9D1B22BD0F1E}">
            <xm:f>AND(IF(Q308&lt;'F:\Users\norela.briceno\Documents\Plan de acción\Plan Accion 2018\[Plan Accion Integrado ADRES Vigencia 2018 con Cuadro de Mando V6..xlsx]Plan de Accion 2018'!#REF!,Q308&lt;&gt;"N/A"))</xm:f>
            <x14:dxf>
              <fill>
                <patternFill>
                  <bgColor indexed="10"/>
                </patternFill>
              </fill>
            </x14:dxf>
          </x14:cfRule>
          <xm:sqref>Q308</xm:sqref>
        </x14:conditionalFormatting>
        <x14:conditionalFormatting xmlns:xm="http://schemas.microsoft.com/office/excel/2006/main">
          <x14:cfRule type="expression" priority="3900" id="{CBA8902D-B5F8-4878-990F-C22E57FCD105}">
            <xm:f>AND(IF(Q307&gt;'F:\Users\norela.briceno\Documents\Plan de acción\Plan Accion 2018\[Plan Accion Integrado ADRES Vigencia 2018 con Cuadro de Mando V6..xlsx]Plan de Accion 2018'!#REF!,Q307&lt;&gt;¨N/A¨))</xm:f>
            <x14:dxf>
              <fill>
                <patternFill>
                  <bgColor theme="1" tint="0.499984740745262"/>
                </patternFill>
              </fill>
            </x14:dxf>
          </x14:cfRule>
          <x14:cfRule type="expression" priority="3901" stopIfTrue="1" id="{001102EA-C33C-4383-B312-DBE34FFCC61D}">
            <xm:f>AND(IF(Q307='F:\Users\norela.briceno\Documents\Plan de acción\Plan Accion 2018\[Plan Accion Integrado ADRES Vigencia 2018 con Cuadro de Mando V6..xlsx]Plan de Accion 2018'!#REF!,Q307&lt;&gt;"N/A"))</xm:f>
            <x14:dxf>
              <fill>
                <patternFill>
                  <bgColor rgb="FF00B050"/>
                </patternFill>
              </fill>
            </x14:dxf>
          </x14:cfRule>
          <x14:cfRule type="expression" priority="3902" stopIfTrue="1" id="{6956BE61-4C30-47C7-97AC-8D4A9DD3AE56}">
            <xm:f>AND(IF(Q307&lt;'F:\Users\norela.briceno\Documents\Plan de acción\Plan Accion 2018\[Plan Accion Integrado ADRES Vigencia 2018 con Cuadro de Mando V6..xlsx]Plan de Accion 2018'!#REF!,Q307&lt;&gt;"N/A"))</xm:f>
            <x14:dxf>
              <fill>
                <patternFill>
                  <bgColor indexed="10"/>
                </patternFill>
              </fill>
            </x14:dxf>
          </x14:cfRule>
          <xm:sqref>Q307</xm:sqref>
        </x14:conditionalFormatting>
        <x14:conditionalFormatting xmlns:xm="http://schemas.microsoft.com/office/excel/2006/main">
          <x14:cfRule type="expression" priority="3897" id="{1CF7E5CE-0229-42B1-BD02-CF78083ED6F0}">
            <xm:f>AND(IF(Q306&gt;'F:\Users\norela.briceno\Documents\Plan de acción\Plan Accion 2018\[Plan Accion Integrado ADRES Vigencia 2018 con Cuadro de Mando V6..xlsx]Plan de Accion 2018'!#REF!,Q306&lt;&gt;¨N/A¨))</xm:f>
            <x14:dxf>
              <fill>
                <patternFill>
                  <bgColor theme="1" tint="0.499984740745262"/>
                </patternFill>
              </fill>
            </x14:dxf>
          </x14:cfRule>
          <x14:cfRule type="expression" priority="3898" stopIfTrue="1" id="{A8EDFA31-5282-41BA-8F49-08014DDF273C}">
            <xm:f>AND(IF(Q306='F:\Users\norela.briceno\Documents\Plan de acción\Plan Accion 2018\[Plan Accion Integrado ADRES Vigencia 2018 con Cuadro de Mando V6..xlsx]Plan de Accion 2018'!#REF!,Q306&lt;&gt;"N/A"))</xm:f>
            <x14:dxf>
              <fill>
                <patternFill>
                  <bgColor rgb="FF00B050"/>
                </patternFill>
              </fill>
            </x14:dxf>
          </x14:cfRule>
          <x14:cfRule type="expression" priority="3899" stopIfTrue="1" id="{E1B69B8D-1B49-40EE-80BD-00E5EA5366FD}">
            <xm:f>AND(IF(Q306&lt;'F:\Users\norela.briceno\Documents\Plan de acción\Plan Accion 2018\[Plan Accion Integrado ADRES Vigencia 2018 con Cuadro de Mando V6..xlsx]Plan de Accion 2018'!#REF!,Q306&lt;&gt;"N/A"))</xm:f>
            <x14:dxf>
              <fill>
                <patternFill>
                  <bgColor indexed="10"/>
                </patternFill>
              </fill>
            </x14:dxf>
          </x14:cfRule>
          <xm:sqref>Q306</xm:sqref>
        </x14:conditionalFormatting>
        <x14:conditionalFormatting xmlns:xm="http://schemas.microsoft.com/office/excel/2006/main">
          <x14:cfRule type="expression" priority="3894" id="{D001B3AF-A742-4CC9-8ADE-FAF3B70A50B9}">
            <xm:f>AND(IF(Q293&gt;'F:\Users\norela.briceno\Documents\Plan de acción\Plan Accion 2018\[Plan Accion Integrado ADRES Vigencia 2018 con Cuadro de Mando V6..xlsx]Plan de Accion 2018'!#REF!,Q293&lt;&gt;¨N/A¨))</xm:f>
            <x14:dxf>
              <fill>
                <patternFill>
                  <bgColor theme="1" tint="0.499984740745262"/>
                </patternFill>
              </fill>
            </x14:dxf>
          </x14:cfRule>
          <x14:cfRule type="expression" priority="3895" stopIfTrue="1" id="{DAEAB4D4-0B75-4EB8-A85A-9A586FC7D190}">
            <xm:f>AND(IF(Q293='F:\Users\norela.briceno\Documents\Plan de acción\Plan Accion 2018\[Plan Accion Integrado ADRES Vigencia 2018 con Cuadro de Mando V6..xlsx]Plan de Accion 2018'!#REF!,Q293&lt;&gt;"N/A"))</xm:f>
            <x14:dxf>
              <fill>
                <patternFill>
                  <bgColor rgb="FF00B050"/>
                </patternFill>
              </fill>
            </x14:dxf>
          </x14:cfRule>
          <x14:cfRule type="expression" priority="3896" stopIfTrue="1" id="{18ADDED9-EAEF-4FD7-AB9D-550DC0E5AEF5}">
            <xm:f>AND(IF(Q293&lt;'F:\Users\norela.briceno\Documents\Plan de acción\Plan Accion 2018\[Plan Accion Integrado ADRES Vigencia 2018 con Cuadro de Mando V6..xlsx]Plan de Accion 2018'!#REF!,Q293&lt;&gt;"N/A"))</xm:f>
            <x14:dxf>
              <fill>
                <patternFill>
                  <bgColor indexed="10"/>
                </patternFill>
              </fill>
            </x14:dxf>
          </x14:cfRule>
          <xm:sqref>Q293</xm:sqref>
        </x14:conditionalFormatting>
        <x14:conditionalFormatting xmlns:xm="http://schemas.microsoft.com/office/excel/2006/main">
          <x14:cfRule type="expression" priority="3891" id="{1BA629DF-D098-47A8-AED2-B99E9E24792C}">
            <xm:f>AND(IF(Q294&gt;'F:\Users\norela.briceno\Documents\Plan de acción\Plan Accion 2018\[Plan Accion Integrado ADRES Vigencia 2018 con Cuadro de Mando V6..xlsx]Plan de Accion 2018'!#REF!,Q294&lt;&gt;¨N/A¨))</xm:f>
            <x14:dxf>
              <fill>
                <patternFill>
                  <bgColor theme="1" tint="0.499984740745262"/>
                </patternFill>
              </fill>
            </x14:dxf>
          </x14:cfRule>
          <x14:cfRule type="expression" priority="3892" stopIfTrue="1" id="{C5E87288-9EDD-44C8-8732-E3C3D4B3F804}">
            <xm:f>AND(IF(Q294='F:\Users\norela.briceno\Documents\Plan de acción\Plan Accion 2018\[Plan Accion Integrado ADRES Vigencia 2018 con Cuadro de Mando V6..xlsx]Plan de Accion 2018'!#REF!,Q294&lt;&gt;"N/A"))</xm:f>
            <x14:dxf>
              <fill>
                <patternFill>
                  <bgColor rgb="FF00B050"/>
                </patternFill>
              </fill>
            </x14:dxf>
          </x14:cfRule>
          <x14:cfRule type="expression" priority="3893" stopIfTrue="1" id="{ADFA4F46-2B57-4C78-8C44-342DFEBC7823}">
            <xm:f>AND(IF(Q294&lt;'F:\Users\norela.briceno\Documents\Plan de acción\Plan Accion 2018\[Plan Accion Integrado ADRES Vigencia 2018 con Cuadro de Mando V6..xlsx]Plan de Accion 2018'!#REF!,Q294&lt;&gt;"N/A"))</xm:f>
            <x14:dxf>
              <fill>
                <patternFill>
                  <bgColor indexed="10"/>
                </patternFill>
              </fill>
            </x14:dxf>
          </x14:cfRule>
          <xm:sqref>Q294</xm:sqref>
        </x14:conditionalFormatting>
        <x14:conditionalFormatting xmlns:xm="http://schemas.microsoft.com/office/excel/2006/main">
          <x14:cfRule type="expression" priority="3888" id="{F66FB7F0-D91C-4E7C-90E8-6DE049EE4C91}">
            <xm:f>AND(IF(Q295&gt;'F:\Users\norela.briceno\Documents\Plan de acción\Plan Accion 2018\[Plan Accion Integrado ADRES Vigencia 2018 con Cuadro de Mando V6..xlsx]Plan de Accion 2018'!#REF!,Q295&lt;&gt;¨N/A¨))</xm:f>
            <x14:dxf>
              <fill>
                <patternFill>
                  <bgColor theme="1" tint="0.499984740745262"/>
                </patternFill>
              </fill>
            </x14:dxf>
          </x14:cfRule>
          <x14:cfRule type="expression" priority="3889" stopIfTrue="1" id="{D1AF330E-877A-475E-8D55-18444C452D2D}">
            <xm:f>AND(IF(Q295='F:\Users\norela.briceno\Documents\Plan de acción\Plan Accion 2018\[Plan Accion Integrado ADRES Vigencia 2018 con Cuadro de Mando V6..xlsx]Plan de Accion 2018'!#REF!,Q295&lt;&gt;"N/A"))</xm:f>
            <x14:dxf>
              <fill>
                <patternFill>
                  <bgColor rgb="FF00B050"/>
                </patternFill>
              </fill>
            </x14:dxf>
          </x14:cfRule>
          <x14:cfRule type="expression" priority="3890" stopIfTrue="1" id="{3DE237D6-406A-447F-B189-94BF06F670DF}">
            <xm:f>AND(IF(Q295&lt;'F:\Users\norela.briceno\Documents\Plan de acción\Plan Accion 2018\[Plan Accion Integrado ADRES Vigencia 2018 con Cuadro de Mando V6..xlsx]Plan de Accion 2018'!#REF!,Q295&lt;&gt;"N/A"))</xm:f>
            <x14:dxf>
              <fill>
                <patternFill>
                  <bgColor indexed="10"/>
                </patternFill>
              </fill>
            </x14:dxf>
          </x14:cfRule>
          <xm:sqref>Q295</xm:sqref>
        </x14:conditionalFormatting>
        <x14:conditionalFormatting xmlns:xm="http://schemas.microsoft.com/office/excel/2006/main">
          <x14:cfRule type="expression" priority="3885" id="{6D4C97DB-DD5D-42D2-B045-50DF0C7E7BED}">
            <xm:f>AND(IF(Q296&gt;'F:\Users\norela.briceno\Documents\Plan de acción\Plan Accion 2018\[Plan Accion Integrado ADRES Vigencia 2018 con Cuadro de Mando V6..xlsx]Plan de Accion 2018'!#REF!,Q296&lt;&gt;¨N/A¨))</xm:f>
            <x14:dxf>
              <fill>
                <patternFill>
                  <bgColor theme="1" tint="0.499984740745262"/>
                </patternFill>
              </fill>
            </x14:dxf>
          </x14:cfRule>
          <x14:cfRule type="expression" priority="3886" stopIfTrue="1" id="{D9C86263-31C5-4FB5-8670-534D22B1978A}">
            <xm:f>AND(IF(Q296='F:\Users\norela.briceno\Documents\Plan de acción\Plan Accion 2018\[Plan Accion Integrado ADRES Vigencia 2018 con Cuadro de Mando V6..xlsx]Plan de Accion 2018'!#REF!,Q296&lt;&gt;"N/A"))</xm:f>
            <x14:dxf>
              <fill>
                <patternFill>
                  <bgColor rgb="FF00B050"/>
                </patternFill>
              </fill>
            </x14:dxf>
          </x14:cfRule>
          <x14:cfRule type="expression" priority="3887" stopIfTrue="1" id="{F7F46DA2-C3F8-4713-B491-1DD72F23ECAA}">
            <xm:f>AND(IF(Q296&lt;'F:\Users\norela.briceno\Documents\Plan de acción\Plan Accion 2018\[Plan Accion Integrado ADRES Vigencia 2018 con Cuadro de Mando V6..xlsx]Plan de Accion 2018'!#REF!,Q296&lt;&gt;"N/A"))</xm:f>
            <x14:dxf>
              <fill>
                <patternFill>
                  <bgColor indexed="10"/>
                </patternFill>
              </fill>
            </x14:dxf>
          </x14:cfRule>
          <xm:sqref>Q296</xm:sqref>
        </x14:conditionalFormatting>
        <x14:conditionalFormatting xmlns:xm="http://schemas.microsoft.com/office/excel/2006/main">
          <x14:cfRule type="expression" priority="3882" id="{AED4811B-DC78-4451-B079-29CDBFD1EBCF}">
            <xm:f>AND(IF(Q297&gt;'F:\Users\norela.briceno\Documents\Plan de acción\Plan Accion 2018\[Plan Accion Integrado ADRES Vigencia 2018 con Cuadro de Mando V6..xlsx]Plan de Accion 2018'!#REF!,Q297&lt;&gt;¨N/A¨))</xm:f>
            <x14:dxf>
              <fill>
                <patternFill>
                  <bgColor theme="1" tint="0.499984740745262"/>
                </patternFill>
              </fill>
            </x14:dxf>
          </x14:cfRule>
          <x14:cfRule type="expression" priority="3883" stopIfTrue="1" id="{8D977F3F-F75B-4D2D-BB3C-8CD06C41AD37}">
            <xm:f>AND(IF(Q297='F:\Users\norela.briceno\Documents\Plan de acción\Plan Accion 2018\[Plan Accion Integrado ADRES Vigencia 2018 con Cuadro de Mando V6..xlsx]Plan de Accion 2018'!#REF!,Q297&lt;&gt;"N/A"))</xm:f>
            <x14:dxf>
              <fill>
                <patternFill>
                  <bgColor rgb="FF00B050"/>
                </patternFill>
              </fill>
            </x14:dxf>
          </x14:cfRule>
          <x14:cfRule type="expression" priority="3884" stopIfTrue="1" id="{107C3E0D-8C5B-4688-9F28-F702C8DE0EE0}">
            <xm:f>AND(IF(Q297&lt;'F:\Users\norela.briceno\Documents\Plan de acción\Plan Accion 2018\[Plan Accion Integrado ADRES Vigencia 2018 con Cuadro de Mando V6..xlsx]Plan de Accion 2018'!#REF!,Q297&lt;&gt;"N/A"))</xm:f>
            <x14:dxf>
              <fill>
                <patternFill>
                  <bgColor indexed="10"/>
                </patternFill>
              </fill>
            </x14:dxf>
          </x14:cfRule>
          <xm:sqref>Q297</xm:sqref>
        </x14:conditionalFormatting>
        <x14:conditionalFormatting xmlns:xm="http://schemas.microsoft.com/office/excel/2006/main">
          <x14:cfRule type="expression" priority="3879" id="{C076C11C-6F27-4A31-BD9D-D76B7241ED11}">
            <xm:f>AND(IF(Q298&gt;'F:\Users\norela.briceno\Documents\Plan de acción\Plan Accion 2018\[Plan Accion Integrado ADRES Vigencia 2018 con Cuadro de Mando V6..xlsx]Plan de Accion 2018'!#REF!,Q298&lt;&gt;¨N/A¨))</xm:f>
            <x14:dxf>
              <fill>
                <patternFill>
                  <bgColor theme="1" tint="0.499984740745262"/>
                </patternFill>
              </fill>
            </x14:dxf>
          </x14:cfRule>
          <x14:cfRule type="expression" priority="3880" stopIfTrue="1" id="{AD069A11-BBD9-47C0-93B6-5C910CE5B506}">
            <xm:f>AND(IF(Q298='F:\Users\norela.briceno\Documents\Plan de acción\Plan Accion 2018\[Plan Accion Integrado ADRES Vigencia 2018 con Cuadro de Mando V6..xlsx]Plan de Accion 2018'!#REF!,Q298&lt;&gt;"N/A"))</xm:f>
            <x14:dxf>
              <fill>
                <patternFill>
                  <bgColor rgb="FF00B050"/>
                </patternFill>
              </fill>
            </x14:dxf>
          </x14:cfRule>
          <x14:cfRule type="expression" priority="3881" stopIfTrue="1" id="{612AEF15-7C4A-4335-BD6F-7E01486E5FFC}">
            <xm:f>AND(IF(Q298&lt;'F:\Users\norela.briceno\Documents\Plan de acción\Plan Accion 2018\[Plan Accion Integrado ADRES Vigencia 2018 con Cuadro de Mando V6..xlsx]Plan de Accion 2018'!#REF!,Q298&lt;&gt;"N/A"))</xm:f>
            <x14:dxf>
              <fill>
                <patternFill>
                  <bgColor indexed="10"/>
                </patternFill>
              </fill>
            </x14:dxf>
          </x14:cfRule>
          <xm:sqref>Q298</xm:sqref>
        </x14:conditionalFormatting>
        <x14:conditionalFormatting xmlns:xm="http://schemas.microsoft.com/office/excel/2006/main">
          <x14:cfRule type="expression" priority="3876" id="{6AEC11B5-A80D-47D6-96D7-DD3D6800726D}">
            <xm:f>AND(IF(Q299&gt;'F:\Users\norela.briceno\Documents\Plan de acción\Plan Accion 2018\[Plan Accion Integrado ADRES Vigencia 2018 con Cuadro de Mando V6..xlsx]Plan de Accion 2018'!#REF!,Q299&lt;&gt;¨N/A¨))</xm:f>
            <x14:dxf>
              <fill>
                <patternFill>
                  <bgColor theme="1" tint="0.499984740745262"/>
                </patternFill>
              </fill>
            </x14:dxf>
          </x14:cfRule>
          <x14:cfRule type="expression" priority="3877" stopIfTrue="1" id="{51B08F18-41D3-4E14-A638-FF5A8B6C74B1}">
            <xm:f>AND(IF(Q299='F:\Users\norela.briceno\Documents\Plan de acción\Plan Accion 2018\[Plan Accion Integrado ADRES Vigencia 2018 con Cuadro de Mando V6..xlsx]Plan de Accion 2018'!#REF!,Q299&lt;&gt;"N/A"))</xm:f>
            <x14:dxf>
              <fill>
                <patternFill>
                  <bgColor rgb="FF00B050"/>
                </patternFill>
              </fill>
            </x14:dxf>
          </x14:cfRule>
          <x14:cfRule type="expression" priority="3878" stopIfTrue="1" id="{B1D06204-B8BE-4449-BAB7-57BFB5D051CB}">
            <xm:f>AND(IF(Q299&lt;'F:\Users\norela.briceno\Documents\Plan de acción\Plan Accion 2018\[Plan Accion Integrado ADRES Vigencia 2018 con Cuadro de Mando V6..xlsx]Plan de Accion 2018'!#REF!,Q299&lt;&gt;"N/A"))</xm:f>
            <x14:dxf>
              <fill>
                <patternFill>
                  <bgColor indexed="10"/>
                </patternFill>
              </fill>
            </x14:dxf>
          </x14:cfRule>
          <xm:sqref>Q299</xm:sqref>
        </x14:conditionalFormatting>
        <x14:conditionalFormatting xmlns:xm="http://schemas.microsoft.com/office/excel/2006/main">
          <x14:cfRule type="expression" priority="3873" id="{77E1542C-3C3C-4103-B660-3F639AE6CC23}">
            <xm:f>AND(IF(Q300&gt;'F:\Users\norela.briceno\Documents\Plan de acción\Plan Accion 2018\[Plan Accion Integrado ADRES Vigencia 2018 con Cuadro de Mando V6..xlsx]Plan de Accion 2018'!#REF!,Q300&lt;&gt;¨N/A¨))</xm:f>
            <x14:dxf>
              <fill>
                <patternFill>
                  <bgColor theme="1" tint="0.499984740745262"/>
                </patternFill>
              </fill>
            </x14:dxf>
          </x14:cfRule>
          <x14:cfRule type="expression" priority="3874" stopIfTrue="1" id="{4AF4D65C-AC8B-4473-8210-3166FADCD32B}">
            <xm:f>AND(IF(Q300='F:\Users\norela.briceno\Documents\Plan de acción\Plan Accion 2018\[Plan Accion Integrado ADRES Vigencia 2018 con Cuadro de Mando V6..xlsx]Plan de Accion 2018'!#REF!,Q300&lt;&gt;"N/A"))</xm:f>
            <x14:dxf>
              <fill>
                <patternFill>
                  <bgColor rgb="FF00B050"/>
                </patternFill>
              </fill>
            </x14:dxf>
          </x14:cfRule>
          <x14:cfRule type="expression" priority="3875" stopIfTrue="1" id="{6A32C9AD-F02F-4ACC-9044-3D7E275A92AD}">
            <xm:f>AND(IF(Q300&lt;'F:\Users\norela.briceno\Documents\Plan de acción\Plan Accion 2018\[Plan Accion Integrado ADRES Vigencia 2018 con Cuadro de Mando V6..xlsx]Plan de Accion 2018'!#REF!,Q300&lt;&gt;"N/A"))</xm:f>
            <x14:dxf>
              <fill>
                <patternFill>
                  <bgColor indexed="10"/>
                </patternFill>
              </fill>
            </x14:dxf>
          </x14:cfRule>
          <xm:sqref>Q300</xm:sqref>
        </x14:conditionalFormatting>
        <x14:conditionalFormatting xmlns:xm="http://schemas.microsoft.com/office/excel/2006/main">
          <x14:cfRule type="expression" priority="3870" id="{C8095B28-4682-40EE-9AA5-4D33F3DB7846}">
            <xm:f>AND(IF(Q301&gt;'F:\Users\norela.briceno\Documents\Plan de acción\Plan Accion 2018\[Plan Accion Integrado ADRES Vigencia 2018 con Cuadro de Mando V6..xlsx]Plan de Accion 2018'!#REF!,Q301&lt;&gt;¨N/A¨))</xm:f>
            <x14:dxf>
              <fill>
                <patternFill>
                  <bgColor theme="1" tint="0.499984740745262"/>
                </patternFill>
              </fill>
            </x14:dxf>
          </x14:cfRule>
          <x14:cfRule type="expression" priority="3871" stopIfTrue="1" id="{0AFB999D-08A5-4C80-9A45-B6B0B28F3F19}">
            <xm:f>AND(IF(Q301='F:\Users\norela.briceno\Documents\Plan de acción\Plan Accion 2018\[Plan Accion Integrado ADRES Vigencia 2018 con Cuadro de Mando V6..xlsx]Plan de Accion 2018'!#REF!,Q301&lt;&gt;"N/A"))</xm:f>
            <x14:dxf>
              <fill>
                <patternFill>
                  <bgColor rgb="FF00B050"/>
                </patternFill>
              </fill>
            </x14:dxf>
          </x14:cfRule>
          <x14:cfRule type="expression" priority="3872" stopIfTrue="1" id="{D6BC69A9-063A-44F5-98D7-E4C5798083C3}">
            <xm:f>AND(IF(Q301&lt;'F:\Users\norela.briceno\Documents\Plan de acción\Plan Accion 2018\[Plan Accion Integrado ADRES Vigencia 2018 con Cuadro de Mando V6..xlsx]Plan de Accion 2018'!#REF!,Q301&lt;&gt;"N/A"))</xm:f>
            <x14:dxf>
              <fill>
                <patternFill>
                  <bgColor indexed="10"/>
                </patternFill>
              </fill>
            </x14:dxf>
          </x14:cfRule>
          <xm:sqref>Q301</xm:sqref>
        </x14:conditionalFormatting>
        <x14:conditionalFormatting xmlns:xm="http://schemas.microsoft.com/office/excel/2006/main">
          <x14:cfRule type="expression" priority="3867" id="{277CFDB3-DDEB-4FEB-B4D7-80F0CD541478}">
            <xm:f>AND(IF(Q302&gt;'F:\Users\norela.briceno\Documents\Plan de acción\Plan Accion 2018\[Plan Accion Integrado ADRES Vigencia 2018 con Cuadro de Mando V6..xlsx]Plan de Accion 2018'!#REF!,Q302&lt;&gt;¨N/A¨))</xm:f>
            <x14:dxf>
              <fill>
                <patternFill>
                  <bgColor theme="1" tint="0.499984740745262"/>
                </patternFill>
              </fill>
            </x14:dxf>
          </x14:cfRule>
          <x14:cfRule type="expression" priority="3868" stopIfTrue="1" id="{7D9BE44E-B417-4DEC-826A-6FD53C5A2A3E}">
            <xm:f>AND(IF(Q302='F:\Users\norela.briceno\Documents\Plan de acción\Plan Accion 2018\[Plan Accion Integrado ADRES Vigencia 2018 con Cuadro de Mando V6..xlsx]Plan de Accion 2018'!#REF!,Q302&lt;&gt;"N/A"))</xm:f>
            <x14:dxf>
              <fill>
                <patternFill>
                  <bgColor rgb="FF00B050"/>
                </patternFill>
              </fill>
            </x14:dxf>
          </x14:cfRule>
          <x14:cfRule type="expression" priority="3869" stopIfTrue="1" id="{58074F5B-4B96-44F8-8C5A-37B461DAFA2A}">
            <xm:f>AND(IF(Q302&lt;'F:\Users\norela.briceno\Documents\Plan de acción\Plan Accion 2018\[Plan Accion Integrado ADRES Vigencia 2018 con Cuadro de Mando V6..xlsx]Plan de Accion 2018'!#REF!,Q302&lt;&gt;"N/A"))</xm:f>
            <x14:dxf>
              <fill>
                <patternFill>
                  <bgColor indexed="10"/>
                </patternFill>
              </fill>
            </x14:dxf>
          </x14:cfRule>
          <xm:sqref>Q302</xm:sqref>
        </x14:conditionalFormatting>
        <x14:conditionalFormatting xmlns:xm="http://schemas.microsoft.com/office/excel/2006/main">
          <x14:cfRule type="expression" priority="3864" id="{6F2A72DA-1431-43EA-BA85-CC54EFE9E5D0}">
            <xm:f>AND(IF(Q303&gt;'F:\Users\norela.briceno\Documents\Plan de acción\Plan Accion 2018\[Plan Accion Integrado ADRES Vigencia 2018 con Cuadro de Mando V6..xlsx]Plan de Accion 2018'!#REF!,Q303&lt;&gt;¨N/A¨))</xm:f>
            <x14:dxf>
              <fill>
                <patternFill>
                  <bgColor theme="1" tint="0.499984740745262"/>
                </patternFill>
              </fill>
            </x14:dxf>
          </x14:cfRule>
          <x14:cfRule type="expression" priority="3865" stopIfTrue="1" id="{4B8EB4DA-A838-4F6F-A289-5504EE923DA9}">
            <xm:f>AND(IF(Q303='F:\Users\norela.briceno\Documents\Plan de acción\Plan Accion 2018\[Plan Accion Integrado ADRES Vigencia 2018 con Cuadro de Mando V6..xlsx]Plan de Accion 2018'!#REF!,Q303&lt;&gt;"N/A"))</xm:f>
            <x14:dxf>
              <fill>
                <patternFill>
                  <bgColor rgb="FF00B050"/>
                </patternFill>
              </fill>
            </x14:dxf>
          </x14:cfRule>
          <x14:cfRule type="expression" priority="3866" stopIfTrue="1" id="{895543DC-106B-4041-B76A-D8E9471C03AD}">
            <xm:f>AND(IF(Q303&lt;'F:\Users\norela.briceno\Documents\Plan de acción\Plan Accion 2018\[Plan Accion Integrado ADRES Vigencia 2018 con Cuadro de Mando V6..xlsx]Plan de Accion 2018'!#REF!,Q303&lt;&gt;"N/A"))</xm:f>
            <x14:dxf>
              <fill>
                <patternFill>
                  <bgColor indexed="10"/>
                </patternFill>
              </fill>
            </x14:dxf>
          </x14:cfRule>
          <xm:sqref>Q303</xm:sqref>
        </x14:conditionalFormatting>
        <x14:conditionalFormatting xmlns:xm="http://schemas.microsoft.com/office/excel/2006/main">
          <x14:cfRule type="expression" priority="3861" id="{FDC61587-0526-49C7-91D2-247A71D3B9D2}">
            <xm:f>AND(IF(Q304&gt;'F:\Users\norela.briceno\Documents\Plan de acción\Plan Accion 2018\[Plan Accion Integrado ADRES Vigencia 2018 con Cuadro de Mando V6..xlsx]Plan de Accion 2018'!#REF!,Q304&lt;&gt;¨N/A¨))</xm:f>
            <x14:dxf>
              <fill>
                <patternFill>
                  <bgColor theme="1" tint="0.499984740745262"/>
                </patternFill>
              </fill>
            </x14:dxf>
          </x14:cfRule>
          <x14:cfRule type="expression" priority="3862" stopIfTrue="1" id="{CEE3E200-B3C8-435B-BE39-DD99F9567178}">
            <xm:f>AND(IF(Q304='F:\Users\norela.briceno\Documents\Plan de acción\Plan Accion 2018\[Plan Accion Integrado ADRES Vigencia 2018 con Cuadro de Mando V6..xlsx]Plan de Accion 2018'!#REF!,Q304&lt;&gt;"N/A"))</xm:f>
            <x14:dxf>
              <fill>
                <patternFill>
                  <bgColor rgb="FF00B050"/>
                </patternFill>
              </fill>
            </x14:dxf>
          </x14:cfRule>
          <x14:cfRule type="expression" priority="3863" stopIfTrue="1" id="{02FDE205-7992-4BC8-8F4B-4FFC88D47C78}">
            <xm:f>AND(IF(Q304&lt;'F:\Users\norela.briceno\Documents\Plan de acción\Plan Accion 2018\[Plan Accion Integrado ADRES Vigencia 2018 con Cuadro de Mando V6..xlsx]Plan de Accion 2018'!#REF!,Q304&lt;&gt;"N/A"))</xm:f>
            <x14:dxf>
              <fill>
                <patternFill>
                  <bgColor indexed="10"/>
                </patternFill>
              </fill>
            </x14:dxf>
          </x14:cfRule>
          <xm:sqref>Q304</xm:sqref>
        </x14:conditionalFormatting>
        <x14:conditionalFormatting xmlns:xm="http://schemas.microsoft.com/office/excel/2006/main">
          <x14:cfRule type="expression" priority="3858" id="{6EF11A64-4931-4EB8-AFDE-699ABCF2D0C9}">
            <xm:f>AND(IF(Q305&gt;'F:\Users\norela.briceno\Documents\Plan de acción\Plan Accion 2018\[Plan Accion Integrado ADRES Vigencia 2018 con Cuadro de Mando V6..xlsx]Plan de Accion 2018'!#REF!,Q305&lt;&gt;¨N/A¨))</xm:f>
            <x14:dxf>
              <fill>
                <patternFill>
                  <bgColor theme="1" tint="0.499984740745262"/>
                </patternFill>
              </fill>
            </x14:dxf>
          </x14:cfRule>
          <x14:cfRule type="expression" priority="3859" stopIfTrue="1" id="{1D2202C9-959A-42C9-B044-F233BC63559D}">
            <xm:f>AND(IF(Q305='F:\Users\norela.briceno\Documents\Plan de acción\Plan Accion 2018\[Plan Accion Integrado ADRES Vigencia 2018 con Cuadro de Mando V6..xlsx]Plan de Accion 2018'!#REF!,Q305&lt;&gt;"N/A"))</xm:f>
            <x14:dxf>
              <fill>
                <patternFill>
                  <bgColor rgb="FF00B050"/>
                </patternFill>
              </fill>
            </x14:dxf>
          </x14:cfRule>
          <x14:cfRule type="expression" priority="3860" stopIfTrue="1" id="{B759A0BC-51FA-428E-9212-C57FA34BFA1D}">
            <xm:f>AND(IF(Q305&lt;'F:\Users\norela.briceno\Documents\Plan de acción\Plan Accion 2018\[Plan Accion Integrado ADRES Vigencia 2018 con Cuadro de Mando V6..xlsx]Plan de Accion 2018'!#REF!,Q305&lt;&gt;"N/A"))</xm:f>
            <x14:dxf>
              <fill>
                <patternFill>
                  <bgColor indexed="10"/>
                </patternFill>
              </fill>
            </x14:dxf>
          </x14:cfRule>
          <xm:sqref>Q305</xm:sqref>
        </x14:conditionalFormatting>
        <x14:conditionalFormatting xmlns:xm="http://schemas.microsoft.com/office/excel/2006/main">
          <x14:cfRule type="expression" priority="3855" id="{78870969-2676-4334-B6A5-107716AB3AAB}">
            <xm:f>AND(IF(Q291&gt;'F:\Users\norela.briceno\Documents\Plan de acción\Plan Accion 2018\[Plan Accion Integrado ADRES Vigencia 2018 con Cuadro de Mando V6..xlsx]Plan de Accion 2018'!#REF!,Q291&lt;&gt;¨N/A¨))</xm:f>
            <x14:dxf>
              <fill>
                <patternFill>
                  <bgColor theme="1" tint="0.499984740745262"/>
                </patternFill>
              </fill>
            </x14:dxf>
          </x14:cfRule>
          <x14:cfRule type="expression" priority="3856" stopIfTrue="1" id="{148E8CB6-3096-4F6C-8945-E12663C2E2A6}">
            <xm:f>AND(IF(Q291='F:\Users\norela.briceno\Documents\Plan de acción\Plan Accion 2018\[Plan Accion Integrado ADRES Vigencia 2018 con Cuadro de Mando V6..xlsx]Plan de Accion 2018'!#REF!,Q291&lt;&gt;"N/A"))</xm:f>
            <x14:dxf>
              <fill>
                <patternFill>
                  <bgColor rgb="FF00B050"/>
                </patternFill>
              </fill>
            </x14:dxf>
          </x14:cfRule>
          <x14:cfRule type="expression" priority="3857" stopIfTrue="1" id="{B2772353-2E38-462D-BEAE-68CBF70E6EA9}">
            <xm:f>AND(IF(Q291&lt;'F:\Users\norela.briceno\Documents\Plan de acción\Plan Accion 2018\[Plan Accion Integrado ADRES Vigencia 2018 con Cuadro de Mando V6..xlsx]Plan de Accion 2018'!#REF!,Q291&lt;&gt;"N/A"))</xm:f>
            <x14:dxf>
              <fill>
                <patternFill>
                  <bgColor indexed="10"/>
                </patternFill>
              </fill>
            </x14:dxf>
          </x14:cfRule>
          <xm:sqref>Q291</xm:sqref>
        </x14:conditionalFormatting>
        <x14:conditionalFormatting xmlns:xm="http://schemas.microsoft.com/office/excel/2006/main">
          <x14:cfRule type="expression" priority="3852" id="{D433D182-5795-4B5F-9B84-D6335A597D09}">
            <xm:f>AND(IF(Q290&gt;'F:\Users\norela.briceno\Documents\Plan de acción\Plan Accion 2018\[Plan Accion Integrado ADRES Vigencia 2018 con Cuadro de Mando V6..xlsx]Plan de Accion 2018'!#REF!,Q290&lt;&gt;¨N/A¨))</xm:f>
            <x14:dxf>
              <fill>
                <patternFill>
                  <bgColor theme="1" tint="0.499984740745262"/>
                </patternFill>
              </fill>
            </x14:dxf>
          </x14:cfRule>
          <x14:cfRule type="expression" priority="3853" stopIfTrue="1" id="{7A791112-F4F8-44D1-A431-FCDE34449F21}">
            <xm:f>AND(IF(Q290='F:\Users\norela.briceno\Documents\Plan de acción\Plan Accion 2018\[Plan Accion Integrado ADRES Vigencia 2018 con Cuadro de Mando V6..xlsx]Plan de Accion 2018'!#REF!,Q290&lt;&gt;"N/A"))</xm:f>
            <x14:dxf>
              <fill>
                <patternFill>
                  <bgColor rgb="FF00B050"/>
                </patternFill>
              </fill>
            </x14:dxf>
          </x14:cfRule>
          <x14:cfRule type="expression" priority="3854" stopIfTrue="1" id="{1FC7B3B2-7E16-42EC-90D2-2B5C7E6A71B5}">
            <xm:f>AND(IF(Q290&lt;'F:\Users\norela.briceno\Documents\Plan de acción\Plan Accion 2018\[Plan Accion Integrado ADRES Vigencia 2018 con Cuadro de Mando V6..xlsx]Plan de Accion 2018'!#REF!,Q290&lt;&gt;"N/A"))</xm:f>
            <x14:dxf>
              <fill>
                <patternFill>
                  <bgColor indexed="10"/>
                </patternFill>
              </fill>
            </x14:dxf>
          </x14:cfRule>
          <xm:sqref>Q290</xm:sqref>
        </x14:conditionalFormatting>
        <x14:conditionalFormatting xmlns:xm="http://schemas.microsoft.com/office/excel/2006/main">
          <x14:cfRule type="expression" priority="3849" id="{3F47F11B-A0E0-4FC1-A8E9-74EA80AF4491}">
            <xm:f>AND(IF(Q289&gt;'F:\Users\norela.briceno\Documents\Plan de acción\Plan Accion 2018\[Plan Accion Integrado ADRES Vigencia 2018 con Cuadro de Mando V6..xlsx]Plan de Accion 2018'!#REF!,Q289&lt;&gt;¨N/A¨))</xm:f>
            <x14:dxf>
              <fill>
                <patternFill>
                  <bgColor theme="1" tint="0.499984740745262"/>
                </patternFill>
              </fill>
            </x14:dxf>
          </x14:cfRule>
          <x14:cfRule type="expression" priority="3850" stopIfTrue="1" id="{97557E00-2127-46B9-9524-69D3C113E016}">
            <xm:f>AND(IF(Q289='F:\Users\norela.briceno\Documents\Plan de acción\Plan Accion 2018\[Plan Accion Integrado ADRES Vigencia 2018 con Cuadro de Mando V6..xlsx]Plan de Accion 2018'!#REF!,Q289&lt;&gt;"N/A"))</xm:f>
            <x14:dxf>
              <fill>
                <patternFill>
                  <bgColor rgb="FF00B050"/>
                </patternFill>
              </fill>
            </x14:dxf>
          </x14:cfRule>
          <x14:cfRule type="expression" priority="3851" stopIfTrue="1" id="{59DA1F39-23A0-4C00-90F0-73812C381242}">
            <xm:f>AND(IF(Q289&lt;'F:\Users\norela.briceno\Documents\Plan de acción\Plan Accion 2018\[Plan Accion Integrado ADRES Vigencia 2018 con Cuadro de Mando V6..xlsx]Plan de Accion 2018'!#REF!,Q289&lt;&gt;"N/A"))</xm:f>
            <x14:dxf>
              <fill>
                <patternFill>
                  <bgColor indexed="10"/>
                </patternFill>
              </fill>
            </x14:dxf>
          </x14:cfRule>
          <xm:sqref>Q289</xm:sqref>
        </x14:conditionalFormatting>
        <x14:conditionalFormatting xmlns:xm="http://schemas.microsoft.com/office/excel/2006/main">
          <x14:cfRule type="expression" priority="3846" id="{A59F1C1E-AC9D-4EF5-90F3-BD74D27D7112}">
            <xm:f>AND(IF(Q287&gt;'F:\Users\norela.briceno\Documents\Plan de acción\Plan Accion 2018\[Plan Accion Integrado ADRES Vigencia 2018 con Cuadro de Mando V6..xlsx]Plan de Accion 2018'!#REF!,Q287&lt;&gt;¨N/A¨))</xm:f>
            <x14:dxf>
              <fill>
                <patternFill>
                  <bgColor theme="1" tint="0.499984740745262"/>
                </patternFill>
              </fill>
            </x14:dxf>
          </x14:cfRule>
          <x14:cfRule type="expression" priority="3847" stopIfTrue="1" id="{08CE8891-D731-4A64-ABF2-4D8EEBFB38DE}">
            <xm:f>AND(IF(Q287='F:\Users\norela.briceno\Documents\Plan de acción\Plan Accion 2018\[Plan Accion Integrado ADRES Vigencia 2018 con Cuadro de Mando V6..xlsx]Plan de Accion 2018'!#REF!,Q287&lt;&gt;"N/A"))</xm:f>
            <x14:dxf>
              <fill>
                <patternFill>
                  <bgColor rgb="FF00B050"/>
                </patternFill>
              </fill>
            </x14:dxf>
          </x14:cfRule>
          <x14:cfRule type="expression" priority="3848" stopIfTrue="1" id="{60FCF353-A100-4D14-8914-D5EB581F1F02}">
            <xm:f>AND(IF(Q287&lt;'F:\Users\norela.briceno\Documents\Plan de acción\Plan Accion 2018\[Plan Accion Integrado ADRES Vigencia 2018 con Cuadro de Mando V6..xlsx]Plan de Accion 2018'!#REF!,Q287&lt;&gt;"N/A"))</xm:f>
            <x14:dxf>
              <fill>
                <patternFill>
                  <bgColor indexed="10"/>
                </patternFill>
              </fill>
            </x14:dxf>
          </x14:cfRule>
          <xm:sqref>Q287</xm:sqref>
        </x14:conditionalFormatting>
        <x14:conditionalFormatting xmlns:xm="http://schemas.microsoft.com/office/excel/2006/main">
          <x14:cfRule type="expression" priority="3843" id="{27E32717-1CFB-4A6D-801D-036E26DCD8DD}">
            <xm:f>AND(IF(Q286&gt;'F:\Users\norela.briceno\Documents\Plan de acción\Plan Accion 2018\[Plan Accion Integrado ADRES Vigencia 2018 con Cuadro de Mando V6..xlsx]Plan de Accion 2018'!#REF!,Q286&lt;&gt;¨N/A¨))</xm:f>
            <x14:dxf>
              <fill>
                <patternFill>
                  <bgColor theme="1" tint="0.499984740745262"/>
                </patternFill>
              </fill>
            </x14:dxf>
          </x14:cfRule>
          <x14:cfRule type="expression" priority="3844" stopIfTrue="1" id="{F9865CB0-E4E8-4496-A775-5283956E155F}">
            <xm:f>AND(IF(Q286='F:\Users\norela.briceno\Documents\Plan de acción\Plan Accion 2018\[Plan Accion Integrado ADRES Vigencia 2018 con Cuadro de Mando V6..xlsx]Plan de Accion 2018'!#REF!,Q286&lt;&gt;"N/A"))</xm:f>
            <x14:dxf>
              <fill>
                <patternFill>
                  <bgColor rgb="FF00B050"/>
                </patternFill>
              </fill>
            </x14:dxf>
          </x14:cfRule>
          <x14:cfRule type="expression" priority="3845" stopIfTrue="1" id="{5C23B08C-AB62-44CB-B23B-150E9D2D4E4D}">
            <xm:f>AND(IF(Q286&lt;'F:\Users\norela.briceno\Documents\Plan de acción\Plan Accion 2018\[Plan Accion Integrado ADRES Vigencia 2018 con Cuadro de Mando V6..xlsx]Plan de Accion 2018'!#REF!,Q286&lt;&gt;"N/A"))</xm:f>
            <x14:dxf>
              <fill>
                <patternFill>
                  <bgColor indexed="10"/>
                </patternFill>
              </fill>
            </x14:dxf>
          </x14:cfRule>
          <xm:sqref>Q286</xm:sqref>
        </x14:conditionalFormatting>
        <x14:conditionalFormatting xmlns:xm="http://schemas.microsoft.com/office/excel/2006/main">
          <x14:cfRule type="expression" priority="3840" id="{4D7EE858-014C-4875-AAAE-B202E2C2ADF7}">
            <xm:f>AND(IF(Q285&gt;'F:\Users\norela.briceno\Documents\Plan de acción\Plan Accion 2018\[Plan Accion Integrado ADRES Vigencia 2018 con Cuadro de Mando V6..xlsx]Plan de Accion 2018'!#REF!,Q285&lt;&gt;¨N/A¨))</xm:f>
            <x14:dxf>
              <fill>
                <patternFill>
                  <bgColor theme="1" tint="0.499984740745262"/>
                </patternFill>
              </fill>
            </x14:dxf>
          </x14:cfRule>
          <x14:cfRule type="expression" priority="3841" stopIfTrue="1" id="{922A55D2-2043-4DEC-9C3F-2EAE835C8F87}">
            <xm:f>AND(IF(Q285='F:\Users\norela.briceno\Documents\Plan de acción\Plan Accion 2018\[Plan Accion Integrado ADRES Vigencia 2018 con Cuadro de Mando V6..xlsx]Plan de Accion 2018'!#REF!,Q285&lt;&gt;"N/A"))</xm:f>
            <x14:dxf>
              <fill>
                <patternFill>
                  <bgColor rgb="FF00B050"/>
                </patternFill>
              </fill>
            </x14:dxf>
          </x14:cfRule>
          <x14:cfRule type="expression" priority="3842" stopIfTrue="1" id="{0688A47A-1666-4CC6-ACBA-C4B48236E1FF}">
            <xm:f>AND(IF(Q285&lt;'F:\Users\norela.briceno\Documents\Plan de acción\Plan Accion 2018\[Plan Accion Integrado ADRES Vigencia 2018 con Cuadro de Mando V6..xlsx]Plan de Accion 2018'!#REF!,Q285&lt;&gt;"N/A"))</xm:f>
            <x14:dxf>
              <fill>
                <patternFill>
                  <bgColor indexed="10"/>
                </patternFill>
              </fill>
            </x14:dxf>
          </x14:cfRule>
          <xm:sqref>Q285</xm:sqref>
        </x14:conditionalFormatting>
        <x14:conditionalFormatting xmlns:xm="http://schemas.microsoft.com/office/excel/2006/main">
          <x14:cfRule type="expression" priority="3834" id="{7AFF9AA7-A0B6-4133-876A-57FC8E9BE616}">
            <xm:f>AND(IF(Q282&gt;'F:\Users\norela.briceno\Documents\Plan de acción\Plan Accion 2018\[Plan Accion Integrado ADRES Vigencia 2018 con Cuadro de Mando V6..xlsx]Plan de Accion 2018'!#REF!,Q282&lt;&gt;¨N/A¨))</xm:f>
            <x14:dxf>
              <fill>
                <patternFill>
                  <bgColor theme="1" tint="0.499984740745262"/>
                </patternFill>
              </fill>
            </x14:dxf>
          </x14:cfRule>
          <x14:cfRule type="expression" priority="3835" stopIfTrue="1" id="{DE48BC5C-4574-430E-96AD-5A82AD0476E8}">
            <xm:f>AND(IF(Q282='F:\Users\norela.briceno\Documents\Plan de acción\Plan Accion 2018\[Plan Accion Integrado ADRES Vigencia 2018 con Cuadro de Mando V6..xlsx]Plan de Accion 2018'!#REF!,Q282&lt;&gt;"N/A"))</xm:f>
            <x14:dxf>
              <fill>
                <patternFill>
                  <bgColor rgb="FF00B050"/>
                </patternFill>
              </fill>
            </x14:dxf>
          </x14:cfRule>
          <x14:cfRule type="expression" priority="3836" stopIfTrue="1" id="{6A2DC972-8E6C-42FA-B999-5CC8EB8B3C08}">
            <xm:f>AND(IF(Q282&lt;'F:\Users\norela.briceno\Documents\Plan de acción\Plan Accion 2018\[Plan Accion Integrado ADRES Vigencia 2018 con Cuadro de Mando V6..xlsx]Plan de Accion 2018'!#REF!,Q282&lt;&gt;"N/A"))</xm:f>
            <x14:dxf>
              <fill>
                <patternFill>
                  <bgColor indexed="10"/>
                </patternFill>
              </fill>
            </x14:dxf>
          </x14:cfRule>
          <xm:sqref>Q282</xm:sqref>
        </x14:conditionalFormatting>
        <x14:conditionalFormatting xmlns:xm="http://schemas.microsoft.com/office/excel/2006/main">
          <x14:cfRule type="expression" priority="3831" id="{DB8AB4B3-13B8-4731-9DEC-2695249ED57D}">
            <xm:f>AND(IF(Q280&gt;'F:\Users\norela.briceno\Documents\Plan de acción\Plan Accion 2018\[Plan Accion Integrado ADRES Vigencia 2018 con Cuadro de Mando V6..xlsx]Plan de Accion 2018'!#REF!,Q280&lt;&gt;¨N/A¨))</xm:f>
            <x14:dxf>
              <fill>
                <patternFill>
                  <bgColor theme="1" tint="0.499984740745262"/>
                </patternFill>
              </fill>
            </x14:dxf>
          </x14:cfRule>
          <x14:cfRule type="expression" priority="3832" stopIfTrue="1" id="{ABED446F-2E3D-4A97-995E-0CB7411240C9}">
            <xm:f>AND(IF(Q280='F:\Users\norela.briceno\Documents\Plan de acción\Plan Accion 2018\[Plan Accion Integrado ADRES Vigencia 2018 con Cuadro de Mando V6..xlsx]Plan de Accion 2018'!#REF!,Q280&lt;&gt;"N/A"))</xm:f>
            <x14:dxf>
              <fill>
                <patternFill>
                  <bgColor rgb="FF00B050"/>
                </patternFill>
              </fill>
            </x14:dxf>
          </x14:cfRule>
          <x14:cfRule type="expression" priority="3833" stopIfTrue="1" id="{AF719678-3B89-4B4D-870B-BA4633711913}">
            <xm:f>AND(IF(Q280&lt;'F:\Users\norela.briceno\Documents\Plan de acción\Plan Accion 2018\[Plan Accion Integrado ADRES Vigencia 2018 con Cuadro de Mando V6..xlsx]Plan de Accion 2018'!#REF!,Q280&lt;&gt;"N/A"))</xm:f>
            <x14:dxf>
              <fill>
                <patternFill>
                  <bgColor indexed="10"/>
                </patternFill>
              </fill>
            </x14:dxf>
          </x14:cfRule>
          <xm:sqref>Q280</xm:sqref>
        </x14:conditionalFormatting>
        <x14:conditionalFormatting xmlns:xm="http://schemas.microsoft.com/office/excel/2006/main">
          <x14:cfRule type="expression" priority="3828" id="{D8D87B07-06E4-4634-8318-052D5707A2A7}">
            <xm:f>AND(IF(Q279&gt;'F:\Users\norela.briceno\Documents\Plan de acción\Plan Accion 2018\[Plan Accion Integrado ADRES Vigencia 2018 con Cuadro de Mando V6..xlsx]Plan de Accion 2018'!#REF!,Q279&lt;&gt;¨N/A¨))</xm:f>
            <x14:dxf>
              <fill>
                <patternFill>
                  <bgColor theme="1" tint="0.499984740745262"/>
                </patternFill>
              </fill>
            </x14:dxf>
          </x14:cfRule>
          <x14:cfRule type="expression" priority="3829" stopIfTrue="1" id="{E7408FD0-9A96-46A2-AADB-444923134D45}">
            <xm:f>AND(IF(Q279='F:\Users\norela.briceno\Documents\Plan de acción\Plan Accion 2018\[Plan Accion Integrado ADRES Vigencia 2018 con Cuadro de Mando V6..xlsx]Plan de Accion 2018'!#REF!,Q279&lt;&gt;"N/A"))</xm:f>
            <x14:dxf>
              <fill>
                <patternFill>
                  <bgColor rgb="FF00B050"/>
                </patternFill>
              </fill>
            </x14:dxf>
          </x14:cfRule>
          <x14:cfRule type="expression" priority="3830" stopIfTrue="1" id="{A3E656B9-301D-424B-AA6D-2EE250F91CAA}">
            <xm:f>AND(IF(Q279&lt;'F:\Users\norela.briceno\Documents\Plan de acción\Plan Accion 2018\[Plan Accion Integrado ADRES Vigencia 2018 con Cuadro de Mando V6..xlsx]Plan de Accion 2018'!#REF!,Q279&lt;&gt;"N/A"))</xm:f>
            <x14:dxf>
              <fill>
                <patternFill>
                  <bgColor indexed="10"/>
                </patternFill>
              </fill>
            </x14:dxf>
          </x14:cfRule>
          <xm:sqref>Q279</xm:sqref>
        </x14:conditionalFormatting>
        <x14:conditionalFormatting xmlns:xm="http://schemas.microsoft.com/office/excel/2006/main">
          <x14:cfRule type="expression" priority="3825" id="{B7ADEEF5-E7D6-4137-ACFF-2CBBEA6CFEE5}">
            <xm:f>AND(IF(Q278&gt;'F:\Users\norela.briceno\Documents\Plan de acción\Plan Accion 2018\[Plan Accion Integrado ADRES Vigencia 2018 con Cuadro de Mando V6..xlsx]Plan de Accion 2018'!#REF!,Q278&lt;&gt;¨N/A¨))</xm:f>
            <x14:dxf>
              <fill>
                <patternFill>
                  <bgColor theme="1" tint="0.499984740745262"/>
                </patternFill>
              </fill>
            </x14:dxf>
          </x14:cfRule>
          <x14:cfRule type="expression" priority="3826" stopIfTrue="1" id="{E19F388A-8885-4A14-B1FF-AB0070E64F29}">
            <xm:f>AND(IF(Q278='F:\Users\norela.briceno\Documents\Plan de acción\Plan Accion 2018\[Plan Accion Integrado ADRES Vigencia 2018 con Cuadro de Mando V6..xlsx]Plan de Accion 2018'!#REF!,Q278&lt;&gt;"N/A"))</xm:f>
            <x14:dxf>
              <fill>
                <patternFill>
                  <bgColor rgb="FF00B050"/>
                </patternFill>
              </fill>
            </x14:dxf>
          </x14:cfRule>
          <x14:cfRule type="expression" priority="3827" stopIfTrue="1" id="{412F2353-869D-4BA4-A631-CFF4813517DC}">
            <xm:f>AND(IF(Q278&lt;'F:\Users\norela.briceno\Documents\Plan de acción\Plan Accion 2018\[Plan Accion Integrado ADRES Vigencia 2018 con Cuadro de Mando V6..xlsx]Plan de Accion 2018'!#REF!,Q278&lt;&gt;"N/A"))</xm:f>
            <x14:dxf>
              <fill>
                <patternFill>
                  <bgColor indexed="10"/>
                </patternFill>
              </fill>
            </x14:dxf>
          </x14:cfRule>
          <xm:sqref>Q278</xm:sqref>
        </x14:conditionalFormatting>
        <x14:conditionalFormatting xmlns:xm="http://schemas.microsoft.com/office/excel/2006/main">
          <x14:cfRule type="expression" priority="3822" id="{836EB339-266D-4EDC-B4BF-A243E5402E3B}">
            <xm:f>AND(IF(Q275&gt;'F:\Users\norela.briceno\Documents\Plan de acción\Plan Accion 2018\[Plan Accion Integrado ADRES Vigencia 2018 con Cuadro de Mando V6..xlsx]Plan de Accion 2018'!#REF!,Q275&lt;&gt;¨N/A¨))</xm:f>
            <x14:dxf>
              <fill>
                <patternFill>
                  <bgColor theme="1" tint="0.499984740745262"/>
                </patternFill>
              </fill>
            </x14:dxf>
          </x14:cfRule>
          <x14:cfRule type="expression" priority="3823" stopIfTrue="1" id="{82FB3BC5-344D-41EC-B66B-C2F86C4CD312}">
            <xm:f>AND(IF(Q275='F:\Users\norela.briceno\Documents\Plan de acción\Plan Accion 2018\[Plan Accion Integrado ADRES Vigencia 2018 con Cuadro de Mando V6..xlsx]Plan de Accion 2018'!#REF!,Q275&lt;&gt;"N/A"))</xm:f>
            <x14:dxf>
              <fill>
                <patternFill>
                  <bgColor rgb="FF00B050"/>
                </patternFill>
              </fill>
            </x14:dxf>
          </x14:cfRule>
          <x14:cfRule type="expression" priority="3824" stopIfTrue="1" id="{194B1924-8796-44CA-A59F-42D34CB97208}">
            <xm:f>AND(IF(Q275&lt;'F:\Users\norela.briceno\Documents\Plan de acción\Plan Accion 2018\[Plan Accion Integrado ADRES Vigencia 2018 con Cuadro de Mando V6..xlsx]Plan de Accion 2018'!#REF!,Q275&lt;&gt;"N/A"))</xm:f>
            <x14:dxf>
              <fill>
                <patternFill>
                  <bgColor indexed="10"/>
                </patternFill>
              </fill>
            </x14:dxf>
          </x14:cfRule>
          <xm:sqref>Q275</xm:sqref>
        </x14:conditionalFormatting>
        <x14:conditionalFormatting xmlns:xm="http://schemas.microsoft.com/office/excel/2006/main">
          <x14:cfRule type="expression" priority="3819" id="{218B9540-79A0-4228-AD96-8FB607CE9B34}">
            <xm:f>AND(IF(Q274&gt;'F:\Users\norela.briceno\Documents\Plan de acción\Plan Accion 2018\[Plan Accion Integrado ADRES Vigencia 2018 con Cuadro de Mando V6..xlsx]Plan de Accion 2018'!#REF!,Q274&lt;&gt;¨N/A¨))</xm:f>
            <x14:dxf>
              <fill>
                <patternFill>
                  <bgColor theme="1" tint="0.499984740745262"/>
                </patternFill>
              </fill>
            </x14:dxf>
          </x14:cfRule>
          <x14:cfRule type="expression" priority="3820" stopIfTrue="1" id="{4217F48A-DA59-46CA-AABB-9861B878AB3E}">
            <xm:f>AND(IF(Q274='F:\Users\norela.briceno\Documents\Plan de acción\Plan Accion 2018\[Plan Accion Integrado ADRES Vigencia 2018 con Cuadro de Mando V6..xlsx]Plan de Accion 2018'!#REF!,Q274&lt;&gt;"N/A"))</xm:f>
            <x14:dxf>
              <fill>
                <patternFill>
                  <bgColor rgb="FF00B050"/>
                </patternFill>
              </fill>
            </x14:dxf>
          </x14:cfRule>
          <x14:cfRule type="expression" priority="3821" stopIfTrue="1" id="{248DE532-9BC9-4E49-A751-17C8B2FCCD1E}">
            <xm:f>AND(IF(Q274&lt;'F:\Users\norela.briceno\Documents\Plan de acción\Plan Accion 2018\[Plan Accion Integrado ADRES Vigencia 2018 con Cuadro de Mando V6..xlsx]Plan de Accion 2018'!#REF!,Q274&lt;&gt;"N/A"))</xm:f>
            <x14:dxf>
              <fill>
                <patternFill>
                  <bgColor indexed="10"/>
                </patternFill>
              </fill>
            </x14:dxf>
          </x14:cfRule>
          <xm:sqref>Q274</xm:sqref>
        </x14:conditionalFormatting>
        <x14:conditionalFormatting xmlns:xm="http://schemas.microsoft.com/office/excel/2006/main">
          <x14:cfRule type="expression" priority="3816" id="{E3B166DC-A35E-43FE-9DF6-AA3E76F76840}">
            <xm:f>AND(IF(Q273&gt;'F:\Users\norela.briceno\Documents\Plan de acción\Plan Accion 2018\[Plan Accion Integrado ADRES Vigencia 2018 con Cuadro de Mando V6..xlsx]Plan de Accion 2018'!#REF!,Q273&lt;&gt;¨N/A¨))</xm:f>
            <x14:dxf>
              <fill>
                <patternFill>
                  <bgColor theme="1" tint="0.499984740745262"/>
                </patternFill>
              </fill>
            </x14:dxf>
          </x14:cfRule>
          <x14:cfRule type="expression" priority="3817" stopIfTrue="1" id="{C960ADBB-A933-40F6-A6DF-9EC7A66CB3A6}">
            <xm:f>AND(IF(Q273='F:\Users\norela.briceno\Documents\Plan de acción\Plan Accion 2018\[Plan Accion Integrado ADRES Vigencia 2018 con Cuadro de Mando V6..xlsx]Plan de Accion 2018'!#REF!,Q273&lt;&gt;"N/A"))</xm:f>
            <x14:dxf>
              <fill>
                <patternFill>
                  <bgColor rgb="FF00B050"/>
                </patternFill>
              </fill>
            </x14:dxf>
          </x14:cfRule>
          <x14:cfRule type="expression" priority="3818" stopIfTrue="1" id="{7C8DEBA2-D849-4958-948C-20CA3BBD7D12}">
            <xm:f>AND(IF(Q273&lt;'F:\Users\norela.briceno\Documents\Plan de acción\Plan Accion 2018\[Plan Accion Integrado ADRES Vigencia 2018 con Cuadro de Mando V6..xlsx]Plan de Accion 2018'!#REF!,Q273&lt;&gt;"N/A"))</xm:f>
            <x14:dxf>
              <fill>
                <patternFill>
                  <bgColor indexed="10"/>
                </patternFill>
              </fill>
            </x14:dxf>
          </x14:cfRule>
          <xm:sqref>Q273</xm:sqref>
        </x14:conditionalFormatting>
        <x14:conditionalFormatting xmlns:xm="http://schemas.microsoft.com/office/excel/2006/main">
          <x14:cfRule type="expression" priority="3813" id="{32ADA052-E3BA-4D2C-8C24-21EFFE081894}">
            <xm:f>AND(IF(Q272&gt;'F:\Users\norela.briceno\Documents\Plan de acción\Plan Accion 2018\[Plan Accion Integrado ADRES Vigencia 2018 con Cuadro de Mando V6..xlsx]Plan de Accion 2018'!#REF!,Q272&lt;&gt;¨N/A¨))</xm:f>
            <x14:dxf>
              <fill>
                <patternFill>
                  <bgColor theme="1" tint="0.499984740745262"/>
                </patternFill>
              </fill>
            </x14:dxf>
          </x14:cfRule>
          <x14:cfRule type="expression" priority="3814" stopIfTrue="1" id="{72E3B2A0-F278-45AC-BD84-14B1FE3AE71C}">
            <xm:f>AND(IF(Q272='F:\Users\norela.briceno\Documents\Plan de acción\Plan Accion 2018\[Plan Accion Integrado ADRES Vigencia 2018 con Cuadro de Mando V6..xlsx]Plan de Accion 2018'!#REF!,Q272&lt;&gt;"N/A"))</xm:f>
            <x14:dxf>
              <fill>
                <patternFill>
                  <bgColor rgb="FF00B050"/>
                </patternFill>
              </fill>
            </x14:dxf>
          </x14:cfRule>
          <x14:cfRule type="expression" priority="3815" stopIfTrue="1" id="{78B3DF96-C2D6-4004-BEFD-2381DF887409}">
            <xm:f>AND(IF(Q272&lt;'F:\Users\norela.briceno\Documents\Plan de acción\Plan Accion 2018\[Plan Accion Integrado ADRES Vigencia 2018 con Cuadro de Mando V6..xlsx]Plan de Accion 2018'!#REF!,Q272&lt;&gt;"N/A"))</xm:f>
            <x14:dxf>
              <fill>
                <patternFill>
                  <bgColor indexed="10"/>
                </patternFill>
              </fill>
            </x14:dxf>
          </x14:cfRule>
          <xm:sqref>Q272</xm:sqref>
        </x14:conditionalFormatting>
        <x14:conditionalFormatting xmlns:xm="http://schemas.microsoft.com/office/excel/2006/main">
          <x14:cfRule type="expression" priority="3810" id="{7BCCF3B7-1331-4450-996A-73EC35DDBE7D}">
            <xm:f>AND(IF(Q269&gt;'F:\Users\norela.briceno\Documents\Plan de acción\Plan Accion 2018\[Plan Accion Integrado ADRES Vigencia 2018 con Cuadro de Mando V6..xlsx]Plan de Accion 2018'!#REF!,Q269&lt;&gt;¨N/A¨))</xm:f>
            <x14:dxf>
              <fill>
                <patternFill>
                  <bgColor theme="1" tint="0.499984740745262"/>
                </patternFill>
              </fill>
            </x14:dxf>
          </x14:cfRule>
          <x14:cfRule type="expression" priority="3811" stopIfTrue="1" id="{F28E4655-CF83-467D-9D17-6607F31BBF84}">
            <xm:f>AND(IF(Q269='F:\Users\norela.briceno\Documents\Plan de acción\Plan Accion 2018\[Plan Accion Integrado ADRES Vigencia 2018 con Cuadro de Mando V6..xlsx]Plan de Accion 2018'!#REF!,Q269&lt;&gt;"N/A"))</xm:f>
            <x14:dxf>
              <fill>
                <patternFill>
                  <bgColor rgb="FF00B050"/>
                </patternFill>
              </fill>
            </x14:dxf>
          </x14:cfRule>
          <x14:cfRule type="expression" priority="3812" stopIfTrue="1" id="{93A84798-E8D1-4829-B4F5-D5ADD775C3C6}">
            <xm:f>AND(IF(Q269&lt;'F:\Users\norela.briceno\Documents\Plan de acción\Plan Accion 2018\[Plan Accion Integrado ADRES Vigencia 2018 con Cuadro de Mando V6..xlsx]Plan de Accion 2018'!#REF!,Q269&lt;&gt;"N/A"))</xm:f>
            <x14:dxf>
              <fill>
                <patternFill>
                  <bgColor indexed="10"/>
                </patternFill>
              </fill>
            </x14:dxf>
          </x14:cfRule>
          <xm:sqref>Q269</xm:sqref>
        </x14:conditionalFormatting>
        <x14:conditionalFormatting xmlns:xm="http://schemas.microsoft.com/office/excel/2006/main">
          <x14:cfRule type="expression" priority="3807" id="{9C440EF3-7860-4DD0-A0C6-F04CAC426B87}">
            <xm:f>AND(IF(Q263&gt;'F:\Users\norela.briceno\Documents\Plan de acción\Plan Accion 2018\[Plan Accion Integrado ADRES Vigencia 2018 con Cuadro de Mando V6..xlsx]Plan de Accion 2018'!#REF!,Q263&lt;&gt;¨N/A¨))</xm:f>
            <x14:dxf>
              <fill>
                <patternFill>
                  <bgColor theme="1" tint="0.499984740745262"/>
                </patternFill>
              </fill>
            </x14:dxf>
          </x14:cfRule>
          <x14:cfRule type="expression" priority="3808" stopIfTrue="1" id="{24260473-5B34-4B01-BA96-F8E288D9AA3C}">
            <xm:f>AND(IF(Q263='F:\Users\norela.briceno\Documents\Plan de acción\Plan Accion 2018\[Plan Accion Integrado ADRES Vigencia 2018 con Cuadro de Mando V6..xlsx]Plan de Accion 2018'!#REF!,Q263&lt;&gt;"N/A"))</xm:f>
            <x14:dxf>
              <fill>
                <patternFill>
                  <bgColor rgb="FF00B050"/>
                </patternFill>
              </fill>
            </x14:dxf>
          </x14:cfRule>
          <x14:cfRule type="expression" priority="3809" stopIfTrue="1" id="{FF65AB1E-3AD4-4737-99A4-67B2EDD3F345}">
            <xm:f>AND(IF(Q263&lt;'F:\Users\norela.briceno\Documents\Plan de acción\Plan Accion 2018\[Plan Accion Integrado ADRES Vigencia 2018 con Cuadro de Mando V6..xlsx]Plan de Accion 2018'!#REF!,Q263&lt;&gt;"N/A"))</xm:f>
            <x14:dxf>
              <fill>
                <patternFill>
                  <bgColor indexed="10"/>
                </patternFill>
              </fill>
            </x14:dxf>
          </x14:cfRule>
          <xm:sqref>Q263</xm:sqref>
        </x14:conditionalFormatting>
        <x14:conditionalFormatting xmlns:xm="http://schemas.microsoft.com/office/excel/2006/main">
          <x14:cfRule type="expression" priority="3804" id="{9207E794-ECF5-46D1-9A0A-9E2035C14C0D}">
            <xm:f>AND(IF(Q262&gt;'F:\Users\norela.briceno\Documents\Plan de acción\Plan Accion 2018\[Plan Accion Integrado ADRES Vigencia 2018 con Cuadro de Mando V6..xlsx]Plan de Accion 2018'!#REF!,Q262&lt;&gt;¨N/A¨))</xm:f>
            <x14:dxf>
              <fill>
                <patternFill>
                  <bgColor theme="1" tint="0.499984740745262"/>
                </patternFill>
              </fill>
            </x14:dxf>
          </x14:cfRule>
          <x14:cfRule type="expression" priority="3805" stopIfTrue="1" id="{25560152-F61D-4DCD-ADC4-601B4E25C8AA}">
            <xm:f>AND(IF(Q262='F:\Users\norela.briceno\Documents\Plan de acción\Plan Accion 2018\[Plan Accion Integrado ADRES Vigencia 2018 con Cuadro de Mando V6..xlsx]Plan de Accion 2018'!#REF!,Q262&lt;&gt;"N/A"))</xm:f>
            <x14:dxf>
              <fill>
                <patternFill>
                  <bgColor rgb="FF00B050"/>
                </patternFill>
              </fill>
            </x14:dxf>
          </x14:cfRule>
          <x14:cfRule type="expression" priority="3806" stopIfTrue="1" id="{EC45CD89-74E9-4256-B39E-B129B473C85B}">
            <xm:f>AND(IF(Q262&lt;'F:\Users\norela.briceno\Documents\Plan de acción\Plan Accion 2018\[Plan Accion Integrado ADRES Vigencia 2018 con Cuadro de Mando V6..xlsx]Plan de Accion 2018'!#REF!,Q262&lt;&gt;"N/A"))</xm:f>
            <x14:dxf>
              <fill>
                <patternFill>
                  <bgColor indexed="10"/>
                </patternFill>
              </fill>
            </x14:dxf>
          </x14:cfRule>
          <xm:sqref>Q262</xm:sqref>
        </x14:conditionalFormatting>
        <x14:conditionalFormatting xmlns:xm="http://schemas.microsoft.com/office/excel/2006/main">
          <x14:cfRule type="expression" priority="3801" id="{6267B253-9E91-4C4B-B811-0BF71BFAD79B}">
            <xm:f>AND(IF(Q261&gt;'F:\Users\norela.briceno\Documents\Plan de acción\Plan Accion 2018\[Plan Accion Integrado ADRES Vigencia 2018 con Cuadro de Mando V6..xlsx]Plan de Accion 2018'!#REF!,Q261&lt;&gt;¨N/A¨))</xm:f>
            <x14:dxf>
              <fill>
                <patternFill>
                  <bgColor theme="1" tint="0.499984740745262"/>
                </patternFill>
              </fill>
            </x14:dxf>
          </x14:cfRule>
          <x14:cfRule type="expression" priority="3802" stopIfTrue="1" id="{B88633DC-ED8B-4CE2-B2FF-C3A356F8E359}">
            <xm:f>AND(IF(Q261='F:\Users\norela.briceno\Documents\Plan de acción\Plan Accion 2018\[Plan Accion Integrado ADRES Vigencia 2018 con Cuadro de Mando V6..xlsx]Plan de Accion 2018'!#REF!,Q261&lt;&gt;"N/A"))</xm:f>
            <x14:dxf>
              <fill>
                <patternFill>
                  <bgColor rgb="FF00B050"/>
                </patternFill>
              </fill>
            </x14:dxf>
          </x14:cfRule>
          <x14:cfRule type="expression" priority="3803" stopIfTrue="1" id="{41D85693-8C8F-4719-8AF1-3F393D83E1C1}">
            <xm:f>AND(IF(Q261&lt;'F:\Users\norela.briceno\Documents\Plan de acción\Plan Accion 2018\[Plan Accion Integrado ADRES Vigencia 2018 con Cuadro de Mando V6..xlsx]Plan de Accion 2018'!#REF!,Q261&lt;&gt;"N/A"))</xm:f>
            <x14:dxf>
              <fill>
                <patternFill>
                  <bgColor indexed="10"/>
                </patternFill>
              </fill>
            </x14:dxf>
          </x14:cfRule>
          <xm:sqref>Q261</xm:sqref>
        </x14:conditionalFormatting>
        <x14:conditionalFormatting xmlns:xm="http://schemas.microsoft.com/office/excel/2006/main">
          <x14:cfRule type="expression" priority="3798" id="{60D34CA8-AD89-4E61-B3B5-848D175BE4D4}">
            <xm:f>AND(IF(Q260&gt;'F:\Users\norela.briceno\Documents\Plan de acción\Plan Accion 2018\[Plan Accion Integrado ADRES Vigencia 2018 con Cuadro de Mando V6..xlsx]Plan de Accion 2018'!#REF!,Q260&lt;&gt;¨N/A¨))</xm:f>
            <x14:dxf>
              <fill>
                <patternFill>
                  <bgColor theme="1" tint="0.499984740745262"/>
                </patternFill>
              </fill>
            </x14:dxf>
          </x14:cfRule>
          <x14:cfRule type="expression" priority="3799" stopIfTrue="1" id="{F49279E3-10B3-44A0-944E-E6C46BA3F537}">
            <xm:f>AND(IF(Q260='F:\Users\norela.briceno\Documents\Plan de acción\Plan Accion 2018\[Plan Accion Integrado ADRES Vigencia 2018 con Cuadro de Mando V6..xlsx]Plan de Accion 2018'!#REF!,Q260&lt;&gt;"N/A"))</xm:f>
            <x14:dxf>
              <fill>
                <patternFill>
                  <bgColor rgb="FF00B050"/>
                </patternFill>
              </fill>
            </x14:dxf>
          </x14:cfRule>
          <x14:cfRule type="expression" priority="3800" stopIfTrue="1" id="{ED57B0C9-B10B-4A7E-A844-2681DD1CB460}">
            <xm:f>AND(IF(Q260&lt;'F:\Users\norela.briceno\Documents\Plan de acción\Plan Accion 2018\[Plan Accion Integrado ADRES Vigencia 2018 con Cuadro de Mando V6..xlsx]Plan de Accion 2018'!#REF!,Q260&lt;&gt;"N/A"))</xm:f>
            <x14:dxf>
              <fill>
                <patternFill>
                  <bgColor indexed="10"/>
                </patternFill>
              </fill>
            </x14:dxf>
          </x14:cfRule>
          <xm:sqref>Q260</xm:sqref>
        </x14:conditionalFormatting>
        <x14:conditionalFormatting xmlns:xm="http://schemas.microsoft.com/office/excel/2006/main">
          <x14:cfRule type="expression" priority="3795" id="{903E05A1-7840-4A21-998A-5F7511048A08}">
            <xm:f>AND(IF(Q259&gt;'F:\Users\norela.briceno\Documents\Plan de acción\Plan Accion 2018\[Plan Accion Integrado ADRES Vigencia 2018 con Cuadro de Mando V6..xlsx]Plan de Accion 2018'!#REF!,Q259&lt;&gt;¨N/A¨))</xm:f>
            <x14:dxf>
              <fill>
                <patternFill>
                  <bgColor theme="1" tint="0.499984740745262"/>
                </patternFill>
              </fill>
            </x14:dxf>
          </x14:cfRule>
          <x14:cfRule type="expression" priority="3796" stopIfTrue="1" id="{CB57298C-C95E-4936-A235-3315D0B8F891}">
            <xm:f>AND(IF(Q259='F:\Users\norela.briceno\Documents\Plan de acción\Plan Accion 2018\[Plan Accion Integrado ADRES Vigencia 2018 con Cuadro de Mando V6..xlsx]Plan de Accion 2018'!#REF!,Q259&lt;&gt;"N/A"))</xm:f>
            <x14:dxf>
              <fill>
                <patternFill>
                  <bgColor rgb="FF00B050"/>
                </patternFill>
              </fill>
            </x14:dxf>
          </x14:cfRule>
          <x14:cfRule type="expression" priority="3797" stopIfTrue="1" id="{2154DF10-393C-4C8D-A7BD-839DEF28E8F9}">
            <xm:f>AND(IF(Q259&lt;'F:\Users\norela.briceno\Documents\Plan de acción\Plan Accion 2018\[Plan Accion Integrado ADRES Vigencia 2018 con Cuadro de Mando V6..xlsx]Plan de Accion 2018'!#REF!,Q259&lt;&gt;"N/A"))</xm:f>
            <x14:dxf>
              <fill>
                <patternFill>
                  <bgColor indexed="10"/>
                </patternFill>
              </fill>
            </x14:dxf>
          </x14:cfRule>
          <xm:sqref>Q259</xm:sqref>
        </x14:conditionalFormatting>
        <x14:conditionalFormatting xmlns:xm="http://schemas.microsoft.com/office/excel/2006/main">
          <x14:cfRule type="expression" priority="3792" id="{4FAC7172-DDF5-4314-857D-087D51F3B164}">
            <xm:f>AND(IF(Q258&gt;'F:\Users\norela.briceno\Documents\Plan de acción\Plan Accion 2018\[Plan Accion Integrado ADRES Vigencia 2018 con Cuadro de Mando V6..xlsx]Plan de Accion 2018'!#REF!,Q258&lt;&gt;¨N/A¨))</xm:f>
            <x14:dxf>
              <fill>
                <patternFill>
                  <bgColor theme="1" tint="0.499984740745262"/>
                </patternFill>
              </fill>
            </x14:dxf>
          </x14:cfRule>
          <x14:cfRule type="expression" priority="3793" stopIfTrue="1" id="{2939C42F-92BD-4752-9394-AAA97521E974}">
            <xm:f>AND(IF(Q258='F:\Users\norela.briceno\Documents\Plan de acción\Plan Accion 2018\[Plan Accion Integrado ADRES Vigencia 2018 con Cuadro de Mando V6..xlsx]Plan de Accion 2018'!#REF!,Q258&lt;&gt;"N/A"))</xm:f>
            <x14:dxf>
              <fill>
                <patternFill>
                  <bgColor rgb="FF00B050"/>
                </patternFill>
              </fill>
            </x14:dxf>
          </x14:cfRule>
          <x14:cfRule type="expression" priority="3794" stopIfTrue="1" id="{94B4D1F1-4ACB-4FDD-A359-CC1B3BD7D475}">
            <xm:f>AND(IF(Q258&lt;'F:\Users\norela.briceno\Documents\Plan de acción\Plan Accion 2018\[Plan Accion Integrado ADRES Vigencia 2018 con Cuadro de Mando V6..xlsx]Plan de Accion 2018'!#REF!,Q258&lt;&gt;"N/A"))</xm:f>
            <x14:dxf>
              <fill>
                <patternFill>
                  <bgColor indexed="10"/>
                </patternFill>
              </fill>
            </x14:dxf>
          </x14:cfRule>
          <xm:sqref>Q258</xm:sqref>
        </x14:conditionalFormatting>
        <x14:conditionalFormatting xmlns:xm="http://schemas.microsoft.com/office/excel/2006/main">
          <x14:cfRule type="expression" priority="3789" id="{54C3AD6A-724E-4391-99AF-867E6A93ED6A}">
            <xm:f>AND(IF(Q257&gt;'F:\Users\norela.briceno\Documents\Plan de acción\Plan Accion 2018\[Plan Accion Integrado ADRES Vigencia 2018 con Cuadro de Mando V6..xlsx]Plan de Accion 2018'!#REF!,Q257&lt;&gt;¨N/A¨))</xm:f>
            <x14:dxf>
              <fill>
                <patternFill>
                  <bgColor theme="1" tint="0.499984740745262"/>
                </patternFill>
              </fill>
            </x14:dxf>
          </x14:cfRule>
          <x14:cfRule type="expression" priority="3790" stopIfTrue="1" id="{D45070E1-7DE9-4D00-A999-6E98A133DEB2}">
            <xm:f>AND(IF(Q257='F:\Users\norela.briceno\Documents\Plan de acción\Plan Accion 2018\[Plan Accion Integrado ADRES Vigencia 2018 con Cuadro de Mando V6..xlsx]Plan de Accion 2018'!#REF!,Q257&lt;&gt;"N/A"))</xm:f>
            <x14:dxf>
              <fill>
                <patternFill>
                  <bgColor rgb="FF00B050"/>
                </patternFill>
              </fill>
            </x14:dxf>
          </x14:cfRule>
          <x14:cfRule type="expression" priority="3791" stopIfTrue="1" id="{F099F879-0972-4C61-9B22-371149C86269}">
            <xm:f>AND(IF(Q257&lt;'F:\Users\norela.briceno\Documents\Plan de acción\Plan Accion 2018\[Plan Accion Integrado ADRES Vigencia 2018 con Cuadro de Mando V6..xlsx]Plan de Accion 2018'!#REF!,Q257&lt;&gt;"N/A"))</xm:f>
            <x14:dxf>
              <fill>
                <patternFill>
                  <bgColor indexed="10"/>
                </patternFill>
              </fill>
            </x14:dxf>
          </x14:cfRule>
          <xm:sqref>Q257</xm:sqref>
        </x14:conditionalFormatting>
        <x14:conditionalFormatting xmlns:xm="http://schemas.microsoft.com/office/excel/2006/main">
          <x14:cfRule type="expression" priority="3786" id="{00FCEDDD-4AB2-424E-86D0-2875C2CA9365}">
            <xm:f>AND(IF(Q256&gt;'F:\Users\norela.briceno\Documents\Plan de acción\Plan Accion 2018\[Plan Accion Integrado ADRES Vigencia 2018 con Cuadro de Mando V6..xlsx]Plan de Accion 2018'!#REF!,Q256&lt;&gt;¨N/A¨))</xm:f>
            <x14:dxf>
              <fill>
                <patternFill>
                  <bgColor theme="1" tint="0.499984740745262"/>
                </patternFill>
              </fill>
            </x14:dxf>
          </x14:cfRule>
          <x14:cfRule type="expression" priority="3787" stopIfTrue="1" id="{83573090-F625-4817-93D9-5F0D4560003E}">
            <xm:f>AND(IF(Q256='F:\Users\norela.briceno\Documents\Plan de acción\Plan Accion 2018\[Plan Accion Integrado ADRES Vigencia 2018 con Cuadro de Mando V6..xlsx]Plan de Accion 2018'!#REF!,Q256&lt;&gt;"N/A"))</xm:f>
            <x14:dxf>
              <fill>
                <patternFill>
                  <bgColor rgb="FF00B050"/>
                </patternFill>
              </fill>
            </x14:dxf>
          </x14:cfRule>
          <x14:cfRule type="expression" priority="3788" stopIfTrue="1" id="{7D7216F7-5546-4729-81B9-9B823BC2FC2D}">
            <xm:f>AND(IF(Q256&lt;'F:\Users\norela.briceno\Documents\Plan de acción\Plan Accion 2018\[Plan Accion Integrado ADRES Vigencia 2018 con Cuadro de Mando V6..xlsx]Plan de Accion 2018'!#REF!,Q256&lt;&gt;"N/A"))</xm:f>
            <x14:dxf>
              <fill>
                <patternFill>
                  <bgColor indexed="10"/>
                </patternFill>
              </fill>
            </x14:dxf>
          </x14:cfRule>
          <xm:sqref>Q256</xm:sqref>
        </x14:conditionalFormatting>
        <x14:conditionalFormatting xmlns:xm="http://schemas.microsoft.com/office/excel/2006/main">
          <x14:cfRule type="expression" priority="3783" id="{6CF3ACC3-5147-4CC4-9428-846C630FD763}">
            <xm:f>AND(IF(Q255&gt;'F:\Users\norela.briceno\Documents\Plan de acción\Plan Accion 2018\[Plan Accion Integrado ADRES Vigencia 2018 con Cuadro de Mando V6..xlsx]Plan de Accion 2018'!#REF!,Q255&lt;&gt;¨N/A¨))</xm:f>
            <x14:dxf>
              <fill>
                <patternFill>
                  <bgColor theme="1" tint="0.499984740745262"/>
                </patternFill>
              </fill>
            </x14:dxf>
          </x14:cfRule>
          <x14:cfRule type="expression" priority="3784" stopIfTrue="1" id="{0B80E16E-162A-4A52-844A-2FE5A82F0F2D}">
            <xm:f>AND(IF(Q255='F:\Users\norela.briceno\Documents\Plan de acción\Plan Accion 2018\[Plan Accion Integrado ADRES Vigencia 2018 con Cuadro de Mando V6..xlsx]Plan de Accion 2018'!#REF!,Q255&lt;&gt;"N/A"))</xm:f>
            <x14:dxf>
              <fill>
                <patternFill>
                  <bgColor rgb="FF00B050"/>
                </patternFill>
              </fill>
            </x14:dxf>
          </x14:cfRule>
          <x14:cfRule type="expression" priority="3785" stopIfTrue="1" id="{C3CDC453-7185-419F-AF67-2D5BF84CFDE0}">
            <xm:f>AND(IF(Q255&lt;'F:\Users\norela.briceno\Documents\Plan de acción\Plan Accion 2018\[Plan Accion Integrado ADRES Vigencia 2018 con Cuadro de Mando V6..xlsx]Plan de Accion 2018'!#REF!,Q255&lt;&gt;"N/A"))</xm:f>
            <x14:dxf>
              <fill>
                <patternFill>
                  <bgColor indexed="10"/>
                </patternFill>
              </fill>
            </x14:dxf>
          </x14:cfRule>
          <xm:sqref>Q255</xm:sqref>
        </x14:conditionalFormatting>
        <x14:conditionalFormatting xmlns:xm="http://schemas.microsoft.com/office/excel/2006/main">
          <x14:cfRule type="expression" priority="3780" id="{4C3E909C-D989-445F-A9DE-8A41059D0D3A}">
            <xm:f>AND(IF(Q254&gt;'F:\Users\norela.briceno\Documents\Plan de acción\Plan Accion 2018\[Plan Accion Integrado ADRES Vigencia 2018 con Cuadro de Mando V6..xlsx]Plan de Accion 2018'!#REF!,Q254&lt;&gt;¨N/A¨))</xm:f>
            <x14:dxf>
              <fill>
                <patternFill>
                  <bgColor theme="1" tint="0.499984740745262"/>
                </patternFill>
              </fill>
            </x14:dxf>
          </x14:cfRule>
          <x14:cfRule type="expression" priority="3781" stopIfTrue="1" id="{B3637E8D-EC80-4F26-8708-968003326D9D}">
            <xm:f>AND(IF(Q254='F:\Users\norela.briceno\Documents\Plan de acción\Plan Accion 2018\[Plan Accion Integrado ADRES Vigencia 2018 con Cuadro de Mando V6..xlsx]Plan de Accion 2018'!#REF!,Q254&lt;&gt;"N/A"))</xm:f>
            <x14:dxf>
              <fill>
                <patternFill>
                  <bgColor rgb="FF00B050"/>
                </patternFill>
              </fill>
            </x14:dxf>
          </x14:cfRule>
          <x14:cfRule type="expression" priority="3782" stopIfTrue="1" id="{96BF8A69-3660-4C48-991C-DD3218310390}">
            <xm:f>AND(IF(Q254&lt;'F:\Users\norela.briceno\Documents\Plan de acción\Plan Accion 2018\[Plan Accion Integrado ADRES Vigencia 2018 con Cuadro de Mando V6..xlsx]Plan de Accion 2018'!#REF!,Q254&lt;&gt;"N/A"))</xm:f>
            <x14:dxf>
              <fill>
                <patternFill>
                  <bgColor indexed="10"/>
                </patternFill>
              </fill>
            </x14:dxf>
          </x14:cfRule>
          <xm:sqref>Q254</xm:sqref>
        </x14:conditionalFormatting>
        <x14:conditionalFormatting xmlns:xm="http://schemas.microsoft.com/office/excel/2006/main">
          <x14:cfRule type="expression" priority="3777" id="{E8410DCE-F1B8-4B38-867A-9309122B3E96}">
            <xm:f>AND(IF(Q253&gt;'F:\Users\norela.briceno\Documents\Plan de acción\Plan Accion 2018\[Plan Accion Integrado ADRES Vigencia 2018 con Cuadro de Mando V6..xlsx]Plan de Accion 2018'!#REF!,Q253&lt;&gt;¨N/A¨))</xm:f>
            <x14:dxf>
              <fill>
                <patternFill>
                  <bgColor theme="1" tint="0.499984740745262"/>
                </patternFill>
              </fill>
            </x14:dxf>
          </x14:cfRule>
          <x14:cfRule type="expression" priority="3778" stopIfTrue="1" id="{C53009D0-54C0-4EAA-AE48-83A2401C82BA}">
            <xm:f>AND(IF(Q253='F:\Users\norela.briceno\Documents\Plan de acción\Plan Accion 2018\[Plan Accion Integrado ADRES Vigencia 2018 con Cuadro de Mando V6..xlsx]Plan de Accion 2018'!#REF!,Q253&lt;&gt;"N/A"))</xm:f>
            <x14:dxf>
              <fill>
                <patternFill>
                  <bgColor rgb="FF00B050"/>
                </patternFill>
              </fill>
            </x14:dxf>
          </x14:cfRule>
          <x14:cfRule type="expression" priority="3779" stopIfTrue="1" id="{91D61431-3A2B-479F-BA33-2FFD5FE0D94A}">
            <xm:f>AND(IF(Q253&lt;'F:\Users\norela.briceno\Documents\Plan de acción\Plan Accion 2018\[Plan Accion Integrado ADRES Vigencia 2018 con Cuadro de Mando V6..xlsx]Plan de Accion 2018'!#REF!,Q253&lt;&gt;"N/A"))</xm:f>
            <x14:dxf>
              <fill>
                <patternFill>
                  <bgColor indexed="10"/>
                </patternFill>
              </fill>
            </x14:dxf>
          </x14:cfRule>
          <xm:sqref>Q253</xm:sqref>
        </x14:conditionalFormatting>
        <x14:conditionalFormatting xmlns:xm="http://schemas.microsoft.com/office/excel/2006/main">
          <x14:cfRule type="expression" priority="3774" id="{D3547650-DD2E-409E-9C1E-AB94B486DAB5}">
            <xm:f>AND(IF(Q252&gt;'F:\Users\norela.briceno\Documents\Plan de acción\Plan Accion 2018\[Plan Accion Integrado ADRES Vigencia 2018 con Cuadro de Mando V6..xlsx]Plan de Accion 2018'!#REF!,Q252&lt;&gt;¨N/A¨))</xm:f>
            <x14:dxf>
              <fill>
                <patternFill>
                  <bgColor theme="1" tint="0.499984740745262"/>
                </patternFill>
              </fill>
            </x14:dxf>
          </x14:cfRule>
          <x14:cfRule type="expression" priority="3775" stopIfTrue="1" id="{A733E44F-138E-49BD-A186-1B451909520B}">
            <xm:f>AND(IF(Q252='F:\Users\norela.briceno\Documents\Plan de acción\Plan Accion 2018\[Plan Accion Integrado ADRES Vigencia 2018 con Cuadro de Mando V6..xlsx]Plan de Accion 2018'!#REF!,Q252&lt;&gt;"N/A"))</xm:f>
            <x14:dxf>
              <fill>
                <patternFill>
                  <bgColor rgb="FF00B050"/>
                </patternFill>
              </fill>
            </x14:dxf>
          </x14:cfRule>
          <x14:cfRule type="expression" priority="3776" stopIfTrue="1" id="{D990B784-7B65-4A46-AE0B-B58279FC5C79}">
            <xm:f>AND(IF(Q252&lt;'F:\Users\norela.briceno\Documents\Plan de acción\Plan Accion 2018\[Plan Accion Integrado ADRES Vigencia 2018 con Cuadro de Mando V6..xlsx]Plan de Accion 2018'!#REF!,Q252&lt;&gt;"N/A"))</xm:f>
            <x14:dxf>
              <fill>
                <patternFill>
                  <bgColor indexed="10"/>
                </patternFill>
              </fill>
            </x14:dxf>
          </x14:cfRule>
          <xm:sqref>Q252</xm:sqref>
        </x14:conditionalFormatting>
        <x14:conditionalFormatting xmlns:xm="http://schemas.microsoft.com/office/excel/2006/main">
          <x14:cfRule type="expression" priority="3771" id="{2F07D530-BE55-43D2-9F5E-25D0D0D93442}">
            <xm:f>AND(IF(Q250&gt;'F:\Users\norela.briceno\Documents\Plan de acción\Plan Accion 2018\[Plan Accion Integrado ADRES Vigencia 2018 con Cuadro de Mando V6..xlsx]Plan de Accion 2018'!#REF!,Q250&lt;&gt;¨N/A¨))</xm:f>
            <x14:dxf>
              <fill>
                <patternFill>
                  <bgColor theme="1" tint="0.499984740745262"/>
                </patternFill>
              </fill>
            </x14:dxf>
          </x14:cfRule>
          <x14:cfRule type="expression" priority="3772" stopIfTrue="1" id="{4D085D8F-B65E-4299-8F17-557BCB360078}">
            <xm:f>AND(IF(Q250='F:\Users\norela.briceno\Documents\Plan de acción\Plan Accion 2018\[Plan Accion Integrado ADRES Vigencia 2018 con Cuadro de Mando V6..xlsx]Plan de Accion 2018'!#REF!,Q250&lt;&gt;"N/A"))</xm:f>
            <x14:dxf>
              <fill>
                <patternFill>
                  <bgColor rgb="FF00B050"/>
                </patternFill>
              </fill>
            </x14:dxf>
          </x14:cfRule>
          <x14:cfRule type="expression" priority="3773" stopIfTrue="1" id="{B8DA13EC-3557-45F4-B485-D582BA328AA7}">
            <xm:f>AND(IF(Q250&lt;'F:\Users\norela.briceno\Documents\Plan de acción\Plan Accion 2018\[Plan Accion Integrado ADRES Vigencia 2018 con Cuadro de Mando V6..xlsx]Plan de Accion 2018'!#REF!,Q250&lt;&gt;"N/A"))</xm:f>
            <x14:dxf>
              <fill>
                <patternFill>
                  <bgColor indexed="10"/>
                </patternFill>
              </fill>
            </x14:dxf>
          </x14:cfRule>
          <xm:sqref>Q250</xm:sqref>
        </x14:conditionalFormatting>
        <x14:conditionalFormatting xmlns:xm="http://schemas.microsoft.com/office/excel/2006/main">
          <x14:cfRule type="expression" priority="3768" id="{1E2D09D2-0733-42C4-9AF5-A5D35C84A9BD}">
            <xm:f>AND(IF(Q249&gt;'F:\Users\norela.briceno\Documents\Plan de acción\Plan Accion 2018\[Plan Accion Integrado ADRES Vigencia 2018 con Cuadro de Mando V6..xlsx]Plan de Accion 2018'!#REF!,Q249&lt;&gt;¨N/A¨))</xm:f>
            <x14:dxf>
              <fill>
                <patternFill>
                  <bgColor theme="1" tint="0.499984740745262"/>
                </patternFill>
              </fill>
            </x14:dxf>
          </x14:cfRule>
          <x14:cfRule type="expression" priority="3769" stopIfTrue="1" id="{1A4EB3AF-16C5-41CE-95C2-A020F8117B53}">
            <xm:f>AND(IF(Q249='F:\Users\norela.briceno\Documents\Plan de acción\Plan Accion 2018\[Plan Accion Integrado ADRES Vigencia 2018 con Cuadro de Mando V6..xlsx]Plan de Accion 2018'!#REF!,Q249&lt;&gt;"N/A"))</xm:f>
            <x14:dxf>
              <fill>
                <patternFill>
                  <bgColor rgb="FF00B050"/>
                </patternFill>
              </fill>
            </x14:dxf>
          </x14:cfRule>
          <x14:cfRule type="expression" priority="3770" stopIfTrue="1" id="{41A316C2-FDB6-4AB0-AEE9-0F847B49599A}">
            <xm:f>AND(IF(Q249&lt;'F:\Users\norela.briceno\Documents\Plan de acción\Plan Accion 2018\[Plan Accion Integrado ADRES Vigencia 2018 con Cuadro de Mando V6..xlsx]Plan de Accion 2018'!#REF!,Q249&lt;&gt;"N/A"))</xm:f>
            <x14:dxf>
              <fill>
                <patternFill>
                  <bgColor indexed="10"/>
                </patternFill>
              </fill>
            </x14:dxf>
          </x14:cfRule>
          <xm:sqref>Q249</xm:sqref>
        </x14:conditionalFormatting>
        <x14:conditionalFormatting xmlns:xm="http://schemas.microsoft.com/office/excel/2006/main">
          <x14:cfRule type="expression" priority="3765" id="{E7C0FD2B-CE26-4825-9C5D-0521747E865C}">
            <xm:f>AND(IF(Q248&gt;'F:\Users\norela.briceno\Documents\Plan de acción\Plan Accion 2018\[Plan Accion Integrado ADRES Vigencia 2018 con Cuadro de Mando V6..xlsx]Plan de Accion 2018'!#REF!,Q248&lt;&gt;¨N/A¨))</xm:f>
            <x14:dxf>
              <fill>
                <patternFill>
                  <bgColor theme="1" tint="0.499984740745262"/>
                </patternFill>
              </fill>
            </x14:dxf>
          </x14:cfRule>
          <x14:cfRule type="expression" priority="3766" stopIfTrue="1" id="{5FE2F556-976C-485B-9791-E006C1E490E5}">
            <xm:f>AND(IF(Q248='F:\Users\norela.briceno\Documents\Plan de acción\Plan Accion 2018\[Plan Accion Integrado ADRES Vigencia 2018 con Cuadro de Mando V6..xlsx]Plan de Accion 2018'!#REF!,Q248&lt;&gt;"N/A"))</xm:f>
            <x14:dxf>
              <fill>
                <patternFill>
                  <bgColor rgb="FF00B050"/>
                </patternFill>
              </fill>
            </x14:dxf>
          </x14:cfRule>
          <x14:cfRule type="expression" priority="3767" stopIfTrue="1" id="{3B74B324-3C2A-4B99-9B76-9C2E1EC69C71}">
            <xm:f>AND(IF(Q248&lt;'F:\Users\norela.briceno\Documents\Plan de acción\Plan Accion 2018\[Plan Accion Integrado ADRES Vigencia 2018 con Cuadro de Mando V6..xlsx]Plan de Accion 2018'!#REF!,Q248&lt;&gt;"N/A"))</xm:f>
            <x14:dxf>
              <fill>
                <patternFill>
                  <bgColor indexed="10"/>
                </patternFill>
              </fill>
            </x14:dxf>
          </x14:cfRule>
          <xm:sqref>Q248</xm:sqref>
        </x14:conditionalFormatting>
        <x14:conditionalFormatting xmlns:xm="http://schemas.microsoft.com/office/excel/2006/main">
          <x14:cfRule type="expression" priority="3762" id="{4D8F727A-1E31-435F-81F4-D7D46B54974A}">
            <xm:f>AND(IF(Q247&gt;'F:\Users\norela.briceno\Documents\Plan de acción\Plan Accion 2018\[Plan Accion Integrado ADRES Vigencia 2018 con Cuadro de Mando V6..xlsx]Plan de Accion 2018'!#REF!,Q247&lt;&gt;¨N/A¨))</xm:f>
            <x14:dxf>
              <fill>
                <patternFill>
                  <bgColor theme="1" tint="0.499984740745262"/>
                </patternFill>
              </fill>
            </x14:dxf>
          </x14:cfRule>
          <x14:cfRule type="expression" priority="3763" stopIfTrue="1" id="{988CA33E-F1E7-4A95-9AA4-389019DFFA53}">
            <xm:f>AND(IF(Q247='F:\Users\norela.briceno\Documents\Plan de acción\Plan Accion 2018\[Plan Accion Integrado ADRES Vigencia 2018 con Cuadro de Mando V6..xlsx]Plan de Accion 2018'!#REF!,Q247&lt;&gt;"N/A"))</xm:f>
            <x14:dxf>
              <fill>
                <patternFill>
                  <bgColor rgb="FF00B050"/>
                </patternFill>
              </fill>
            </x14:dxf>
          </x14:cfRule>
          <x14:cfRule type="expression" priority="3764" stopIfTrue="1" id="{784D0B97-1FD8-49C3-A38D-44E791B178C2}">
            <xm:f>AND(IF(Q247&lt;'F:\Users\norela.briceno\Documents\Plan de acción\Plan Accion 2018\[Plan Accion Integrado ADRES Vigencia 2018 con Cuadro de Mando V6..xlsx]Plan de Accion 2018'!#REF!,Q247&lt;&gt;"N/A"))</xm:f>
            <x14:dxf>
              <fill>
                <patternFill>
                  <bgColor indexed="10"/>
                </patternFill>
              </fill>
            </x14:dxf>
          </x14:cfRule>
          <xm:sqref>Q247</xm:sqref>
        </x14:conditionalFormatting>
        <x14:conditionalFormatting xmlns:xm="http://schemas.microsoft.com/office/excel/2006/main">
          <x14:cfRule type="expression" priority="3759" id="{C6718257-64BB-4797-B0BC-240344834122}">
            <xm:f>AND(IF(Q246&gt;'F:\Users\norela.briceno\Documents\Plan de acción\Plan Accion 2018\[Plan Accion Integrado ADRES Vigencia 2018 con Cuadro de Mando V6..xlsx]Plan de Accion 2018'!#REF!,Q246&lt;&gt;¨N/A¨))</xm:f>
            <x14:dxf>
              <fill>
                <patternFill>
                  <bgColor theme="1" tint="0.499984740745262"/>
                </patternFill>
              </fill>
            </x14:dxf>
          </x14:cfRule>
          <x14:cfRule type="expression" priority="3760" stopIfTrue="1" id="{9E21A80B-F243-46B9-AC32-A5F76F57F488}">
            <xm:f>AND(IF(Q246='F:\Users\norela.briceno\Documents\Plan de acción\Plan Accion 2018\[Plan Accion Integrado ADRES Vigencia 2018 con Cuadro de Mando V6..xlsx]Plan de Accion 2018'!#REF!,Q246&lt;&gt;"N/A"))</xm:f>
            <x14:dxf>
              <fill>
                <patternFill>
                  <bgColor rgb="FF00B050"/>
                </patternFill>
              </fill>
            </x14:dxf>
          </x14:cfRule>
          <x14:cfRule type="expression" priority="3761" stopIfTrue="1" id="{C575DEE4-C831-4FF1-9151-CDABFF91F127}">
            <xm:f>AND(IF(Q246&lt;'F:\Users\norela.briceno\Documents\Plan de acción\Plan Accion 2018\[Plan Accion Integrado ADRES Vigencia 2018 con Cuadro de Mando V6..xlsx]Plan de Accion 2018'!#REF!,Q246&lt;&gt;"N/A"))</xm:f>
            <x14:dxf>
              <fill>
                <patternFill>
                  <bgColor indexed="10"/>
                </patternFill>
              </fill>
            </x14:dxf>
          </x14:cfRule>
          <xm:sqref>Q246</xm:sqref>
        </x14:conditionalFormatting>
        <x14:conditionalFormatting xmlns:xm="http://schemas.microsoft.com/office/excel/2006/main">
          <x14:cfRule type="expression" priority="3756" id="{8AEA59F4-75BE-44E7-8089-BDF53B124999}">
            <xm:f>AND(IF(Q245&gt;'F:\Users\norela.briceno\Documents\Plan de acción\Plan Accion 2018\[Plan Accion Integrado ADRES Vigencia 2018 con Cuadro de Mando V6..xlsx]Plan de Accion 2018'!#REF!,Q245&lt;&gt;¨N/A¨))</xm:f>
            <x14:dxf>
              <fill>
                <patternFill>
                  <bgColor theme="1" tint="0.499984740745262"/>
                </patternFill>
              </fill>
            </x14:dxf>
          </x14:cfRule>
          <x14:cfRule type="expression" priority="3757" stopIfTrue="1" id="{D3DCC1E6-1B31-43D2-8FD2-467A193F348C}">
            <xm:f>AND(IF(Q245='F:\Users\norela.briceno\Documents\Plan de acción\Plan Accion 2018\[Plan Accion Integrado ADRES Vigencia 2018 con Cuadro de Mando V6..xlsx]Plan de Accion 2018'!#REF!,Q245&lt;&gt;"N/A"))</xm:f>
            <x14:dxf>
              <fill>
                <patternFill>
                  <bgColor rgb="FF00B050"/>
                </patternFill>
              </fill>
            </x14:dxf>
          </x14:cfRule>
          <x14:cfRule type="expression" priority="3758" stopIfTrue="1" id="{94ABD2EA-58E3-4EBF-A4AA-649A1B48680C}">
            <xm:f>AND(IF(Q245&lt;'F:\Users\norela.briceno\Documents\Plan de acción\Plan Accion 2018\[Plan Accion Integrado ADRES Vigencia 2018 con Cuadro de Mando V6..xlsx]Plan de Accion 2018'!#REF!,Q245&lt;&gt;"N/A"))</xm:f>
            <x14:dxf>
              <fill>
                <patternFill>
                  <bgColor indexed="10"/>
                </patternFill>
              </fill>
            </x14:dxf>
          </x14:cfRule>
          <xm:sqref>Q245</xm:sqref>
        </x14:conditionalFormatting>
        <x14:conditionalFormatting xmlns:xm="http://schemas.microsoft.com/office/excel/2006/main">
          <x14:cfRule type="expression" priority="3753" id="{8D4FF44B-6E2B-4697-A04D-184FC082DF4B}">
            <xm:f>AND(IF(Q239&gt;'F:\Users\norela.briceno\Documents\Plan de acción\Plan Accion 2018\[Plan Accion Integrado ADRES Vigencia 2018 con Cuadro de Mando V6..xlsx]Plan de Accion 2018'!#REF!,Q239&lt;&gt;¨N/A¨))</xm:f>
            <x14:dxf>
              <fill>
                <patternFill>
                  <bgColor theme="1" tint="0.499984740745262"/>
                </patternFill>
              </fill>
            </x14:dxf>
          </x14:cfRule>
          <x14:cfRule type="expression" priority="3754" stopIfTrue="1" id="{183A8255-6B04-4B48-92E6-91479399637D}">
            <xm:f>AND(IF(Q239='F:\Users\norela.briceno\Documents\Plan de acción\Plan Accion 2018\[Plan Accion Integrado ADRES Vigencia 2018 con Cuadro de Mando V6..xlsx]Plan de Accion 2018'!#REF!,Q239&lt;&gt;"N/A"))</xm:f>
            <x14:dxf>
              <fill>
                <patternFill>
                  <bgColor rgb="FF00B050"/>
                </patternFill>
              </fill>
            </x14:dxf>
          </x14:cfRule>
          <x14:cfRule type="expression" priority="3755" stopIfTrue="1" id="{48F2D5D3-04C3-4148-8062-405B2553BDF1}">
            <xm:f>AND(IF(Q239&lt;'F:\Users\norela.briceno\Documents\Plan de acción\Plan Accion 2018\[Plan Accion Integrado ADRES Vigencia 2018 con Cuadro de Mando V6..xlsx]Plan de Accion 2018'!#REF!,Q239&lt;&gt;"N/A"))</xm:f>
            <x14:dxf>
              <fill>
                <patternFill>
                  <bgColor indexed="10"/>
                </patternFill>
              </fill>
            </x14:dxf>
          </x14:cfRule>
          <xm:sqref>Q239</xm:sqref>
        </x14:conditionalFormatting>
        <x14:conditionalFormatting xmlns:xm="http://schemas.microsoft.com/office/excel/2006/main">
          <x14:cfRule type="expression" priority="3750" id="{DD08D258-8181-4F65-89E0-53F3653BBD48}">
            <xm:f>AND(IF(Q240&gt;'F:\Users\norela.briceno\Documents\Plan de acción\Plan Accion 2018\[Plan Accion Integrado ADRES Vigencia 2018 con Cuadro de Mando V6..xlsx]Plan de Accion 2018'!#REF!,Q240&lt;&gt;¨N/A¨))</xm:f>
            <x14:dxf>
              <fill>
                <patternFill>
                  <bgColor theme="1" tint="0.499984740745262"/>
                </patternFill>
              </fill>
            </x14:dxf>
          </x14:cfRule>
          <x14:cfRule type="expression" priority="3751" stopIfTrue="1" id="{AA820DF7-D55D-49CF-BE2B-6098A130A6F2}">
            <xm:f>AND(IF(Q240='F:\Users\norela.briceno\Documents\Plan de acción\Plan Accion 2018\[Plan Accion Integrado ADRES Vigencia 2018 con Cuadro de Mando V6..xlsx]Plan de Accion 2018'!#REF!,Q240&lt;&gt;"N/A"))</xm:f>
            <x14:dxf>
              <fill>
                <patternFill>
                  <bgColor rgb="FF00B050"/>
                </patternFill>
              </fill>
            </x14:dxf>
          </x14:cfRule>
          <x14:cfRule type="expression" priority="3752" stopIfTrue="1" id="{27F2FDFF-612A-4ACC-A2F7-763ABA8234D8}">
            <xm:f>AND(IF(Q240&lt;'F:\Users\norela.briceno\Documents\Plan de acción\Plan Accion 2018\[Plan Accion Integrado ADRES Vigencia 2018 con Cuadro de Mando V6..xlsx]Plan de Accion 2018'!#REF!,Q240&lt;&gt;"N/A"))</xm:f>
            <x14:dxf>
              <fill>
                <patternFill>
                  <bgColor indexed="10"/>
                </patternFill>
              </fill>
            </x14:dxf>
          </x14:cfRule>
          <xm:sqref>Q240</xm:sqref>
        </x14:conditionalFormatting>
        <x14:conditionalFormatting xmlns:xm="http://schemas.microsoft.com/office/excel/2006/main">
          <x14:cfRule type="expression" priority="3747" id="{74B064E8-CBEE-4576-9FBE-CFA076C8C168}">
            <xm:f>AND(IF(Q241&gt;'F:\Users\norela.briceno\Documents\Plan de acción\Plan Accion 2018\[Plan Accion Integrado ADRES Vigencia 2018 con Cuadro de Mando V6..xlsx]Plan de Accion 2018'!#REF!,Q241&lt;&gt;¨N/A¨))</xm:f>
            <x14:dxf>
              <fill>
                <patternFill>
                  <bgColor theme="1" tint="0.499984740745262"/>
                </patternFill>
              </fill>
            </x14:dxf>
          </x14:cfRule>
          <x14:cfRule type="expression" priority="3748" stopIfTrue="1" id="{7DB5ECAD-BB68-4E6D-A638-173B57EFD7AE}">
            <xm:f>AND(IF(Q241='F:\Users\norela.briceno\Documents\Plan de acción\Plan Accion 2018\[Plan Accion Integrado ADRES Vigencia 2018 con Cuadro de Mando V6..xlsx]Plan de Accion 2018'!#REF!,Q241&lt;&gt;"N/A"))</xm:f>
            <x14:dxf>
              <fill>
                <patternFill>
                  <bgColor rgb="FF00B050"/>
                </patternFill>
              </fill>
            </x14:dxf>
          </x14:cfRule>
          <x14:cfRule type="expression" priority="3749" stopIfTrue="1" id="{D9ED3F5D-A0EE-4B11-88B3-2E4EA1D82E22}">
            <xm:f>AND(IF(Q241&lt;'F:\Users\norela.briceno\Documents\Plan de acción\Plan Accion 2018\[Plan Accion Integrado ADRES Vigencia 2018 con Cuadro de Mando V6..xlsx]Plan de Accion 2018'!#REF!,Q241&lt;&gt;"N/A"))</xm:f>
            <x14:dxf>
              <fill>
                <patternFill>
                  <bgColor indexed="10"/>
                </patternFill>
              </fill>
            </x14:dxf>
          </x14:cfRule>
          <xm:sqref>Q241</xm:sqref>
        </x14:conditionalFormatting>
        <x14:conditionalFormatting xmlns:xm="http://schemas.microsoft.com/office/excel/2006/main">
          <x14:cfRule type="expression" priority="3744" id="{4F0C4D83-7BEE-40C2-97D6-29FCB7E4B6DF}">
            <xm:f>AND(IF(Q242&gt;'F:\Users\norela.briceno\Documents\Plan de acción\Plan Accion 2018\[Plan Accion Integrado ADRES Vigencia 2018 con Cuadro de Mando V6..xlsx]Plan de Accion 2018'!#REF!,Q242&lt;&gt;¨N/A¨))</xm:f>
            <x14:dxf>
              <fill>
                <patternFill>
                  <bgColor theme="1" tint="0.499984740745262"/>
                </patternFill>
              </fill>
            </x14:dxf>
          </x14:cfRule>
          <x14:cfRule type="expression" priority="3745" stopIfTrue="1" id="{BA61EB16-7000-4B42-B207-2391A56D511C}">
            <xm:f>AND(IF(Q242='F:\Users\norela.briceno\Documents\Plan de acción\Plan Accion 2018\[Plan Accion Integrado ADRES Vigencia 2018 con Cuadro de Mando V6..xlsx]Plan de Accion 2018'!#REF!,Q242&lt;&gt;"N/A"))</xm:f>
            <x14:dxf>
              <fill>
                <patternFill>
                  <bgColor rgb="FF00B050"/>
                </patternFill>
              </fill>
            </x14:dxf>
          </x14:cfRule>
          <x14:cfRule type="expression" priority="3746" stopIfTrue="1" id="{874C7AEC-B69E-4C99-AD10-A851465E86FA}">
            <xm:f>AND(IF(Q242&lt;'F:\Users\norela.briceno\Documents\Plan de acción\Plan Accion 2018\[Plan Accion Integrado ADRES Vigencia 2018 con Cuadro de Mando V6..xlsx]Plan de Accion 2018'!#REF!,Q242&lt;&gt;"N/A"))</xm:f>
            <x14:dxf>
              <fill>
                <patternFill>
                  <bgColor indexed="10"/>
                </patternFill>
              </fill>
            </x14:dxf>
          </x14:cfRule>
          <xm:sqref>Q242</xm:sqref>
        </x14:conditionalFormatting>
        <x14:conditionalFormatting xmlns:xm="http://schemas.microsoft.com/office/excel/2006/main">
          <x14:cfRule type="expression" priority="3741" id="{7261D8A0-46B5-4D04-A166-B3F6978963A9}">
            <xm:f>AND(IF(Q243&gt;'F:\Users\norela.briceno\Documents\Plan de acción\Plan Accion 2018\[Plan Accion Integrado ADRES Vigencia 2018 con Cuadro de Mando V6..xlsx]Plan de Accion 2018'!#REF!,Q243&lt;&gt;¨N/A¨))</xm:f>
            <x14:dxf>
              <fill>
                <patternFill>
                  <bgColor theme="1" tint="0.499984740745262"/>
                </patternFill>
              </fill>
            </x14:dxf>
          </x14:cfRule>
          <x14:cfRule type="expression" priority="3742" stopIfTrue="1" id="{9CC7F0BD-4256-4F24-B395-F41E20B0C340}">
            <xm:f>AND(IF(Q243='F:\Users\norela.briceno\Documents\Plan de acción\Plan Accion 2018\[Plan Accion Integrado ADRES Vigencia 2018 con Cuadro de Mando V6..xlsx]Plan de Accion 2018'!#REF!,Q243&lt;&gt;"N/A"))</xm:f>
            <x14:dxf>
              <fill>
                <patternFill>
                  <bgColor rgb="FF00B050"/>
                </patternFill>
              </fill>
            </x14:dxf>
          </x14:cfRule>
          <x14:cfRule type="expression" priority="3743" stopIfTrue="1" id="{8DEAB5FB-2597-4832-9A02-8A50C001020E}">
            <xm:f>AND(IF(Q243&lt;'F:\Users\norela.briceno\Documents\Plan de acción\Plan Accion 2018\[Plan Accion Integrado ADRES Vigencia 2018 con Cuadro de Mando V6..xlsx]Plan de Accion 2018'!#REF!,Q243&lt;&gt;"N/A"))</xm:f>
            <x14:dxf>
              <fill>
                <patternFill>
                  <bgColor indexed="10"/>
                </patternFill>
              </fill>
            </x14:dxf>
          </x14:cfRule>
          <xm:sqref>Q243</xm:sqref>
        </x14:conditionalFormatting>
        <x14:conditionalFormatting xmlns:xm="http://schemas.microsoft.com/office/excel/2006/main">
          <x14:cfRule type="expression" priority="3738" id="{412A7B8A-FCF6-47C5-A006-882DD5F5392F}">
            <xm:f>AND(IF(Q244&gt;'F:\Users\norela.briceno\Documents\Plan de acción\Plan Accion 2018\[Plan Accion Integrado ADRES Vigencia 2018 con Cuadro de Mando V6..xlsx]Plan de Accion 2018'!#REF!,Q244&lt;&gt;¨N/A¨))</xm:f>
            <x14:dxf>
              <fill>
                <patternFill>
                  <bgColor theme="1" tint="0.499984740745262"/>
                </patternFill>
              </fill>
            </x14:dxf>
          </x14:cfRule>
          <x14:cfRule type="expression" priority="3739" stopIfTrue="1" id="{7CA9BE4C-62BA-4B19-BD36-0CF83445CB63}">
            <xm:f>AND(IF(Q244='F:\Users\norela.briceno\Documents\Plan de acción\Plan Accion 2018\[Plan Accion Integrado ADRES Vigencia 2018 con Cuadro de Mando V6..xlsx]Plan de Accion 2018'!#REF!,Q244&lt;&gt;"N/A"))</xm:f>
            <x14:dxf>
              <fill>
                <patternFill>
                  <bgColor rgb="FF00B050"/>
                </patternFill>
              </fill>
            </x14:dxf>
          </x14:cfRule>
          <x14:cfRule type="expression" priority="3740" stopIfTrue="1" id="{2C19F9BD-0E60-43B7-ACEE-4849BE4CADF8}">
            <xm:f>AND(IF(Q244&lt;'F:\Users\norela.briceno\Documents\Plan de acción\Plan Accion 2018\[Plan Accion Integrado ADRES Vigencia 2018 con Cuadro de Mando V6..xlsx]Plan de Accion 2018'!#REF!,Q244&lt;&gt;"N/A"))</xm:f>
            <x14:dxf>
              <fill>
                <patternFill>
                  <bgColor indexed="10"/>
                </patternFill>
              </fill>
            </x14:dxf>
          </x14:cfRule>
          <xm:sqref>Q244</xm:sqref>
        </x14:conditionalFormatting>
        <x14:conditionalFormatting xmlns:xm="http://schemas.microsoft.com/office/excel/2006/main">
          <x14:cfRule type="expression" priority="3735" id="{D5D0A3F0-5A05-4F30-B6E5-61E180EFFC4D}">
            <xm:f>AND(IF(Q237&gt;'F:\Users\norela.briceno\Documents\Plan de acción\Plan Accion 2018\[Plan Accion Integrado ADRES Vigencia 2018 con Cuadro de Mando V6..xlsx]Plan de Accion 2018'!#REF!,Q237&lt;&gt;¨N/A¨))</xm:f>
            <x14:dxf>
              <fill>
                <patternFill>
                  <bgColor theme="1" tint="0.499984740745262"/>
                </patternFill>
              </fill>
            </x14:dxf>
          </x14:cfRule>
          <x14:cfRule type="expression" priority="3736" stopIfTrue="1" id="{B7A8A026-AE7A-45E9-88C1-EDC84973AF1B}">
            <xm:f>AND(IF(Q237='F:\Users\norela.briceno\Documents\Plan de acción\Plan Accion 2018\[Plan Accion Integrado ADRES Vigencia 2018 con Cuadro de Mando V6..xlsx]Plan de Accion 2018'!#REF!,Q237&lt;&gt;"N/A"))</xm:f>
            <x14:dxf>
              <fill>
                <patternFill>
                  <bgColor rgb="FF00B050"/>
                </patternFill>
              </fill>
            </x14:dxf>
          </x14:cfRule>
          <x14:cfRule type="expression" priority="3737" stopIfTrue="1" id="{08C6A71E-CE83-4150-9687-12DDF2762A13}">
            <xm:f>AND(IF(Q237&lt;'F:\Users\norela.briceno\Documents\Plan de acción\Plan Accion 2018\[Plan Accion Integrado ADRES Vigencia 2018 con Cuadro de Mando V6..xlsx]Plan de Accion 2018'!#REF!,Q237&lt;&gt;"N/A"))</xm:f>
            <x14:dxf>
              <fill>
                <patternFill>
                  <bgColor indexed="10"/>
                </patternFill>
              </fill>
            </x14:dxf>
          </x14:cfRule>
          <xm:sqref>Q237</xm:sqref>
        </x14:conditionalFormatting>
        <x14:conditionalFormatting xmlns:xm="http://schemas.microsoft.com/office/excel/2006/main">
          <x14:cfRule type="expression" priority="3732" id="{AADC95C7-9267-4E80-9646-AA4AC85D4463}">
            <xm:f>AND(IF(Q236&gt;'F:\Users\norela.briceno\Documents\Plan de acción\Plan Accion 2018\[Plan Accion Integrado ADRES Vigencia 2018 con Cuadro de Mando V6..xlsx]Plan de Accion 2018'!#REF!,Q236&lt;&gt;¨N/A¨))</xm:f>
            <x14:dxf>
              <fill>
                <patternFill>
                  <bgColor theme="1" tint="0.499984740745262"/>
                </patternFill>
              </fill>
            </x14:dxf>
          </x14:cfRule>
          <x14:cfRule type="expression" priority="3733" stopIfTrue="1" id="{0BB77467-D730-4020-B87C-9F441C1A6206}">
            <xm:f>AND(IF(Q236='F:\Users\norela.briceno\Documents\Plan de acción\Plan Accion 2018\[Plan Accion Integrado ADRES Vigencia 2018 con Cuadro de Mando V6..xlsx]Plan de Accion 2018'!#REF!,Q236&lt;&gt;"N/A"))</xm:f>
            <x14:dxf>
              <fill>
                <patternFill>
                  <bgColor rgb="FF00B050"/>
                </patternFill>
              </fill>
            </x14:dxf>
          </x14:cfRule>
          <x14:cfRule type="expression" priority="3734" stopIfTrue="1" id="{44C69AA1-0C11-4531-9FE6-7B119BD2145E}">
            <xm:f>AND(IF(Q236&lt;'F:\Users\norela.briceno\Documents\Plan de acción\Plan Accion 2018\[Plan Accion Integrado ADRES Vigencia 2018 con Cuadro de Mando V6..xlsx]Plan de Accion 2018'!#REF!,Q236&lt;&gt;"N/A"))</xm:f>
            <x14:dxf>
              <fill>
                <patternFill>
                  <bgColor indexed="10"/>
                </patternFill>
              </fill>
            </x14:dxf>
          </x14:cfRule>
          <xm:sqref>Q236</xm:sqref>
        </x14:conditionalFormatting>
        <x14:conditionalFormatting xmlns:xm="http://schemas.microsoft.com/office/excel/2006/main">
          <x14:cfRule type="expression" priority="3729" id="{DF2DDF2A-8933-4F5A-AF8C-7697C8CC5EFF}">
            <xm:f>AND(IF(Q235&gt;'F:\Users\norela.briceno\Documents\Plan de acción\Plan Accion 2018\[Plan Accion Integrado ADRES Vigencia 2018 con Cuadro de Mando V6..xlsx]Plan de Accion 2018'!#REF!,Q235&lt;&gt;¨N/A¨))</xm:f>
            <x14:dxf>
              <fill>
                <patternFill>
                  <bgColor theme="1" tint="0.499984740745262"/>
                </patternFill>
              </fill>
            </x14:dxf>
          </x14:cfRule>
          <x14:cfRule type="expression" priority="3730" stopIfTrue="1" id="{E6F2B62E-4741-43D6-A7A8-4F51FDBDE102}">
            <xm:f>AND(IF(Q235='F:\Users\norela.briceno\Documents\Plan de acción\Plan Accion 2018\[Plan Accion Integrado ADRES Vigencia 2018 con Cuadro de Mando V6..xlsx]Plan de Accion 2018'!#REF!,Q235&lt;&gt;"N/A"))</xm:f>
            <x14:dxf>
              <fill>
                <patternFill>
                  <bgColor rgb="FF00B050"/>
                </patternFill>
              </fill>
            </x14:dxf>
          </x14:cfRule>
          <x14:cfRule type="expression" priority="3731" stopIfTrue="1" id="{8F962656-5FB8-4BA6-B390-0275B72DB106}">
            <xm:f>AND(IF(Q235&lt;'F:\Users\norela.briceno\Documents\Plan de acción\Plan Accion 2018\[Plan Accion Integrado ADRES Vigencia 2018 con Cuadro de Mando V6..xlsx]Plan de Accion 2018'!#REF!,Q235&lt;&gt;"N/A"))</xm:f>
            <x14:dxf>
              <fill>
                <patternFill>
                  <bgColor indexed="10"/>
                </patternFill>
              </fill>
            </x14:dxf>
          </x14:cfRule>
          <xm:sqref>Q235</xm:sqref>
        </x14:conditionalFormatting>
        <x14:conditionalFormatting xmlns:xm="http://schemas.microsoft.com/office/excel/2006/main">
          <x14:cfRule type="expression" priority="3726" id="{E8B674D3-42C2-420E-B5DE-37E700C1D927}">
            <xm:f>AND(IF(Q229&gt;'F:\Users\norela.briceno\Documents\Plan de acción\Plan Accion 2018\[Plan Accion Integrado ADRES Vigencia 2018 con Cuadro de Mando V6..xlsx]Plan de Accion 2018'!#REF!,Q229&lt;&gt;¨N/A¨))</xm:f>
            <x14:dxf>
              <fill>
                <patternFill>
                  <bgColor theme="1" tint="0.499984740745262"/>
                </patternFill>
              </fill>
            </x14:dxf>
          </x14:cfRule>
          <x14:cfRule type="expression" priority="3727" stopIfTrue="1" id="{94A0298D-1E61-4EAE-8F32-FA88412FF50A}">
            <xm:f>AND(IF(Q229='F:\Users\norela.briceno\Documents\Plan de acción\Plan Accion 2018\[Plan Accion Integrado ADRES Vigencia 2018 con Cuadro de Mando V6..xlsx]Plan de Accion 2018'!#REF!,Q229&lt;&gt;"N/A"))</xm:f>
            <x14:dxf>
              <fill>
                <patternFill>
                  <bgColor rgb="FF00B050"/>
                </patternFill>
              </fill>
            </x14:dxf>
          </x14:cfRule>
          <x14:cfRule type="expression" priority="3728" stopIfTrue="1" id="{1CD55B05-0E89-4DE8-8293-0FA3C5100A7C}">
            <xm:f>AND(IF(Q229&lt;'F:\Users\norela.briceno\Documents\Plan de acción\Plan Accion 2018\[Plan Accion Integrado ADRES Vigencia 2018 con Cuadro de Mando V6..xlsx]Plan de Accion 2018'!#REF!,Q229&lt;&gt;"N/A"))</xm:f>
            <x14:dxf>
              <fill>
                <patternFill>
                  <bgColor indexed="10"/>
                </patternFill>
              </fill>
            </x14:dxf>
          </x14:cfRule>
          <xm:sqref>Q229</xm:sqref>
        </x14:conditionalFormatting>
        <x14:conditionalFormatting xmlns:xm="http://schemas.microsoft.com/office/excel/2006/main">
          <x14:cfRule type="expression" priority="3723" id="{8212538F-4EF6-438B-9D73-04578E6D88D4}">
            <xm:f>AND(IF(Q230&gt;'F:\Users\norela.briceno\Documents\Plan de acción\Plan Accion 2018\[Plan Accion Integrado ADRES Vigencia 2018 con Cuadro de Mando V6..xlsx]Plan de Accion 2018'!#REF!,Q230&lt;&gt;¨N/A¨))</xm:f>
            <x14:dxf>
              <fill>
                <patternFill>
                  <bgColor theme="1" tint="0.499984740745262"/>
                </patternFill>
              </fill>
            </x14:dxf>
          </x14:cfRule>
          <x14:cfRule type="expression" priority="3724" stopIfTrue="1" id="{4506CA3B-B829-429B-9AD3-318379EA49DA}">
            <xm:f>AND(IF(Q230='F:\Users\norela.briceno\Documents\Plan de acción\Plan Accion 2018\[Plan Accion Integrado ADRES Vigencia 2018 con Cuadro de Mando V6..xlsx]Plan de Accion 2018'!#REF!,Q230&lt;&gt;"N/A"))</xm:f>
            <x14:dxf>
              <fill>
                <patternFill>
                  <bgColor rgb="FF00B050"/>
                </patternFill>
              </fill>
            </x14:dxf>
          </x14:cfRule>
          <x14:cfRule type="expression" priority="3725" stopIfTrue="1" id="{52EA98E4-09B2-4E66-B002-41AAF4784B8D}">
            <xm:f>AND(IF(Q230&lt;'F:\Users\norela.briceno\Documents\Plan de acción\Plan Accion 2018\[Plan Accion Integrado ADRES Vigencia 2018 con Cuadro de Mando V6..xlsx]Plan de Accion 2018'!#REF!,Q230&lt;&gt;"N/A"))</xm:f>
            <x14:dxf>
              <fill>
                <patternFill>
                  <bgColor indexed="10"/>
                </patternFill>
              </fill>
            </x14:dxf>
          </x14:cfRule>
          <xm:sqref>Q230</xm:sqref>
        </x14:conditionalFormatting>
        <x14:conditionalFormatting xmlns:xm="http://schemas.microsoft.com/office/excel/2006/main">
          <x14:cfRule type="expression" priority="3720" id="{8A49D60A-352C-49F8-A483-F09BDD57CDEE}">
            <xm:f>AND(IF(Q231&gt;'F:\Users\norela.briceno\Documents\Plan de acción\Plan Accion 2018\[Plan Accion Integrado ADRES Vigencia 2018 con Cuadro de Mando V6..xlsx]Plan de Accion 2018'!#REF!,Q231&lt;&gt;¨N/A¨))</xm:f>
            <x14:dxf>
              <fill>
                <patternFill>
                  <bgColor theme="1" tint="0.499984740745262"/>
                </patternFill>
              </fill>
            </x14:dxf>
          </x14:cfRule>
          <x14:cfRule type="expression" priority="3721" stopIfTrue="1" id="{6C11AD44-26CC-4381-A64B-1EC669EABB14}">
            <xm:f>AND(IF(Q231='F:\Users\norela.briceno\Documents\Plan de acción\Plan Accion 2018\[Plan Accion Integrado ADRES Vigencia 2018 con Cuadro de Mando V6..xlsx]Plan de Accion 2018'!#REF!,Q231&lt;&gt;"N/A"))</xm:f>
            <x14:dxf>
              <fill>
                <patternFill>
                  <bgColor rgb="FF00B050"/>
                </patternFill>
              </fill>
            </x14:dxf>
          </x14:cfRule>
          <x14:cfRule type="expression" priority="3722" stopIfTrue="1" id="{F35EE8A2-FB56-41E7-8E75-935803E89792}">
            <xm:f>AND(IF(Q231&lt;'F:\Users\norela.briceno\Documents\Plan de acción\Plan Accion 2018\[Plan Accion Integrado ADRES Vigencia 2018 con Cuadro de Mando V6..xlsx]Plan de Accion 2018'!#REF!,Q231&lt;&gt;"N/A"))</xm:f>
            <x14:dxf>
              <fill>
                <patternFill>
                  <bgColor indexed="10"/>
                </patternFill>
              </fill>
            </x14:dxf>
          </x14:cfRule>
          <xm:sqref>Q231</xm:sqref>
        </x14:conditionalFormatting>
        <x14:conditionalFormatting xmlns:xm="http://schemas.microsoft.com/office/excel/2006/main">
          <x14:cfRule type="expression" priority="3717" id="{BA572D3D-9378-406C-92A1-438727259487}">
            <xm:f>AND(IF(Q232&gt;'F:\Users\norela.briceno\Documents\Plan de acción\Plan Accion 2018\[Plan Accion Integrado ADRES Vigencia 2018 con Cuadro de Mando V6..xlsx]Plan de Accion 2018'!#REF!,Q232&lt;&gt;¨N/A¨))</xm:f>
            <x14:dxf>
              <fill>
                <patternFill>
                  <bgColor theme="1" tint="0.499984740745262"/>
                </patternFill>
              </fill>
            </x14:dxf>
          </x14:cfRule>
          <x14:cfRule type="expression" priority="3718" stopIfTrue="1" id="{9491E56B-527C-4BAF-8441-EBE7A266166A}">
            <xm:f>AND(IF(Q232='F:\Users\norela.briceno\Documents\Plan de acción\Plan Accion 2018\[Plan Accion Integrado ADRES Vigencia 2018 con Cuadro de Mando V6..xlsx]Plan de Accion 2018'!#REF!,Q232&lt;&gt;"N/A"))</xm:f>
            <x14:dxf>
              <fill>
                <patternFill>
                  <bgColor rgb="FF00B050"/>
                </patternFill>
              </fill>
            </x14:dxf>
          </x14:cfRule>
          <x14:cfRule type="expression" priority="3719" stopIfTrue="1" id="{F3C84872-95AC-4371-935A-368FEF91A849}">
            <xm:f>AND(IF(Q232&lt;'F:\Users\norela.briceno\Documents\Plan de acción\Plan Accion 2018\[Plan Accion Integrado ADRES Vigencia 2018 con Cuadro de Mando V6..xlsx]Plan de Accion 2018'!#REF!,Q232&lt;&gt;"N/A"))</xm:f>
            <x14:dxf>
              <fill>
                <patternFill>
                  <bgColor indexed="10"/>
                </patternFill>
              </fill>
            </x14:dxf>
          </x14:cfRule>
          <xm:sqref>Q232</xm:sqref>
        </x14:conditionalFormatting>
        <x14:conditionalFormatting xmlns:xm="http://schemas.microsoft.com/office/excel/2006/main">
          <x14:cfRule type="expression" priority="3714" id="{E7B71B23-1E6A-4976-9413-209E92B1D604}">
            <xm:f>AND(IF(Q233&gt;'F:\Users\norela.briceno\Documents\Plan de acción\Plan Accion 2018\[Plan Accion Integrado ADRES Vigencia 2018 con Cuadro de Mando V6..xlsx]Plan de Accion 2018'!#REF!,Q233&lt;&gt;¨N/A¨))</xm:f>
            <x14:dxf>
              <fill>
                <patternFill>
                  <bgColor theme="1" tint="0.499984740745262"/>
                </patternFill>
              </fill>
            </x14:dxf>
          </x14:cfRule>
          <x14:cfRule type="expression" priority="3715" stopIfTrue="1" id="{227F23AC-6CCF-4C9A-8547-F87667224D40}">
            <xm:f>AND(IF(Q233='F:\Users\norela.briceno\Documents\Plan de acción\Plan Accion 2018\[Plan Accion Integrado ADRES Vigencia 2018 con Cuadro de Mando V6..xlsx]Plan de Accion 2018'!#REF!,Q233&lt;&gt;"N/A"))</xm:f>
            <x14:dxf>
              <fill>
                <patternFill>
                  <bgColor rgb="FF00B050"/>
                </patternFill>
              </fill>
            </x14:dxf>
          </x14:cfRule>
          <x14:cfRule type="expression" priority="3716" stopIfTrue="1" id="{DBCF1DDB-ED2A-4AEB-907B-F8436A41A8C2}">
            <xm:f>AND(IF(Q233&lt;'F:\Users\norela.briceno\Documents\Plan de acción\Plan Accion 2018\[Plan Accion Integrado ADRES Vigencia 2018 con Cuadro de Mando V6..xlsx]Plan de Accion 2018'!#REF!,Q233&lt;&gt;"N/A"))</xm:f>
            <x14:dxf>
              <fill>
                <patternFill>
                  <bgColor indexed="10"/>
                </patternFill>
              </fill>
            </x14:dxf>
          </x14:cfRule>
          <xm:sqref>Q233</xm:sqref>
        </x14:conditionalFormatting>
        <x14:conditionalFormatting xmlns:xm="http://schemas.microsoft.com/office/excel/2006/main">
          <x14:cfRule type="expression" priority="3711" id="{21577FCA-E68C-4BA4-B408-B65038C2B41F}">
            <xm:f>AND(IF(Q234&gt;'F:\Users\norela.briceno\Documents\Plan de acción\Plan Accion 2018\[Plan Accion Integrado ADRES Vigencia 2018 con Cuadro de Mando V6..xlsx]Plan de Accion 2018'!#REF!,Q234&lt;&gt;¨N/A¨))</xm:f>
            <x14:dxf>
              <fill>
                <patternFill>
                  <bgColor theme="1" tint="0.499984740745262"/>
                </patternFill>
              </fill>
            </x14:dxf>
          </x14:cfRule>
          <x14:cfRule type="expression" priority="3712" stopIfTrue="1" id="{A8869639-F6E8-4A07-92C5-F4641A26F378}">
            <xm:f>AND(IF(Q234='F:\Users\norela.briceno\Documents\Plan de acción\Plan Accion 2018\[Plan Accion Integrado ADRES Vigencia 2018 con Cuadro de Mando V6..xlsx]Plan de Accion 2018'!#REF!,Q234&lt;&gt;"N/A"))</xm:f>
            <x14:dxf>
              <fill>
                <patternFill>
                  <bgColor rgb="FF00B050"/>
                </patternFill>
              </fill>
            </x14:dxf>
          </x14:cfRule>
          <x14:cfRule type="expression" priority="3713" stopIfTrue="1" id="{A19DC533-E548-457A-AAF7-4952450E6A44}">
            <xm:f>AND(IF(Q234&lt;'F:\Users\norela.briceno\Documents\Plan de acción\Plan Accion 2018\[Plan Accion Integrado ADRES Vigencia 2018 con Cuadro de Mando V6..xlsx]Plan de Accion 2018'!#REF!,Q234&lt;&gt;"N/A"))</xm:f>
            <x14:dxf>
              <fill>
                <patternFill>
                  <bgColor indexed="10"/>
                </patternFill>
              </fill>
            </x14:dxf>
          </x14:cfRule>
          <xm:sqref>Q234</xm:sqref>
        </x14:conditionalFormatting>
        <x14:conditionalFormatting xmlns:xm="http://schemas.microsoft.com/office/excel/2006/main">
          <x14:cfRule type="expression" priority="3708" id="{8E9A9087-A3BE-443C-8F9B-C8B18CB8DAEA}">
            <xm:f>AND(IF(Q339&gt;'F:\Users\norela.briceno\Documents\Plan de acción\Plan Accion 2018\[Plan Accion Integrado ADRES Vigencia 2018 con Cuadro de Mando V6..xlsx]Plan de Accion 2018'!#REF!,Q339&lt;&gt;¨N/A¨))</xm:f>
            <x14:dxf>
              <fill>
                <patternFill>
                  <bgColor theme="1" tint="0.499984740745262"/>
                </patternFill>
              </fill>
            </x14:dxf>
          </x14:cfRule>
          <x14:cfRule type="expression" priority="3709" stopIfTrue="1" id="{6A759C2F-0440-4D8B-9A98-6A7512E90AA0}">
            <xm:f>AND(IF(Q339='F:\Users\norela.briceno\Documents\Plan de acción\Plan Accion 2018\[Plan Accion Integrado ADRES Vigencia 2018 con Cuadro de Mando V6..xlsx]Plan de Accion 2018'!#REF!,Q339&lt;&gt;"N/A"))</xm:f>
            <x14:dxf>
              <fill>
                <patternFill>
                  <bgColor rgb="FF00B050"/>
                </patternFill>
              </fill>
            </x14:dxf>
          </x14:cfRule>
          <x14:cfRule type="expression" priority="3710" stopIfTrue="1" id="{1E6EF003-42AC-4D47-BA39-8CC8C0E5D3BB}">
            <xm:f>AND(IF(Q339&lt;'F:\Users\norela.briceno\Documents\Plan de acción\Plan Accion 2018\[Plan Accion Integrado ADRES Vigencia 2018 con Cuadro de Mando V6..xlsx]Plan de Accion 2018'!#REF!,Q339&lt;&gt;"N/A"))</xm:f>
            <x14:dxf>
              <fill>
                <patternFill>
                  <bgColor indexed="10"/>
                </patternFill>
              </fill>
            </x14:dxf>
          </x14:cfRule>
          <xm:sqref>Q339</xm:sqref>
        </x14:conditionalFormatting>
        <x14:conditionalFormatting xmlns:xm="http://schemas.microsoft.com/office/excel/2006/main">
          <x14:cfRule type="expression" priority="3705" id="{80B22C1A-F19F-4ACC-AFF2-42CE83018D3D}">
            <xm:f>AND(IF(Q225&gt;'F:\Users\norela.briceno\Documents\Plan de acción\Plan Accion 2018\[Plan Accion Integrado ADRES Vigencia 2018 con Cuadro de Mando V6..xlsx]Plan de Accion 2018'!#REF!,Q225&lt;&gt;¨N/A¨))</xm:f>
            <x14:dxf>
              <fill>
                <patternFill>
                  <bgColor theme="1" tint="0.499984740745262"/>
                </patternFill>
              </fill>
            </x14:dxf>
          </x14:cfRule>
          <x14:cfRule type="expression" priority="3706" stopIfTrue="1" id="{7BF79D33-808D-40D5-8E20-D0119BF724B7}">
            <xm:f>AND(IF(Q225='F:\Users\norela.briceno\Documents\Plan de acción\Plan Accion 2018\[Plan Accion Integrado ADRES Vigencia 2018 con Cuadro de Mando V6..xlsx]Plan de Accion 2018'!#REF!,Q225&lt;&gt;"N/A"))</xm:f>
            <x14:dxf>
              <fill>
                <patternFill>
                  <bgColor rgb="FF00B050"/>
                </patternFill>
              </fill>
            </x14:dxf>
          </x14:cfRule>
          <x14:cfRule type="expression" priority="3707" stopIfTrue="1" id="{8E09D616-33D3-42CA-B9F2-52CAFDADA3A3}">
            <xm:f>AND(IF(Q225&lt;'F:\Users\norela.briceno\Documents\Plan de acción\Plan Accion 2018\[Plan Accion Integrado ADRES Vigencia 2018 con Cuadro de Mando V6..xlsx]Plan de Accion 2018'!#REF!,Q225&lt;&gt;"N/A"))</xm:f>
            <x14:dxf>
              <fill>
                <patternFill>
                  <bgColor indexed="10"/>
                </patternFill>
              </fill>
            </x14:dxf>
          </x14:cfRule>
          <xm:sqref>Q225</xm:sqref>
        </x14:conditionalFormatting>
        <x14:conditionalFormatting xmlns:xm="http://schemas.microsoft.com/office/excel/2006/main">
          <x14:cfRule type="expression" priority="3702" id="{243535CB-4817-4C1A-8C12-321706690F1E}">
            <xm:f>AND(IF(Q224&gt;'F:\Users\norela.briceno\Documents\Plan de acción\Plan Accion 2018\[Plan Accion Integrado ADRES Vigencia 2018 con Cuadro de Mando V6..xlsx]Plan de Accion 2018'!#REF!,Q224&lt;&gt;¨N/A¨))</xm:f>
            <x14:dxf>
              <fill>
                <patternFill>
                  <bgColor theme="1" tint="0.499984740745262"/>
                </patternFill>
              </fill>
            </x14:dxf>
          </x14:cfRule>
          <x14:cfRule type="expression" priority="3703" stopIfTrue="1" id="{CA9DE4A1-D0A6-46EF-9A39-F227C271BD2A}">
            <xm:f>AND(IF(Q224='F:\Users\norela.briceno\Documents\Plan de acción\Plan Accion 2018\[Plan Accion Integrado ADRES Vigencia 2018 con Cuadro de Mando V6..xlsx]Plan de Accion 2018'!#REF!,Q224&lt;&gt;"N/A"))</xm:f>
            <x14:dxf>
              <fill>
                <patternFill>
                  <bgColor rgb="FF00B050"/>
                </patternFill>
              </fill>
            </x14:dxf>
          </x14:cfRule>
          <x14:cfRule type="expression" priority="3704" stopIfTrue="1" id="{A4EA7926-259C-4766-89B8-05FF7599112B}">
            <xm:f>AND(IF(Q224&lt;'F:\Users\norela.briceno\Documents\Plan de acción\Plan Accion 2018\[Plan Accion Integrado ADRES Vigencia 2018 con Cuadro de Mando V6..xlsx]Plan de Accion 2018'!#REF!,Q224&lt;&gt;"N/A"))</xm:f>
            <x14:dxf>
              <fill>
                <patternFill>
                  <bgColor indexed="10"/>
                </patternFill>
              </fill>
            </x14:dxf>
          </x14:cfRule>
          <xm:sqref>Q224</xm:sqref>
        </x14:conditionalFormatting>
        <x14:conditionalFormatting xmlns:xm="http://schemas.microsoft.com/office/excel/2006/main">
          <x14:cfRule type="expression" priority="3699" id="{EEEE11B0-F4B1-4C51-A7D9-E2CFD4867936}">
            <xm:f>AND(IF(Q221&gt;'F:\Users\norela.briceno\Documents\Plan de acción\Plan Accion 2018\[Plan Accion Integrado ADRES Vigencia 2018 con Cuadro de Mando V6..xlsx]Plan de Accion 2018'!#REF!,Q221&lt;&gt;¨N/A¨))</xm:f>
            <x14:dxf>
              <fill>
                <patternFill>
                  <bgColor theme="1" tint="0.499984740745262"/>
                </patternFill>
              </fill>
            </x14:dxf>
          </x14:cfRule>
          <x14:cfRule type="expression" priority="3700" stopIfTrue="1" id="{25342094-88AE-487B-BD7C-1288471D7BCA}">
            <xm:f>AND(IF(Q221='F:\Users\norela.briceno\Documents\Plan de acción\Plan Accion 2018\[Plan Accion Integrado ADRES Vigencia 2018 con Cuadro de Mando V6..xlsx]Plan de Accion 2018'!#REF!,Q221&lt;&gt;"N/A"))</xm:f>
            <x14:dxf>
              <fill>
                <patternFill>
                  <bgColor rgb="FF00B050"/>
                </patternFill>
              </fill>
            </x14:dxf>
          </x14:cfRule>
          <x14:cfRule type="expression" priority="3701" stopIfTrue="1" id="{11E3C403-97EC-49E2-80E2-2E67C29A33ED}">
            <xm:f>AND(IF(Q221&lt;'F:\Users\norela.briceno\Documents\Plan de acción\Plan Accion 2018\[Plan Accion Integrado ADRES Vigencia 2018 con Cuadro de Mando V6..xlsx]Plan de Accion 2018'!#REF!,Q221&lt;&gt;"N/A"))</xm:f>
            <x14:dxf>
              <fill>
                <patternFill>
                  <bgColor indexed="10"/>
                </patternFill>
              </fill>
            </x14:dxf>
          </x14:cfRule>
          <xm:sqref>Q221</xm:sqref>
        </x14:conditionalFormatting>
        <x14:conditionalFormatting xmlns:xm="http://schemas.microsoft.com/office/excel/2006/main">
          <x14:cfRule type="expression" priority="3696" id="{0CCA29E5-4A49-4D67-8449-45FFEC3355FD}">
            <xm:f>AND(IF(Q220&gt;'F:\Users\norela.briceno\Documents\Plan de acción\Plan Accion 2018\[Plan Accion Integrado ADRES Vigencia 2018 con Cuadro de Mando V6..xlsx]Plan de Accion 2018'!#REF!,Q220&lt;&gt;¨N/A¨))</xm:f>
            <x14:dxf>
              <fill>
                <patternFill>
                  <bgColor theme="1" tint="0.499984740745262"/>
                </patternFill>
              </fill>
            </x14:dxf>
          </x14:cfRule>
          <x14:cfRule type="expression" priority="3697" stopIfTrue="1" id="{58E88CD6-3600-43AD-B8F3-89C4E3CDBD30}">
            <xm:f>AND(IF(Q220='F:\Users\norela.briceno\Documents\Plan de acción\Plan Accion 2018\[Plan Accion Integrado ADRES Vigencia 2018 con Cuadro de Mando V6..xlsx]Plan de Accion 2018'!#REF!,Q220&lt;&gt;"N/A"))</xm:f>
            <x14:dxf>
              <fill>
                <patternFill>
                  <bgColor rgb="FF00B050"/>
                </patternFill>
              </fill>
            </x14:dxf>
          </x14:cfRule>
          <x14:cfRule type="expression" priority="3698" stopIfTrue="1" id="{4C9C9E1C-5E1E-4BB1-8E7B-0263B8A04900}">
            <xm:f>AND(IF(Q220&lt;'F:\Users\norela.briceno\Documents\Plan de acción\Plan Accion 2018\[Plan Accion Integrado ADRES Vigencia 2018 con Cuadro de Mando V6..xlsx]Plan de Accion 2018'!#REF!,Q220&lt;&gt;"N/A"))</xm:f>
            <x14:dxf>
              <fill>
                <patternFill>
                  <bgColor indexed="10"/>
                </patternFill>
              </fill>
            </x14:dxf>
          </x14:cfRule>
          <xm:sqref>Q220</xm:sqref>
        </x14:conditionalFormatting>
        <x14:conditionalFormatting xmlns:xm="http://schemas.microsoft.com/office/excel/2006/main">
          <x14:cfRule type="expression" priority="3693" id="{AB9F732A-8BB8-4900-8867-1D83F8BCDC1B}">
            <xm:f>AND(IF(Q201&gt;'F:\Users\norela.briceno\Documents\Plan de acción\Plan Accion 2018\[Plan Accion Integrado ADRES Vigencia 2018 con Cuadro de Mando V6..xlsx]Plan de Accion 2018'!#REF!,Q201&lt;&gt;¨N/A¨))</xm:f>
            <x14:dxf>
              <fill>
                <patternFill>
                  <bgColor theme="1" tint="0.499984740745262"/>
                </patternFill>
              </fill>
            </x14:dxf>
          </x14:cfRule>
          <x14:cfRule type="expression" priority="3694" stopIfTrue="1" id="{152DBB52-D35E-447C-AB9E-E4D248FE6E3E}">
            <xm:f>AND(IF(Q201='F:\Users\norela.briceno\Documents\Plan de acción\Plan Accion 2018\[Plan Accion Integrado ADRES Vigencia 2018 con Cuadro de Mando V6..xlsx]Plan de Accion 2018'!#REF!,Q201&lt;&gt;"N/A"))</xm:f>
            <x14:dxf>
              <fill>
                <patternFill>
                  <bgColor rgb="FF00B050"/>
                </patternFill>
              </fill>
            </x14:dxf>
          </x14:cfRule>
          <x14:cfRule type="expression" priority="3695" stopIfTrue="1" id="{12B1EFB5-45A7-47FF-B9C1-47DD818233F9}">
            <xm:f>AND(IF(Q201&lt;'F:\Users\norela.briceno\Documents\Plan de acción\Plan Accion 2018\[Plan Accion Integrado ADRES Vigencia 2018 con Cuadro de Mando V6..xlsx]Plan de Accion 2018'!#REF!,Q201&lt;&gt;"N/A"))</xm:f>
            <x14:dxf>
              <fill>
                <patternFill>
                  <bgColor indexed="10"/>
                </patternFill>
              </fill>
            </x14:dxf>
          </x14:cfRule>
          <xm:sqref>Q201</xm:sqref>
        </x14:conditionalFormatting>
        <x14:conditionalFormatting xmlns:xm="http://schemas.microsoft.com/office/excel/2006/main">
          <x14:cfRule type="expression" priority="3690" id="{268696CB-151D-4D3B-ADD8-C7697BE859AD}">
            <xm:f>AND(IF(Q200&gt;'F:\Users\norela.briceno\Documents\Plan de acción\Plan Accion 2018\[Plan Accion Integrado ADRES Vigencia 2018 con Cuadro de Mando V6..xlsx]Plan de Accion 2018'!#REF!,Q200&lt;&gt;¨N/A¨))</xm:f>
            <x14:dxf>
              <fill>
                <patternFill>
                  <bgColor theme="1" tint="0.499984740745262"/>
                </patternFill>
              </fill>
            </x14:dxf>
          </x14:cfRule>
          <x14:cfRule type="expression" priority="3691" stopIfTrue="1" id="{CBACFA9C-FA3E-498D-A793-26964BCFC394}">
            <xm:f>AND(IF(Q200='F:\Users\norela.briceno\Documents\Plan de acción\Plan Accion 2018\[Plan Accion Integrado ADRES Vigencia 2018 con Cuadro de Mando V6..xlsx]Plan de Accion 2018'!#REF!,Q200&lt;&gt;"N/A"))</xm:f>
            <x14:dxf>
              <fill>
                <patternFill>
                  <bgColor rgb="FF00B050"/>
                </patternFill>
              </fill>
            </x14:dxf>
          </x14:cfRule>
          <x14:cfRule type="expression" priority="3692" stopIfTrue="1" id="{F3C2F469-8F37-4BA5-B64B-01E1FD818DA6}">
            <xm:f>AND(IF(Q200&lt;'F:\Users\norela.briceno\Documents\Plan de acción\Plan Accion 2018\[Plan Accion Integrado ADRES Vigencia 2018 con Cuadro de Mando V6..xlsx]Plan de Accion 2018'!#REF!,Q200&lt;&gt;"N/A"))</xm:f>
            <x14:dxf>
              <fill>
                <patternFill>
                  <bgColor indexed="10"/>
                </patternFill>
              </fill>
            </x14:dxf>
          </x14:cfRule>
          <xm:sqref>Q200</xm:sqref>
        </x14:conditionalFormatting>
        <x14:conditionalFormatting xmlns:xm="http://schemas.microsoft.com/office/excel/2006/main">
          <x14:cfRule type="expression" priority="3687" id="{B9F306A1-F535-4E96-B7D3-9743F8D3F706}">
            <xm:f>AND(IF(Q199&gt;'F:\Users\norela.briceno\Documents\Plan de acción\Plan Accion 2018\[Plan Accion Integrado ADRES Vigencia 2018 con Cuadro de Mando V6..xlsx]Plan de Accion 2018'!#REF!,Q199&lt;&gt;¨N/A¨))</xm:f>
            <x14:dxf>
              <fill>
                <patternFill>
                  <bgColor theme="1" tint="0.499984740745262"/>
                </patternFill>
              </fill>
            </x14:dxf>
          </x14:cfRule>
          <x14:cfRule type="expression" priority="3688" stopIfTrue="1" id="{A34A957D-15FF-4717-8A4F-8EE24BC50670}">
            <xm:f>AND(IF(Q199='F:\Users\norela.briceno\Documents\Plan de acción\Plan Accion 2018\[Plan Accion Integrado ADRES Vigencia 2018 con Cuadro de Mando V6..xlsx]Plan de Accion 2018'!#REF!,Q199&lt;&gt;"N/A"))</xm:f>
            <x14:dxf>
              <fill>
                <patternFill>
                  <bgColor rgb="FF00B050"/>
                </patternFill>
              </fill>
            </x14:dxf>
          </x14:cfRule>
          <x14:cfRule type="expression" priority="3689" stopIfTrue="1" id="{B08B57EB-2674-40F9-B81F-F07B87505A32}">
            <xm:f>AND(IF(Q199&lt;'F:\Users\norela.briceno\Documents\Plan de acción\Plan Accion 2018\[Plan Accion Integrado ADRES Vigencia 2018 con Cuadro de Mando V6..xlsx]Plan de Accion 2018'!#REF!,Q199&lt;&gt;"N/A"))</xm:f>
            <x14:dxf>
              <fill>
                <patternFill>
                  <bgColor indexed="10"/>
                </patternFill>
              </fill>
            </x14:dxf>
          </x14:cfRule>
          <xm:sqref>Q199</xm:sqref>
        </x14:conditionalFormatting>
        <x14:conditionalFormatting xmlns:xm="http://schemas.microsoft.com/office/excel/2006/main">
          <x14:cfRule type="expression" priority="3684" id="{A245F5A0-B22C-49AE-B754-F0CAA18C5AE9}">
            <xm:f>AND(IF(Q198&gt;'F:\Users\norela.briceno\Documents\Plan de acción\Plan Accion 2018\[Plan Accion Integrado ADRES Vigencia 2018 con Cuadro de Mando V6..xlsx]Plan de Accion 2018'!#REF!,Q198&lt;&gt;¨N/A¨))</xm:f>
            <x14:dxf>
              <fill>
                <patternFill>
                  <bgColor theme="1" tint="0.499984740745262"/>
                </patternFill>
              </fill>
            </x14:dxf>
          </x14:cfRule>
          <x14:cfRule type="expression" priority="3685" stopIfTrue="1" id="{948C908B-E33A-48EA-A971-A0516A320347}">
            <xm:f>AND(IF(Q198='F:\Users\norela.briceno\Documents\Plan de acción\Plan Accion 2018\[Plan Accion Integrado ADRES Vigencia 2018 con Cuadro de Mando V6..xlsx]Plan de Accion 2018'!#REF!,Q198&lt;&gt;"N/A"))</xm:f>
            <x14:dxf>
              <fill>
                <patternFill>
                  <bgColor rgb="FF00B050"/>
                </patternFill>
              </fill>
            </x14:dxf>
          </x14:cfRule>
          <x14:cfRule type="expression" priority="3686" stopIfTrue="1" id="{0F8F6A38-00B4-4EB4-861E-F6246C94F7E4}">
            <xm:f>AND(IF(Q198&lt;'F:\Users\norela.briceno\Documents\Plan de acción\Plan Accion 2018\[Plan Accion Integrado ADRES Vigencia 2018 con Cuadro de Mando V6..xlsx]Plan de Accion 2018'!#REF!,Q198&lt;&gt;"N/A"))</xm:f>
            <x14:dxf>
              <fill>
                <patternFill>
                  <bgColor indexed="10"/>
                </patternFill>
              </fill>
            </x14:dxf>
          </x14:cfRule>
          <xm:sqref>Q198</xm:sqref>
        </x14:conditionalFormatting>
        <x14:conditionalFormatting xmlns:xm="http://schemas.microsoft.com/office/excel/2006/main">
          <x14:cfRule type="expression" priority="3681" id="{1179F379-4C8E-4027-83D1-874427FE8D93}">
            <xm:f>AND(IF(Q196&gt;'F:\Users\norela.briceno\Documents\Plan de acción\Plan Accion 2018\[Plan Accion Integrado ADRES Vigencia 2018 con Cuadro de Mando V6..xlsx]Plan de Accion 2018'!#REF!,Q196&lt;&gt;¨N/A¨))</xm:f>
            <x14:dxf>
              <fill>
                <patternFill>
                  <bgColor theme="1" tint="0.499984740745262"/>
                </patternFill>
              </fill>
            </x14:dxf>
          </x14:cfRule>
          <x14:cfRule type="expression" priority="3682" stopIfTrue="1" id="{26F5C4B9-32F3-47C3-9E56-7D9ED0F76E79}">
            <xm:f>AND(IF(Q196='F:\Users\norela.briceno\Documents\Plan de acción\Plan Accion 2018\[Plan Accion Integrado ADRES Vigencia 2018 con Cuadro de Mando V6..xlsx]Plan de Accion 2018'!#REF!,Q196&lt;&gt;"N/A"))</xm:f>
            <x14:dxf>
              <fill>
                <patternFill>
                  <bgColor rgb="FF00B050"/>
                </patternFill>
              </fill>
            </x14:dxf>
          </x14:cfRule>
          <x14:cfRule type="expression" priority="3683" stopIfTrue="1" id="{822C0EDA-0259-4892-A402-8F19CFE89B5A}">
            <xm:f>AND(IF(Q196&lt;'F:\Users\norela.briceno\Documents\Plan de acción\Plan Accion 2018\[Plan Accion Integrado ADRES Vigencia 2018 con Cuadro de Mando V6..xlsx]Plan de Accion 2018'!#REF!,Q196&lt;&gt;"N/A"))</xm:f>
            <x14:dxf>
              <fill>
                <patternFill>
                  <bgColor indexed="10"/>
                </patternFill>
              </fill>
            </x14:dxf>
          </x14:cfRule>
          <xm:sqref>Q196</xm:sqref>
        </x14:conditionalFormatting>
        <x14:conditionalFormatting xmlns:xm="http://schemas.microsoft.com/office/excel/2006/main">
          <x14:cfRule type="expression" priority="3678" id="{E3ADF93F-28F1-4807-AF27-9CB9A4F2D001}">
            <xm:f>AND(IF(Q194&gt;'F:\Users\norela.briceno\Documents\Plan de acción\Plan Accion 2018\[Plan Accion Integrado ADRES Vigencia 2018 con Cuadro de Mando V6..xlsx]Plan de Accion 2018'!#REF!,Q194&lt;&gt;¨N/A¨))</xm:f>
            <x14:dxf>
              <fill>
                <patternFill>
                  <bgColor theme="1" tint="0.499984740745262"/>
                </patternFill>
              </fill>
            </x14:dxf>
          </x14:cfRule>
          <x14:cfRule type="expression" priority="3679" stopIfTrue="1" id="{E6824D67-F6FC-41A6-98F1-EA439F406BC4}">
            <xm:f>AND(IF(Q194='F:\Users\norela.briceno\Documents\Plan de acción\Plan Accion 2018\[Plan Accion Integrado ADRES Vigencia 2018 con Cuadro de Mando V6..xlsx]Plan de Accion 2018'!#REF!,Q194&lt;&gt;"N/A"))</xm:f>
            <x14:dxf>
              <fill>
                <patternFill>
                  <bgColor rgb="FF00B050"/>
                </patternFill>
              </fill>
            </x14:dxf>
          </x14:cfRule>
          <x14:cfRule type="expression" priority="3680" stopIfTrue="1" id="{F32B000B-E2EE-4017-858E-51367BEC0FD0}">
            <xm:f>AND(IF(Q194&lt;'F:\Users\norela.briceno\Documents\Plan de acción\Plan Accion 2018\[Plan Accion Integrado ADRES Vigencia 2018 con Cuadro de Mando V6..xlsx]Plan de Accion 2018'!#REF!,Q194&lt;&gt;"N/A"))</xm:f>
            <x14:dxf>
              <fill>
                <patternFill>
                  <bgColor indexed="10"/>
                </patternFill>
              </fill>
            </x14:dxf>
          </x14:cfRule>
          <xm:sqref>Q194</xm:sqref>
        </x14:conditionalFormatting>
        <x14:conditionalFormatting xmlns:xm="http://schemas.microsoft.com/office/excel/2006/main">
          <x14:cfRule type="expression" priority="3675" id="{4AEB9673-5520-465E-865D-C7B472D13047}">
            <xm:f>AND(IF(Q191&gt;'F:\Users\norela.briceno\Documents\Plan de acción\Plan Accion 2018\[Plan Accion Integrado ADRES Vigencia 2018 con Cuadro de Mando V6..xlsx]Plan de Accion 2018'!#REF!,Q191&lt;&gt;¨N/A¨))</xm:f>
            <x14:dxf>
              <fill>
                <patternFill>
                  <bgColor theme="1" tint="0.499984740745262"/>
                </patternFill>
              </fill>
            </x14:dxf>
          </x14:cfRule>
          <x14:cfRule type="expression" priority="3676" stopIfTrue="1" id="{3CC6EAE9-3A70-436E-BEE1-D2E8FD830EA6}">
            <xm:f>AND(IF(Q191='F:\Users\norela.briceno\Documents\Plan de acción\Plan Accion 2018\[Plan Accion Integrado ADRES Vigencia 2018 con Cuadro de Mando V6..xlsx]Plan de Accion 2018'!#REF!,Q191&lt;&gt;"N/A"))</xm:f>
            <x14:dxf>
              <fill>
                <patternFill>
                  <bgColor rgb="FF00B050"/>
                </patternFill>
              </fill>
            </x14:dxf>
          </x14:cfRule>
          <x14:cfRule type="expression" priority="3677" stopIfTrue="1" id="{5CF79544-49D0-43EC-AB8E-D6CDBBF21266}">
            <xm:f>AND(IF(Q191&lt;'F:\Users\norela.briceno\Documents\Plan de acción\Plan Accion 2018\[Plan Accion Integrado ADRES Vigencia 2018 con Cuadro de Mando V6..xlsx]Plan de Accion 2018'!#REF!,Q191&lt;&gt;"N/A"))</xm:f>
            <x14:dxf>
              <fill>
                <patternFill>
                  <bgColor indexed="10"/>
                </patternFill>
              </fill>
            </x14:dxf>
          </x14:cfRule>
          <xm:sqref>Q191</xm:sqref>
        </x14:conditionalFormatting>
        <x14:conditionalFormatting xmlns:xm="http://schemas.microsoft.com/office/excel/2006/main">
          <x14:cfRule type="expression" priority="3672" id="{9C774A12-4E79-4397-B1C7-C238D29B4B1E}">
            <xm:f>AND(IF(Q190&gt;'F:\Users\norela.briceno\Documents\Plan de acción\Plan Accion 2018\[Plan Accion Integrado ADRES Vigencia 2018 con Cuadro de Mando V6..xlsx]Plan de Accion 2018'!#REF!,Q190&lt;&gt;¨N/A¨))</xm:f>
            <x14:dxf>
              <fill>
                <patternFill>
                  <bgColor theme="1" tint="0.499984740745262"/>
                </patternFill>
              </fill>
            </x14:dxf>
          </x14:cfRule>
          <x14:cfRule type="expression" priority="3673" stopIfTrue="1" id="{BF883D94-B7F1-4428-8170-A49B2469209C}">
            <xm:f>AND(IF(Q190='F:\Users\norela.briceno\Documents\Plan de acción\Plan Accion 2018\[Plan Accion Integrado ADRES Vigencia 2018 con Cuadro de Mando V6..xlsx]Plan de Accion 2018'!#REF!,Q190&lt;&gt;"N/A"))</xm:f>
            <x14:dxf>
              <fill>
                <patternFill>
                  <bgColor rgb="FF00B050"/>
                </patternFill>
              </fill>
            </x14:dxf>
          </x14:cfRule>
          <x14:cfRule type="expression" priority="3674" stopIfTrue="1" id="{E76F780A-111C-4AC9-B259-8DCEA614BE9E}">
            <xm:f>AND(IF(Q190&lt;'F:\Users\norela.briceno\Documents\Plan de acción\Plan Accion 2018\[Plan Accion Integrado ADRES Vigencia 2018 con Cuadro de Mando V6..xlsx]Plan de Accion 2018'!#REF!,Q190&lt;&gt;"N/A"))</xm:f>
            <x14:dxf>
              <fill>
                <patternFill>
                  <bgColor indexed="10"/>
                </patternFill>
              </fill>
            </x14:dxf>
          </x14:cfRule>
          <xm:sqref>Q190</xm:sqref>
        </x14:conditionalFormatting>
        <x14:conditionalFormatting xmlns:xm="http://schemas.microsoft.com/office/excel/2006/main">
          <x14:cfRule type="expression" priority="3669" id="{135ECAA3-C736-452A-8A64-96DBADF945C0}">
            <xm:f>AND(IF(Q188&gt;'F:\Users\norela.briceno\Documents\Plan de acción\Plan Accion 2018\[Plan Accion Integrado ADRES Vigencia 2018 con Cuadro de Mando V6..xlsx]Plan de Accion 2018'!#REF!,Q188&lt;&gt;¨N/A¨))</xm:f>
            <x14:dxf>
              <fill>
                <patternFill>
                  <bgColor theme="1" tint="0.499984740745262"/>
                </patternFill>
              </fill>
            </x14:dxf>
          </x14:cfRule>
          <x14:cfRule type="expression" priority="3670" stopIfTrue="1" id="{9609E5A3-496B-4D0D-982A-C7044C21B925}">
            <xm:f>AND(IF(Q188='F:\Users\norela.briceno\Documents\Plan de acción\Plan Accion 2018\[Plan Accion Integrado ADRES Vigencia 2018 con Cuadro de Mando V6..xlsx]Plan de Accion 2018'!#REF!,Q188&lt;&gt;"N/A"))</xm:f>
            <x14:dxf>
              <fill>
                <patternFill>
                  <bgColor rgb="FF00B050"/>
                </patternFill>
              </fill>
            </x14:dxf>
          </x14:cfRule>
          <x14:cfRule type="expression" priority="3671" stopIfTrue="1" id="{6A7BE756-222F-4461-A4CA-2609430EADED}">
            <xm:f>AND(IF(Q188&lt;'F:\Users\norela.briceno\Documents\Plan de acción\Plan Accion 2018\[Plan Accion Integrado ADRES Vigencia 2018 con Cuadro de Mando V6..xlsx]Plan de Accion 2018'!#REF!,Q188&lt;&gt;"N/A"))</xm:f>
            <x14:dxf>
              <fill>
                <patternFill>
                  <bgColor indexed="10"/>
                </patternFill>
              </fill>
            </x14:dxf>
          </x14:cfRule>
          <xm:sqref>Q188</xm:sqref>
        </x14:conditionalFormatting>
        <x14:conditionalFormatting xmlns:xm="http://schemas.microsoft.com/office/excel/2006/main">
          <x14:cfRule type="expression" priority="3666" id="{A9FEC2FD-FADF-47AC-88D9-F7AC07F7C425}">
            <xm:f>AND(IF(Q187&gt;'F:\Users\norela.briceno\Documents\Plan de acción\Plan Accion 2018\[Plan Accion Integrado ADRES Vigencia 2018 con Cuadro de Mando V6..xlsx]Plan de Accion 2018'!#REF!,Q187&lt;&gt;¨N/A¨))</xm:f>
            <x14:dxf>
              <fill>
                <patternFill>
                  <bgColor theme="1" tint="0.499984740745262"/>
                </patternFill>
              </fill>
            </x14:dxf>
          </x14:cfRule>
          <x14:cfRule type="expression" priority="3667" stopIfTrue="1" id="{FB22A47D-0E47-4910-A35D-D2128F71AAF1}">
            <xm:f>AND(IF(Q187='F:\Users\norela.briceno\Documents\Plan de acción\Plan Accion 2018\[Plan Accion Integrado ADRES Vigencia 2018 con Cuadro de Mando V6..xlsx]Plan de Accion 2018'!#REF!,Q187&lt;&gt;"N/A"))</xm:f>
            <x14:dxf>
              <fill>
                <patternFill>
                  <bgColor rgb="FF00B050"/>
                </patternFill>
              </fill>
            </x14:dxf>
          </x14:cfRule>
          <x14:cfRule type="expression" priority="3668" stopIfTrue="1" id="{855FA3A6-54AC-4A33-91ED-44DA78571CAD}">
            <xm:f>AND(IF(Q187&lt;'F:\Users\norela.briceno\Documents\Plan de acción\Plan Accion 2018\[Plan Accion Integrado ADRES Vigencia 2018 con Cuadro de Mando V6..xlsx]Plan de Accion 2018'!#REF!,Q187&lt;&gt;"N/A"))</xm:f>
            <x14:dxf>
              <fill>
                <patternFill>
                  <bgColor indexed="10"/>
                </patternFill>
              </fill>
            </x14:dxf>
          </x14:cfRule>
          <xm:sqref>Q187</xm:sqref>
        </x14:conditionalFormatting>
        <x14:conditionalFormatting xmlns:xm="http://schemas.microsoft.com/office/excel/2006/main">
          <x14:cfRule type="expression" priority="3663" id="{A9119D4A-9B28-4CE2-B550-0BDFA8C00FEA}">
            <xm:f>AND(IF(Q186&gt;'F:\Users\norela.briceno\Documents\Plan de acción\Plan Accion 2018\[Plan Accion Integrado ADRES Vigencia 2018 con Cuadro de Mando V6..xlsx]Plan de Accion 2018'!#REF!,Q186&lt;&gt;¨N/A¨))</xm:f>
            <x14:dxf>
              <fill>
                <patternFill>
                  <bgColor theme="1" tint="0.499984740745262"/>
                </patternFill>
              </fill>
            </x14:dxf>
          </x14:cfRule>
          <x14:cfRule type="expression" priority="3664" stopIfTrue="1" id="{B27F3302-5161-4DC9-AD9B-CDD6FB0EEFCB}">
            <xm:f>AND(IF(Q186='F:\Users\norela.briceno\Documents\Plan de acción\Plan Accion 2018\[Plan Accion Integrado ADRES Vigencia 2018 con Cuadro de Mando V6..xlsx]Plan de Accion 2018'!#REF!,Q186&lt;&gt;"N/A"))</xm:f>
            <x14:dxf>
              <fill>
                <patternFill>
                  <bgColor rgb="FF00B050"/>
                </patternFill>
              </fill>
            </x14:dxf>
          </x14:cfRule>
          <x14:cfRule type="expression" priority="3665" stopIfTrue="1" id="{190208EA-6BFF-4B6E-95C6-2FD2076F463C}">
            <xm:f>AND(IF(Q186&lt;'F:\Users\norela.briceno\Documents\Plan de acción\Plan Accion 2018\[Plan Accion Integrado ADRES Vigencia 2018 con Cuadro de Mando V6..xlsx]Plan de Accion 2018'!#REF!,Q186&lt;&gt;"N/A"))</xm:f>
            <x14:dxf>
              <fill>
                <patternFill>
                  <bgColor indexed="10"/>
                </patternFill>
              </fill>
            </x14:dxf>
          </x14:cfRule>
          <xm:sqref>Q186</xm:sqref>
        </x14:conditionalFormatting>
        <x14:conditionalFormatting xmlns:xm="http://schemas.microsoft.com/office/excel/2006/main">
          <x14:cfRule type="expression" priority="3660" id="{CB9C6910-A261-4BEE-BD97-65D9EDC8850F}">
            <xm:f>AND(IF(Q185&gt;'F:\Users\norela.briceno\Documents\Plan de acción\Plan Accion 2018\[Plan Accion Integrado ADRES Vigencia 2018 con Cuadro de Mando V6..xlsx]Plan de Accion 2018'!#REF!,Q185&lt;&gt;¨N/A¨))</xm:f>
            <x14:dxf>
              <fill>
                <patternFill>
                  <bgColor theme="1" tint="0.499984740745262"/>
                </patternFill>
              </fill>
            </x14:dxf>
          </x14:cfRule>
          <x14:cfRule type="expression" priority="3661" stopIfTrue="1" id="{0814B8A7-5DF5-480D-9673-85CAC3BE49AB}">
            <xm:f>AND(IF(Q185='F:\Users\norela.briceno\Documents\Plan de acción\Plan Accion 2018\[Plan Accion Integrado ADRES Vigencia 2018 con Cuadro de Mando V6..xlsx]Plan de Accion 2018'!#REF!,Q185&lt;&gt;"N/A"))</xm:f>
            <x14:dxf>
              <fill>
                <patternFill>
                  <bgColor rgb="FF00B050"/>
                </patternFill>
              </fill>
            </x14:dxf>
          </x14:cfRule>
          <x14:cfRule type="expression" priority="3662" stopIfTrue="1" id="{3A2F4A41-B02C-4FF3-B424-2A63C7656D4F}">
            <xm:f>AND(IF(Q185&lt;'F:\Users\norela.briceno\Documents\Plan de acción\Plan Accion 2018\[Plan Accion Integrado ADRES Vigencia 2018 con Cuadro de Mando V6..xlsx]Plan de Accion 2018'!#REF!,Q185&lt;&gt;"N/A"))</xm:f>
            <x14:dxf>
              <fill>
                <patternFill>
                  <bgColor indexed="10"/>
                </patternFill>
              </fill>
            </x14:dxf>
          </x14:cfRule>
          <xm:sqref>Q185</xm:sqref>
        </x14:conditionalFormatting>
        <x14:conditionalFormatting xmlns:xm="http://schemas.microsoft.com/office/excel/2006/main">
          <x14:cfRule type="expression" priority="3657" id="{F5BD26BA-85B5-4F7D-87AF-F7485454625D}">
            <xm:f>AND(IF(Q184&gt;'F:\Users\norela.briceno\Documents\Plan de acción\Plan Accion 2018\[Plan Accion Integrado ADRES Vigencia 2018 con Cuadro de Mando V6..xlsx]Plan de Accion 2018'!#REF!,Q184&lt;&gt;¨N/A¨))</xm:f>
            <x14:dxf>
              <fill>
                <patternFill>
                  <bgColor theme="1" tint="0.499984740745262"/>
                </patternFill>
              </fill>
            </x14:dxf>
          </x14:cfRule>
          <x14:cfRule type="expression" priority="3658" stopIfTrue="1" id="{0A4E14BC-DC7D-48D1-9912-E844389A3EAD}">
            <xm:f>AND(IF(Q184='F:\Users\norela.briceno\Documents\Plan de acción\Plan Accion 2018\[Plan Accion Integrado ADRES Vigencia 2018 con Cuadro de Mando V6..xlsx]Plan de Accion 2018'!#REF!,Q184&lt;&gt;"N/A"))</xm:f>
            <x14:dxf>
              <fill>
                <patternFill>
                  <bgColor rgb="FF00B050"/>
                </patternFill>
              </fill>
            </x14:dxf>
          </x14:cfRule>
          <x14:cfRule type="expression" priority="3659" stopIfTrue="1" id="{C226F279-55F6-4FB6-99FC-DB9A931B24B7}">
            <xm:f>AND(IF(Q184&lt;'F:\Users\norela.briceno\Documents\Plan de acción\Plan Accion 2018\[Plan Accion Integrado ADRES Vigencia 2018 con Cuadro de Mando V6..xlsx]Plan de Accion 2018'!#REF!,Q184&lt;&gt;"N/A"))</xm:f>
            <x14:dxf>
              <fill>
                <patternFill>
                  <bgColor indexed="10"/>
                </patternFill>
              </fill>
            </x14:dxf>
          </x14:cfRule>
          <xm:sqref>Q184</xm:sqref>
        </x14:conditionalFormatting>
        <x14:conditionalFormatting xmlns:xm="http://schemas.microsoft.com/office/excel/2006/main">
          <x14:cfRule type="expression" priority="3654" id="{F88176A3-65E6-427D-9C88-0C51BECF8ADA}">
            <xm:f>AND(IF(Q183&gt;'F:\Users\norela.briceno\Documents\Plan de acción\Plan Accion 2018\[Plan Accion Integrado ADRES Vigencia 2018 con Cuadro de Mando V6..xlsx]Plan de Accion 2018'!#REF!,Q183&lt;&gt;¨N/A¨))</xm:f>
            <x14:dxf>
              <fill>
                <patternFill>
                  <bgColor theme="1" tint="0.499984740745262"/>
                </patternFill>
              </fill>
            </x14:dxf>
          </x14:cfRule>
          <x14:cfRule type="expression" priority="3655" stopIfTrue="1" id="{7F140A3A-C83F-4F5E-8C90-6AAA0E6A653E}">
            <xm:f>AND(IF(Q183='F:\Users\norela.briceno\Documents\Plan de acción\Plan Accion 2018\[Plan Accion Integrado ADRES Vigencia 2018 con Cuadro de Mando V6..xlsx]Plan de Accion 2018'!#REF!,Q183&lt;&gt;"N/A"))</xm:f>
            <x14:dxf>
              <fill>
                <patternFill>
                  <bgColor rgb="FF00B050"/>
                </patternFill>
              </fill>
            </x14:dxf>
          </x14:cfRule>
          <x14:cfRule type="expression" priority="3656" stopIfTrue="1" id="{A302FD21-12EC-4544-9D84-898D575E63F0}">
            <xm:f>AND(IF(Q183&lt;'F:\Users\norela.briceno\Documents\Plan de acción\Plan Accion 2018\[Plan Accion Integrado ADRES Vigencia 2018 con Cuadro de Mando V6..xlsx]Plan de Accion 2018'!#REF!,Q183&lt;&gt;"N/A"))</xm:f>
            <x14:dxf>
              <fill>
                <patternFill>
                  <bgColor indexed="10"/>
                </patternFill>
              </fill>
            </x14:dxf>
          </x14:cfRule>
          <xm:sqref>Q183</xm:sqref>
        </x14:conditionalFormatting>
        <x14:conditionalFormatting xmlns:xm="http://schemas.microsoft.com/office/excel/2006/main">
          <x14:cfRule type="expression" priority="3651" id="{426C80D4-EE3E-4F2C-BD1A-75A1BA92DA84}">
            <xm:f>AND(IF(Q178&gt;'F:\Users\norela.briceno\Documents\Plan de acción\Plan Accion 2018\[Plan Accion Integrado ADRES Vigencia 2018 con Cuadro de Mando V6..xlsx]Plan de Accion 2018'!#REF!,Q178&lt;&gt;¨N/A¨))</xm:f>
            <x14:dxf>
              <fill>
                <patternFill>
                  <bgColor theme="1" tint="0.499984740745262"/>
                </patternFill>
              </fill>
            </x14:dxf>
          </x14:cfRule>
          <x14:cfRule type="expression" priority="3652" stopIfTrue="1" id="{E82FD5A8-A307-4646-B282-8248E158C4B6}">
            <xm:f>AND(IF(Q178='F:\Users\norela.briceno\Documents\Plan de acción\Plan Accion 2018\[Plan Accion Integrado ADRES Vigencia 2018 con Cuadro de Mando V6..xlsx]Plan de Accion 2018'!#REF!,Q178&lt;&gt;"N/A"))</xm:f>
            <x14:dxf>
              <fill>
                <patternFill>
                  <bgColor rgb="FF00B050"/>
                </patternFill>
              </fill>
            </x14:dxf>
          </x14:cfRule>
          <x14:cfRule type="expression" priority="3653" stopIfTrue="1" id="{C3526A9A-7BBB-46FE-8DFE-55DFB645108D}">
            <xm:f>AND(IF(Q178&lt;'F:\Users\norela.briceno\Documents\Plan de acción\Plan Accion 2018\[Plan Accion Integrado ADRES Vigencia 2018 con Cuadro de Mando V6..xlsx]Plan de Accion 2018'!#REF!,Q178&lt;&gt;"N/A"))</xm:f>
            <x14:dxf>
              <fill>
                <patternFill>
                  <bgColor indexed="10"/>
                </patternFill>
              </fill>
            </x14:dxf>
          </x14:cfRule>
          <xm:sqref>Q178</xm:sqref>
        </x14:conditionalFormatting>
        <x14:conditionalFormatting xmlns:xm="http://schemas.microsoft.com/office/excel/2006/main">
          <x14:cfRule type="expression" priority="3648" id="{BD31C8C9-7C90-43ED-A0F9-7A1154216421}">
            <xm:f>AND(IF(Q177&gt;'F:\Users\norela.briceno\Documents\Plan de acción\Plan Accion 2018\[Plan Accion Integrado ADRES Vigencia 2018 con Cuadro de Mando V6..xlsx]Plan de Accion 2018'!#REF!,Q177&lt;&gt;¨N/A¨))</xm:f>
            <x14:dxf>
              <fill>
                <patternFill>
                  <bgColor theme="1" tint="0.499984740745262"/>
                </patternFill>
              </fill>
            </x14:dxf>
          </x14:cfRule>
          <x14:cfRule type="expression" priority="3649" stopIfTrue="1" id="{C22ECE0E-5686-46E7-9BC4-8D55A8BCA8FB}">
            <xm:f>AND(IF(Q177='F:\Users\norela.briceno\Documents\Plan de acción\Plan Accion 2018\[Plan Accion Integrado ADRES Vigencia 2018 con Cuadro de Mando V6..xlsx]Plan de Accion 2018'!#REF!,Q177&lt;&gt;"N/A"))</xm:f>
            <x14:dxf>
              <fill>
                <patternFill>
                  <bgColor rgb="FF00B050"/>
                </patternFill>
              </fill>
            </x14:dxf>
          </x14:cfRule>
          <x14:cfRule type="expression" priority="3650" stopIfTrue="1" id="{433341C0-EE7D-45C3-B435-28BEF7F815FA}">
            <xm:f>AND(IF(Q177&lt;'F:\Users\norela.briceno\Documents\Plan de acción\Plan Accion 2018\[Plan Accion Integrado ADRES Vigencia 2018 con Cuadro de Mando V6..xlsx]Plan de Accion 2018'!#REF!,Q177&lt;&gt;"N/A"))</xm:f>
            <x14:dxf>
              <fill>
                <patternFill>
                  <bgColor indexed="10"/>
                </patternFill>
              </fill>
            </x14:dxf>
          </x14:cfRule>
          <xm:sqref>Q177</xm:sqref>
        </x14:conditionalFormatting>
        <x14:conditionalFormatting xmlns:xm="http://schemas.microsoft.com/office/excel/2006/main">
          <x14:cfRule type="expression" priority="3645" id="{130C7075-FDD1-48FD-BB5F-D7F597AF12E7}">
            <xm:f>AND(IF(Q168&gt;'F:\Users\norela.briceno\Documents\Plan de acción\Plan Accion 2018\[Plan Accion Integrado ADRES Vigencia 2018 con Cuadro de Mando V6..xlsx]Plan de Accion 2018'!#REF!,Q168&lt;&gt;¨N/A¨))</xm:f>
            <x14:dxf>
              <fill>
                <patternFill>
                  <bgColor theme="1" tint="0.499984740745262"/>
                </patternFill>
              </fill>
            </x14:dxf>
          </x14:cfRule>
          <x14:cfRule type="expression" priority="3646" stopIfTrue="1" id="{241B989C-923E-453C-B6F3-A2332C85BC8F}">
            <xm:f>AND(IF(Q168='F:\Users\norela.briceno\Documents\Plan de acción\Plan Accion 2018\[Plan Accion Integrado ADRES Vigencia 2018 con Cuadro de Mando V6..xlsx]Plan de Accion 2018'!#REF!,Q168&lt;&gt;"N/A"))</xm:f>
            <x14:dxf>
              <fill>
                <patternFill>
                  <bgColor rgb="FF00B050"/>
                </patternFill>
              </fill>
            </x14:dxf>
          </x14:cfRule>
          <x14:cfRule type="expression" priority="3647" stopIfTrue="1" id="{27EAB651-7EE6-445D-90C6-26D1B184D26F}">
            <xm:f>AND(IF(Q168&lt;'F:\Users\norela.briceno\Documents\Plan de acción\Plan Accion 2018\[Plan Accion Integrado ADRES Vigencia 2018 con Cuadro de Mando V6..xlsx]Plan de Accion 2018'!#REF!,Q168&lt;&gt;"N/A"))</xm:f>
            <x14:dxf>
              <fill>
                <patternFill>
                  <bgColor indexed="10"/>
                </patternFill>
              </fill>
            </x14:dxf>
          </x14:cfRule>
          <xm:sqref>Q168</xm:sqref>
        </x14:conditionalFormatting>
        <x14:conditionalFormatting xmlns:xm="http://schemas.microsoft.com/office/excel/2006/main">
          <x14:cfRule type="expression" priority="3642" id="{C8BB0DA0-40E3-4079-BA0D-3B7FA40F989C}">
            <xm:f>AND(IF(Q167&gt;'F:\Users\norela.briceno\Documents\Plan de acción\Plan Accion 2018\[Plan Accion Integrado ADRES Vigencia 2018 con Cuadro de Mando V6..xlsx]Plan de Accion 2018'!#REF!,Q167&lt;&gt;¨N/A¨))</xm:f>
            <x14:dxf>
              <fill>
                <patternFill>
                  <bgColor theme="1" tint="0.499984740745262"/>
                </patternFill>
              </fill>
            </x14:dxf>
          </x14:cfRule>
          <x14:cfRule type="expression" priority="3643" stopIfTrue="1" id="{49D09E95-F701-40B5-89CD-8DA3CBEA3F94}">
            <xm:f>AND(IF(Q167='F:\Users\norela.briceno\Documents\Plan de acción\Plan Accion 2018\[Plan Accion Integrado ADRES Vigencia 2018 con Cuadro de Mando V6..xlsx]Plan de Accion 2018'!#REF!,Q167&lt;&gt;"N/A"))</xm:f>
            <x14:dxf>
              <fill>
                <patternFill>
                  <bgColor rgb="FF00B050"/>
                </patternFill>
              </fill>
            </x14:dxf>
          </x14:cfRule>
          <x14:cfRule type="expression" priority="3644" stopIfTrue="1" id="{04075CFF-D47D-4E97-B14A-17F26154B3F4}">
            <xm:f>AND(IF(Q167&lt;'F:\Users\norela.briceno\Documents\Plan de acción\Plan Accion 2018\[Plan Accion Integrado ADRES Vigencia 2018 con Cuadro de Mando V6..xlsx]Plan de Accion 2018'!#REF!,Q167&lt;&gt;"N/A"))</xm:f>
            <x14:dxf>
              <fill>
                <patternFill>
                  <bgColor indexed="10"/>
                </patternFill>
              </fill>
            </x14:dxf>
          </x14:cfRule>
          <xm:sqref>Q167</xm:sqref>
        </x14:conditionalFormatting>
        <x14:conditionalFormatting xmlns:xm="http://schemas.microsoft.com/office/excel/2006/main">
          <x14:cfRule type="expression" priority="3639" id="{7912BBE8-2139-47DB-93E9-EE2486EE55FA}">
            <xm:f>AND(IF(Q166&gt;'F:\Users\norela.briceno\Documents\Plan de acción\Plan Accion 2018\[Plan Accion Integrado ADRES Vigencia 2018 con Cuadro de Mando V6..xlsx]Plan de Accion 2018'!#REF!,Q166&lt;&gt;¨N/A¨))</xm:f>
            <x14:dxf>
              <fill>
                <patternFill>
                  <bgColor theme="1" tint="0.499984740745262"/>
                </patternFill>
              </fill>
            </x14:dxf>
          </x14:cfRule>
          <x14:cfRule type="expression" priority="3640" stopIfTrue="1" id="{0E52E894-0BD2-42CC-8E45-B7D60904D2C6}">
            <xm:f>AND(IF(Q166='F:\Users\norela.briceno\Documents\Plan de acción\Plan Accion 2018\[Plan Accion Integrado ADRES Vigencia 2018 con Cuadro de Mando V6..xlsx]Plan de Accion 2018'!#REF!,Q166&lt;&gt;"N/A"))</xm:f>
            <x14:dxf>
              <fill>
                <patternFill>
                  <bgColor rgb="FF00B050"/>
                </patternFill>
              </fill>
            </x14:dxf>
          </x14:cfRule>
          <x14:cfRule type="expression" priority="3641" stopIfTrue="1" id="{E529EA68-B2D1-47A6-91DB-DFAE3163D9D8}">
            <xm:f>AND(IF(Q166&lt;'F:\Users\norela.briceno\Documents\Plan de acción\Plan Accion 2018\[Plan Accion Integrado ADRES Vigencia 2018 con Cuadro de Mando V6..xlsx]Plan de Accion 2018'!#REF!,Q166&lt;&gt;"N/A"))</xm:f>
            <x14:dxf>
              <fill>
                <patternFill>
                  <bgColor indexed="10"/>
                </patternFill>
              </fill>
            </x14:dxf>
          </x14:cfRule>
          <xm:sqref>Q166</xm:sqref>
        </x14:conditionalFormatting>
        <x14:conditionalFormatting xmlns:xm="http://schemas.microsoft.com/office/excel/2006/main">
          <x14:cfRule type="expression" priority="3636" id="{C2D83216-FA2E-4214-9563-59A9BC10A82F}">
            <xm:f>AND(IF(Q165&gt;'F:\Users\norela.briceno\Documents\Plan de acción\Plan Accion 2018\[Plan Accion Integrado ADRES Vigencia 2018 con Cuadro de Mando V6..xlsx]Plan de Accion 2018'!#REF!,Q165&lt;&gt;¨N/A¨))</xm:f>
            <x14:dxf>
              <fill>
                <patternFill>
                  <bgColor theme="1" tint="0.499984740745262"/>
                </patternFill>
              </fill>
            </x14:dxf>
          </x14:cfRule>
          <x14:cfRule type="expression" priority="3637" stopIfTrue="1" id="{A57B7B26-8E19-45E2-A4E0-78215D03E91D}">
            <xm:f>AND(IF(Q165='F:\Users\norela.briceno\Documents\Plan de acción\Plan Accion 2018\[Plan Accion Integrado ADRES Vigencia 2018 con Cuadro de Mando V6..xlsx]Plan de Accion 2018'!#REF!,Q165&lt;&gt;"N/A"))</xm:f>
            <x14:dxf>
              <fill>
                <patternFill>
                  <bgColor rgb="FF00B050"/>
                </patternFill>
              </fill>
            </x14:dxf>
          </x14:cfRule>
          <x14:cfRule type="expression" priority="3638" stopIfTrue="1" id="{4B30CD56-785B-4943-AF6D-C048D5D8FA9B}">
            <xm:f>AND(IF(Q165&lt;'F:\Users\norela.briceno\Documents\Plan de acción\Plan Accion 2018\[Plan Accion Integrado ADRES Vigencia 2018 con Cuadro de Mando V6..xlsx]Plan de Accion 2018'!#REF!,Q165&lt;&gt;"N/A"))</xm:f>
            <x14:dxf>
              <fill>
                <patternFill>
                  <bgColor indexed="10"/>
                </patternFill>
              </fill>
            </x14:dxf>
          </x14:cfRule>
          <xm:sqref>Q165</xm:sqref>
        </x14:conditionalFormatting>
        <x14:conditionalFormatting xmlns:xm="http://schemas.microsoft.com/office/excel/2006/main">
          <x14:cfRule type="expression" priority="3633" id="{11F07019-2326-42F3-A6E3-E6838BFF6057}">
            <xm:f>AND(IF(Q164&gt;'F:\Users\norela.briceno\Documents\Plan de acción\Plan Accion 2018\[Plan Accion Integrado ADRES Vigencia 2018 con Cuadro de Mando V6..xlsx]Plan de Accion 2018'!#REF!,Q164&lt;&gt;¨N/A¨))</xm:f>
            <x14:dxf>
              <fill>
                <patternFill>
                  <bgColor theme="1" tint="0.499984740745262"/>
                </patternFill>
              </fill>
            </x14:dxf>
          </x14:cfRule>
          <x14:cfRule type="expression" priority="3634" stopIfTrue="1" id="{15D9BABF-3B82-4EB8-8DDF-0851F1DE6DDE}">
            <xm:f>AND(IF(Q164='F:\Users\norela.briceno\Documents\Plan de acción\Plan Accion 2018\[Plan Accion Integrado ADRES Vigencia 2018 con Cuadro de Mando V6..xlsx]Plan de Accion 2018'!#REF!,Q164&lt;&gt;"N/A"))</xm:f>
            <x14:dxf>
              <fill>
                <patternFill>
                  <bgColor rgb="FF00B050"/>
                </patternFill>
              </fill>
            </x14:dxf>
          </x14:cfRule>
          <x14:cfRule type="expression" priority="3635" stopIfTrue="1" id="{DE49AFF2-0C60-4EC5-8264-8A13CC5B4299}">
            <xm:f>AND(IF(Q164&lt;'F:\Users\norela.briceno\Documents\Plan de acción\Plan Accion 2018\[Plan Accion Integrado ADRES Vigencia 2018 con Cuadro de Mando V6..xlsx]Plan de Accion 2018'!#REF!,Q164&lt;&gt;"N/A"))</xm:f>
            <x14:dxf>
              <fill>
                <patternFill>
                  <bgColor indexed="10"/>
                </patternFill>
              </fill>
            </x14:dxf>
          </x14:cfRule>
          <xm:sqref>Q164</xm:sqref>
        </x14:conditionalFormatting>
        <x14:conditionalFormatting xmlns:xm="http://schemas.microsoft.com/office/excel/2006/main">
          <x14:cfRule type="expression" priority="3630" id="{CB63F433-02DA-4828-B6F4-464C80FF51E2}">
            <xm:f>AND(IF(Q163&gt;'F:\Users\norela.briceno\Documents\Plan de acción\Plan Accion 2018\[Plan Accion Integrado ADRES Vigencia 2018 con Cuadro de Mando V6..xlsx]Plan de Accion 2018'!#REF!,Q163&lt;&gt;¨N/A¨))</xm:f>
            <x14:dxf>
              <fill>
                <patternFill>
                  <bgColor theme="1" tint="0.499984740745262"/>
                </patternFill>
              </fill>
            </x14:dxf>
          </x14:cfRule>
          <x14:cfRule type="expression" priority="3631" stopIfTrue="1" id="{23AB3885-1D96-4289-A1ED-D8615CA95782}">
            <xm:f>AND(IF(Q163='F:\Users\norela.briceno\Documents\Plan de acción\Plan Accion 2018\[Plan Accion Integrado ADRES Vigencia 2018 con Cuadro de Mando V6..xlsx]Plan de Accion 2018'!#REF!,Q163&lt;&gt;"N/A"))</xm:f>
            <x14:dxf>
              <fill>
                <patternFill>
                  <bgColor rgb="FF00B050"/>
                </patternFill>
              </fill>
            </x14:dxf>
          </x14:cfRule>
          <x14:cfRule type="expression" priority="3632" stopIfTrue="1" id="{00B2EC85-48D2-44F6-8AF7-3D52255A7178}">
            <xm:f>AND(IF(Q163&lt;'F:\Users\norela.briceno\Documents\Plan de acción\Plan Accion 2018\[Plan Accion Integrado ADRES Vigencia 2018 con Cuadro de Mando V6..xlsx]Plan de Accion 2018'!#REF!,Q163&lt;&gt;"N/A"))</xm:f>
            <x14:dxf>
              <fill>
                <patternFill>
                  <bgColor indexed="10"/>
                </patternFill>
              </fill>
            </x14:dxf>
          </x14:cfRule>
          <xm:sqref>Q163</xm:sqref>
        </x14:conditionalFormatting>
        <x14:conditionalFormatting xmlns:xm="http://schemas.microsoft.com/office/excel/2006/main">
          <x14:cfRule type="expression" priority="3627" id="{B3A81C85-FBD2-4586-AE69-30454CCD466A}">
            <xm:f>AND(IF(Q162&gt;'F:\Users\norela.briceno\Documents\Plan de acción\Plan Accion 2018\[Plan Accion Integrado ADRES Vigencia 2018 con Cuadro de Mando V6..xlsx]Plan de Accion 2018'!#REF!,Q162&lt;&gt;¨N/A¨))</xm:f>
            <x14:dxf>
              <fill>
                <patternFill>
                  <bgColor theme="1" tint="0.499984740745262"/>
                </patternFill>
              </fill>
            </x14:dxf>
          </x14:cfRule>
          <x14:cfRule type="expression" priority="3628" stopIfTrue="1" id="{C7CCD068-22E8-4C0D-9E6C-CDFC2F9B2D33}">
            <xm:f>AND(IF(Q162='F:\Users\norela.briceno\Documents\Plan de acción\Plan Accion 2018\[Plan Accion Integrado ADRES Vigencia 2018 con Cuadro de Mando V6..xlsx]Plan de Accion 2018'!#REF!,Q162&lt;&gt;"N/A"))</xm:f>
            <x14:dxf>
              <fill>
                <patternFill>
                  <bgColor rgb="FF00B050"/>
                </patternFill>
              </fill>
            </x14:dxf>
          </x14:cfRule>
          <x14:cfRule type="expression" priority="3629" stopIfTrue="1" id="{468E0691-181D-44D6-B9EE-A25353D03BEE}">
            <xm:f>AND(IF(Q162&lt;'F:\Users\norela.briceno\Documents\Plan de acción\Plan Accion 2018\[Plan Accion Integrado ADRES Vigencia 2018 con Cuadro de Mando V6..xlsx]Plan de Accion 2018'!#REF!,Q162&lt;&gt;"N/A"))</xm:f>
            <x14:dxf>
              <fill>
                <patternFill>
                  <bgColor indexed="10"/>
                </patternFill>
              </fill>
            </x14:dxf>
          </x14:cfRule>
          <xm:sqref>Q162</xm:sqref>
        </x14:conditionalFormatting>
        <x14:conditionalFormatting xmlns:xm="http://schemas.microsoft.com/office/excel/2006/main">
          <x14:cfRule type="expression" priority="3624" id="{982504A8-01CF-456C-B8CF-AC3D62CF9E39}">
            <xm:f>AND(IF(Q161&gt;'F:\Users\norela.briceno\Documents\Plan de acción\Plan Accion 2018\[Plan Accion Integrado ADRES Vigencia 2018 con Cuadro de Mando V6..xlsx]Plan de Accion 2018'!#REF!,Q161&lt;&gt;¨N/A¨))</xm:f>
            <x14:dxf>
              <fill>
                <patternFill>
                  <bgColor theme="1" tint="0.499984740745262"/>
                </patternFill>
              </fill>
            </x14:dxf>
          </x14:cfRule>
          <x14:cfRule type="expression" priority="3625" stopIfTrue="1" id="{7F2FA988-C79D-4BE1-9FF2-402314D5BADB}">
            <xm:f>AND(IF(Q161='F:\Users\norela.briceno\Documents\Plan de acción\Plan Accion 2018\[Plan Accion Integrado ADRES Vigencia 2018 con Cuadro de Mando V6..xlsx]Plan de Accion 2018'!#REF!,Q161&lt;&gt;"N/A"))</xm:f>
            <x14:dxf>
              <fill>
                <patternFill>
                  <bgColor rgb="FF00B050"/>
                </patternFill>
              </fill>
            </x14:dxf>
          </x14:cfRule>
          <x14:cfRule type="expression" priority="3626" stopIfTrue="1" id="{9D4BF500-B92A-4AC9-B540-BC140AAC2A05}">
            <xm:f>AND(IF(Q161&lt;'F:\Users\norela.briceno\Documents\Plan de acción\Plan Accion 2018\[Plan Accion Integrado ADRES Vigencia 2018 con Cuadro de Mando V6..xlsx]Plan de Accion 2018'!#REF!,Q161&lt;&gt;"N/A"))</xm:f>
            <x14:dxf>
              <fill>
                <patternFill>
                  <bgColor indexed="10"/>
                </patternFill>
              </fill>
            </x14:dxf>
          </x14:cfRule>
          <xm:sqref>Q161</xm:sqref>
        </x14:conditionalFormatting>
        <x14:conditionalFormatting xmlns:xm="http://schemas.microsoft.com/office/excel/2006/main">
          <x14:cfRule type="expression" priority="3621" id="{B33BD48C-0443-4D38-8355-86CF03340829}">
            <xm:f>AND(IF(Q160&gt;'F:\Users\norela.briceno\Documents\Plan de acción\Plan Accion 2018\[Plan Accion Integrado ADRES Vigencia 2018 con Cuadro de Mando V6..xlsx]Plan de Accion 2018'!#REF!,Q160&lt;&gt;¨N/A¨))</xm:f>
            <x14:dxf>
              <fill>
                <patternFill>
                  <bgColor theme="1" tint="0.499984740745262"/>
                </patternFill>
              </fill>
            </x14:dxf>
          </x14:cfRule>
          <x14:cfRule type="expression" priority="3622" stopIfTrue="1" id="{11566A7B-763A-4993-8E8B-5B98B0A3B100}">
            <xm:f>AND(IF(Q160='F:\Users\norela.briceno\Documents\Plan de acción\Plan Accion 2018\[Plan Accion Integrado ADRES Vigencia 2018 con Cuadro de Mando V6..xlsx]Plan de Accion 2018'!#REF!,Q160&lt;&gt;"N/A"))</xm:f>
            <x14:dxf>
              <fill>
                <patternFill>
                  <bgColor rgb="FF00B050"/>
                </patternFill>
              </fill>
            </x14:dxf>
          </x14:cfRule>
          <x14:cfRule type="expression" priority="3623" stopIfTrue="1" id="{74904D8B-F6E2-4388-86C0-4CA4F00D3B49}">
            <xm:f>AND(IF(Q160&lt;'F:\Users\norela.briceno\Documents\Plan de acción\Plan Accion 2018\[Plan Accion Integrado ADRES Vigencia 2018 con Cuadro de Mando V6..xlsx]Plan de Accion 2018'!#REF!,Q160&lt;&gt;"N/A"))</xm:f>
            <x14:dxf>
              <fill>
                <patternFill>
                  <bgColor indexed="10"/>
                </patternFill>
              </fill>
            </x14:dxf>
          </x14:cfRule>
          <xm:sqref>Q160</xm:sqref>
        </x14:conditionalFormatting>
        <x14:conditionalFormatting xmlns:xm="http://schemas.microsoft.com/office/excel/2006/main">
          <x14:cfRule type="expression" priority="3618" id="{22C7D220-0C89-42C0-8986-6E3E389722EF}">
            <xm:f>AND(IF(Q159&gt;'F:\Users\norela.briceno\Documents\Plan de acción\Plan Accion 2018\[Plan Accion Integrado ADRES Vigencia 2018 con Cuadro de Mando V6..xlsx]Plan de Accion 2018'!#REF!,Q159&lt;&gt;¨N/A¨))</xm:f>
            <x14:dxf>
              <fill>
                <patternFill>
                  <bgColor theme="1" tint="0.499984740745262"/>
                </patternFill>
              </fill>
            </x14:dxf>
          </x14:cfRule>
          <x14:cfRule type="expression" priority="3619" stopIfTrue="1" id="{DEA4BA74-19FA-42A9-A295-68C01AE3BC65}">
            <xm:f>AND(IF(Q159='F:\Users\norela.briceno\Documents\Plan de acción\Plan Accion 2018\[Plan Accion Integrado ADRES Vigencia 2018 con Cuadro de Mando V6..xlsx]Plan de Accion 2018'!#REF!,Q159&lt;&gt;"N/A"))</xm:f>
            <x14:dxf>
              <fill>
                <patternFill>
                  <bgColor rgb="FF00B050"/>
                </patternFill>
              </fill>
            </x14:dxf>
          </x14:cfRule>
          <x14:cfRule type="expression" priority="3620" stopIfTrue="1" id="{908AFFF6-E21E-4CD8-9363-7150D6BFF008}">
            <xm:f>AND(IF(Q159&lt;'F:\Users\norela.briceno\Documents\Plan de acción\Plan Accion 2018\[Plan Accion Integrado ADRES Vigencia 2018 con Cuadro de Mando V6..xlsx]Plan de Accion 2018'!#REF!,Q159&lt;&gt;"N/A"))</xm:f>
            <x14:dxf>
              <fill>
                <patternFill>
                  <bgColor indexed="10"/>
                </patternFill>
              </fill>
            </x14:dxf>
          </x14:cfRule>
          <xm:sqref>Q159</xm:sqref>
        </x14:conditionalFormatting>
        <x14:conditionalFormatting xmlns:xm="http://schemas.microsoft.com/office/excel/2006/main">
          <x14:cfRule type="expression" priority="3612" id="{906EC8D9-B700-4123-9D72-A7B0EBA4BBC7}">
            <xm:f>AND(IF(Q148&gt;'F:\Users\norela.briceno\Documents\Plan de acción\Plan Accion 2018\[Plan Accion Integrado ADRES Vigencia 2018 con Cuadro de Mando V6..xlsx]Plan de Accion 2018'!#REF!,Q148&lt;&gt;¨N/A¨))</xm:f>
            <x14:dxf>
              <fill>
                <patternFill>
                  <bgColor theme="1" tint="0.499984740745262"/>
                </patternFill>
              </fill>
            </x14:dxf>
          </x14:cfRule>
          <x14:cfRule type="expression" priority="3613" stopIfTrue="1" id="{7A79F7B2-54B3-489E-8DC8-E9168BFE57F4}">
            <xm:f>AND(IF(Q148='F:\Users\norela.briceno\Documents\Plan de acción\Plan Accion 2018\[Plan Accion Integrado ADRES Vigencia 2018 con Cuadro de Mando V6..xlsx]Plan de Accion 2018'!#REF!,Q148&lt;&gt;"N/A"))</xm:f>
            <x14:dxf>
              <fill>
                <patternFill>
                  <bgColor rgb="FF00B050"/>
                </patternFill>
              </fill>
            </x14:dxf>
          </x14:cfRule>
          <x14:cfRule type="expression" priority="3614" stopIfTrue="1" id="{7006CB2B-25AB-48EF-8799-76DB88F7FE2A}">
            <xm:f>AND(IF(Q148&lt;'F:\Users\norela.briceno\Documents\Plan de acción\Plan Accion 2018\[Plan Accion Integrado ADRES Vigencia 2018 con Cuadro de Mando V6..xlsx]Plan de Accion 2018'!#REF!,Q148&lt;&gt;"N/A"))</xm:f>
            <x14:dxf>
              <fill>
                <patternFill>
                  <bgColor indexed="10"/>
                </patternFill>
              </fill>
            </x14:dxf>
          </x14:cfRule>
          <xm:sqref>Q148</xm:sqref>
        </x14:conditionalFormatting>
        <x14:conditionalFormatting xmlns:xm="http://schemas.microsoft.com/office/excel/2006/main">
          <x14:cfRule type="expression" priority="3609" id="{8E75BA5C-B6F2-45D1-8593-9061AE13C01D}">
            <xm:f>AND(IF(Q147&gt;'F:\Users\norela.briceno\Documents\Plan de acción\Plan Accion 2018\[Plan Accion Integrado ADRES Vigencia 2018 con Cuadro de Mando V6..xlsx]Plan de Accion 2018'!#REF!,Q147&lt;&gt;¨N/A¨))</xm:f>
            <x14:dxf>
              <fill>
                <patternFill>
                  <bgColor theme="1" tint="0.499984740745262"/>
                </patternFill>
              </fill>
            </x14:dxf>
          </x14:cfRule>
          <x14:cfRule type="expression" priority="3610" stopIfTrue="1" id="{32B873C1-2575-4D02-A96B-FF06110FE6B3}">
            <xm:f>AND(IF(Q147='F:\Users\norela.briceno\Documents\Plan de acción\Plan Accion 2018\[Plan Accion Integrado ADRES Vigencia 2018 con Cuadro de Mando V6..xlsx]Plan de Accion 2018'!#REF!,Q147&lt;&gt;"N/A"))</xm:f>
            <x14:dxf>
              <fill>
                <patternFill>
                  <bgColor rgb="FF00B050"/>
                </patternFill>
              </fill>
            </x14:dxf>
          </x14:cfRule>
          <x14:cfRule type="expression" priority="3611" stopIfTrue="1" id="{45C28300-D077-47D8-B5B3-F5CDB4B97B4F}">
            <xm:f>AND(IF(Q147&lt;'F:\Users\norela.briceno\Documents\Plan de acción\Plan Accion 2018\[Plan Accion Integrado ADRES Vigencia 2018 con Cuadro de Mando V6..xlsx]Plan de Accion 2018'!#REF!,Q147&lt;&gt;"N/A"))</xm:f>
            <x14:dxf>
              <fill>
                <patternFill>
                  <bgColor indexed="10"/>
                </patternFill>
              </fill>
            </x14:dxf>
          </x14:cfRule>
          <xm:sqref>Q147</xm:sqref>
        </x14:conditionalFormatting>
        <x14:conditionalFormatting xmlns:xm="http://schemas.microsoft.com/office/excel/2006/main">
          <x14:cfRule type="expression" priority="3606" id="{5D53C65C-35E6-469E-B07F-44E389E5AE8D}">
            <xm:f>AND(IF(Q146&gt;'F:\Users\norela.briceno\Documents\Plan de acción\Plan Accion 2018\[Plan Accion Integrado ADRES Vigencia 2018 con Cuadro de Mando V6..xlsx]Plan de Accion 2018'!#REF!,Q146&lt;&gt;¨N/A¨))</xm:f>
            <x14:dxf>
              <fill>
                <patternFill>
                  <bgColor theme="1" tint="0.499984740745262"/>
                </patternFill>
              </fill>
            </x14:dxf>
          </x14:cfRule>
          <x14:cfRule type="expression" priority="3607" stopIfTrue="1" id="{DCE5C37D-9FAD-4A2F-88BA-130DA7AC79F0}">
            <xm:f>AND(IF(Q146='F:\Users\norela.briceno\Documents\Plan de acción\Plan Accion 2018\[Plan Accion Integrado ADRES Vigencia 2018 con Cuadro de Mando V6..xlsx]Plan de Accion 2018'!#REF!,Q146&lt;&gt;"N/A"))</xm:f>
            <x14:dxf>
              <fill>
                <patternFill>
                  <bgColor rgb="FF00B050"/>
                </patternFill>
              </fill>
            </x14:dxf>
          </x14:cfRule>
          <x14:cfRule type="expression" priority="3608" stopIfTrue="1" id="{747EBA89-3ADD-4F3D-BEAE-48BE2C528242}">
            <xm:f>AND(IF(Q146&lt;'F:\Users\norela.briceno\Documents\Plan de acción\Plan Accion 2018\[Plan Accion Integrado ADRES Vigencia 2018 con Cuadro de Mando V6..xlsx]Plan de Accion 2018'!#REF!,Q146&lt;&gt;"N/A"))</xm:f>
            <x14:dxf>
              <fill>
                <patternFill>
                  <bgColor indexed="10"/>
                </patternFill>
              </fill>
            </x14:dxf>
          </x14:cfRule>
          <xm:sqref>Q146</xm:sqref>
        </x14:conditionalFormatting>
        <x14:conditionalFormatting xmlns:xm="http://schemas.microsoft.com/office/excel/2006/main">
          <x14:cfRule type="expression" priority="3603" id="{9E12B6D3-E057-4DE6-98E2-40E7221CE116}">
            <xm:f>AND(IF(Q145&gt;'F:\Users\norela.briceno\Documents\Plan de acción\Plan Accion 2018\[Plan Accion Integrado ADRES Vigencia 2018 con Cuadro de Mando V6..xlsx]Plan de Accion 2018'!#REF!,Q145&lt;&gt;¨N/A¨))</xm:f>
            <x14:dxf>
              <fill>
                <patternFill>
                  <bgColor theme="1" tint="0.499984740745262"/>
                </patternFill>
              </fill>
            </x14:dxf>
          </x14:cfRule>
          <x14:cfRule type="expression" priority="3604" stopIfTrue="1" id="{0A9508D5-CE97-4347-9CAD-3FA45DB0E2B7}">
            <xm:f>AND(IF(Q145='F:\Users\norela.briceno\Documents\Plan de acción\Plan Accion 2018\[Plan Accion Integrado ADRES Vigencia 2018 con Cuadro de Mando V6..xlsx]Plan de Accion 2018'!#REF!,Q145&lt;&gt;"N/A"))</xm:f>
            <x14:dxf>
              <fill>
                <patternFill>
                  <bgColor rgb="FF00B050"/>
                </patternFill>
              </fill>
            </x14:dxf>
          </x14:cfRule>
          <x14:cfRule type="expression" priority="3605" stopIfTrue="1" id="{272F6517-DEBA-4ECF-83A4-C2D67A3DA04D}">
            <xm:f>AND(IF(Q145&lt;'F:\Users\norela.briceno\Documents\Plan de acción\Plan Accion 2018\[Plan Accion Integrado ADRES Vigencia 2018 con Cuadro de Mando V6..xlsx]Plan de Accion 2018'!#REF!,Q145&lt;&gt;"N/A"))</xm:f>
            <x14:dxf>
              <fill>
                <patternFill>
                  <bgColor indexed="10"/>
                </patternFill>
              </fill>
            </x14:dxf>
          </x14:cfRule>
          <xm:sqref>Q145</xm:sqref>
        </x14:conditionalFormatting>
        <x14:conditionalFormatting xmlns:xm="http://schemas.microsoft.com/office/excel/2006/main">
          <x14:cfRule type="expression" priority="3600" id="{E2ABB2D0-00CE-49D4-ABA9-E7BBD68FAFEA}">
            <xm:f>AND(IF(Q144&gt;'F:\Users\norela.briceno\Documents\Plan de acción\Plan Accion 2018\[Plan Accion Integrado ADRES Vigencia 2018 con Cuadro de Mando V6..xlsx]Plan de Accion 2018'!#REF!,Q144&lt;&gt;¨N/A¨))</xm:f>
            <x14:dxf>
              <fill>
                <patternFill>
                  <bgColor theme="1" tint="0.499984740745262"/>
                </patternFill>
              </fill>
            </x14:dxf>
          </x14:cfRule>
          <x14:cfRule type="expression" priority="3601" stopIfTrue="1" id="{07281D15-6936-4528-AC4E-DFAC2779A483}">
            <xm:f>AND(IF(Q144='F:\Users\norela.briceno\Documents\Plan de acción\Plan Accion 2018\[Plan Accion Integrado ADRES Vigencia 2018 con Cuadro de Mando V6..xlsx]Plan de Accion 2018'!#REF!,Q144&lt;&gt;"N/A"))</xm:f>
            <x14:dxf>
              <fill>
                <patternFill>
                  <bgColor rgb="FF00B050"/>
                </patternFill>
              </fill>
            </x14:dxf>
          </x14:cfRule>
          <x14:cfRule type="expression" priority="3602" stopIfTrue="1" id="{CFA84F9A-CFC7-43E7-9D9B-9575B466838D}">
            <xm:f>AND(IF(Q144&lt;'F:\Users\norela.briceno\Documents\Plan de acción\Plan Accion 2018\[Plan Accion Integrado ADRES Vigencia 2018 con Cuadro de Mando V6..xlsx]Plan de Accion 2018'!#REF!,Q144&lt;&gt;"N/A"))</xm:f>
            <x14:dxf>
              <fill>
                <patternFill>
                  <bgColor indexed="10"/>
                </patternFill>
              </fill>
            </x14:dxf>
          </x14:cfRule>
          <xm:sqref>Q144</xm:sqref>
        </x14:conditionalFormatting>
        <x14:conditionalFormatting xmlns:xm="http://schemas.microsoft.com/office/excel/2006/main">
          <x14:cfRule type="expression" priority="3597" id="{C1FF985D-AE1E-4F3B-986C-26F934C235A5}">
            <xm:f>AND(IF(Q130&gt;'F:\Users\norela.briceno\Documents\Plan de acción\Plan Accion 2018\[Plan Accion Integrado ADRES Vigencia 2018 con Cuadro de Mando V6..xlsx]Plan de Accion 2018'!#REF!,Q130&lt;&gt;¨N/A¨))</xm:f>
            <x14:dxf>
              <fill>
                <patternFill>
                  <bgColor theme="1" tint="0.499984740745262"/>
                </patternFill>
              </fill>
            </x14:dxf>
          </x14:cfRule>
          <x14:cfRule type="expression" priority="3598" stopIfTrue="1" id="{89BE4A11-2910-40F6-A4A8-76D745AC2F9A}">
            <xm:f>AND(IF(Q130='F:\Users\norela.briceno\Documents\Plan de acción\Plan Accion 2018\[Plan Accion Integrado ADRES Vigencia 2018 con Cuadro de Mando V6..xlsx]Plan de Accion 2018'!#REF!,Q130&lt;&gt;"N/A"))</xm:f>
            <x14:dxf>
              <fill>
                <patternFill>
                  <bgColor rgb="FF00B050"/>
                </patternFill>
              </fill>
            </x14:dxf>
          </x14:cfRule>
          <x14:cfRule type="expression" priority="3599" stopIfTrue="1" id="{9BA8A959-9244-44C0-AAA7-0CABD8CE2F0B}">
            <xm:f>AND(IF(Q130&lt;'F:\Users\norela.briceno\Documents\Plan de acción\Plan Accion 2018\[Plan Accion Integrado ADRES Vigencia 2018 con Cuadro de Mando V6..xlsx]Plan de Accion 2018'!#REF!,Q130&lt;&gt;"N/A"))</xm:f>
            <x14:dxf>
              <fill>
                <patternFill>
                  <bgColor indexed="10"/>
                </patternFill>
              </fill>
            </x14:dxf>
          </x14:cfRule>
          <xm:sqref>Q130</xm:sqref>
        </x14:conditionalFormatting>
        <x14:conditionalFormatting xmlns:xm="http://schemas.microsoft.com/office/excel/2006/main">
          <x14:cfRule type="expression" priority="3594" id="{B35A0830-688D-4377-B838-41EFD605241B}">
            <xm:f>AND(IF(X130&gt;'F:\Users\norela.briceno\Documents\Plan de acción\Plan Accion 2018\[Plan Accion Integrado ADRES Vigencia 2018 con Cuadro de Mando V6..xlsx]Plan de Accion 2018'!#REF!,X130&lt;&gt;¨N/A¨))</xm:f>
            <x14:dxf>
              <fill>
                <patternFill>
                  <bgColor theme="1" tint="0.499984740745262"/>
                </patternFill>
              </fill>
            </x14:dxf>
          </x14:cfRule>
          <x14:cfRule type="expression" priority="3595" stopIfTrue="1" id="{2614E127-7276-443C-8993-7148656AE189}">
            <xm:f>AND(IF(X130='F:\Users\norela.briceno\Documents\Plan de acción\Plan Accion 2018\[Plan Accion Integrado ADRES Vigencia 2018 con Cuadro de Mando V6..xlsx]Plan de Accion 2018'!#REF!,X130&lt;&gt;"N/A"))</xm:f>
            <x14:dxf>
              <fill>
                <patternFill>
                  <bgColor rgb="FF00B050"/>
                </patternFill>
              </fill>
            </x14:dxf>
          </x14:cfRule>
          <x14:cfRule type="expression" priority="3596" stopIfTrue="1" id="{071080E1-97B6-4A66-B4F4-E42272847D39}">
            <xm:f>AND(IF(X130&lt;'F:\Users\norela.briceno\Documents\Plan de acción\Plan Accion 2018\[Plan Accion Integrado ADRES Vigencia 2018 con Cuadro de Mando V6..xlsx]Plan de Accion 2018'!#REF!,X130&lt;&gt;"N/A"))</xm:f>
            <x14:dxf>
              <fill>
                <patternFill>
                  <bgColor indexed="10"/>
                </patternFill>
              </fill>
            </x14:dxf>
          </x14:cfRule>
          <xm:sqref>X130</xm:sqref>
        </x14:conditionalFormatting>
        <x14:conditionalFormatting xmlns:xm="http://schemas.microsoft.com/office/excel/2006/main">
          <x14:cfRule type="expression" priority="3591" id="{2AC0D151-E594-42D7-A5BE-713FBCFC56B3}">
            <xm:f>AND(IF(X144&gt;'F:\Users\norela.briceno\Documents\Plan de acción\Plan Accion 2018\[Plan Accion Integrado ADRES Vigencia 2018 con Cuadro de Mando V6..xlsx]Plan de Accion 2018'!#REF!,X144&lt;&gt;¨N/A¨))</xm:f>
            <x14:dxf>
              <fill>
                <patternFill>
                  <bgColor theme="1" tint="0.499984740745262"/>
                </patternFill>
              </fill>
            </x14:dxf>
          </x14:cfRule>
          <x14:cfRule type="expression" priority="3592" stopIfTrue="1" id="{F9EF7432-A58C-4373-816B-2A9EAC4E6897}">
            <xm:f>AND(IF(X144='F:\Users\norela.briceno\Documents\Plan de acción\Plan Accion 2018\[Plan Accion Integrado ADRES Vigencia 2018 con Cuadro de Mando V6..xlsx]Plan de Accion 2018'!#REF!,X144&lt;&gt;"N/A"))</xm:f>
            <x14:dxf>
              <fill>
                <patternFill>
                  <bgColor rgb="FF00B050"/>
                </patternFill>
              </fill>
            </x14:dxf>
          </x14:cfRule>
          <x14:cfRule type="expression" priority="3593" stopIfTrue="1" id="{28CA51B3-6CB5-491B-8FC9-1C7718412343}">
            <xm:f>AND(IF(X144&lt;'F:\Users\norela.briceno\Documents\Plan de acción\Plan Accion 2018\[Plan Accion Integrado ADRES Vigencia 2018 con Cuadro de Mando V6..xlsx]Plan de Accion 2018'!#REF!,X144&lt;&gt;"N/A"))</xm:f>
            <x14:dxf>
              <fill>
                <patternFill>
                  <bgColor indexed="10"/>
                </patternFill>
              </fill>
            </x14:dxf>
          </x14:cfRule>
          <xm:sqref>X144</xm:sqref>
        </x14:conditionalFormatting>
        <x14:conditionalFormatting xmlns:xm="http://schemas.microsoft.com/office/excel/2006/main">
          <x14:cfRule type="expression" priority="3588" id="{C4FB8A54-F605-405D-A66F-2C478D12BF95}">
            <xm:f>AND(IF(X145&gt;'F:\Users\norela.briceno\Documents\Plan de acción\Plan Accion 2018\[Plan Accion Integrado ADRES Vigencia 2018 con Cuadro de Mando V6..xlsx]Plan de Accion 2018'!#REF!,X145&lt;&gt;¨N/A¨))</xm:f>
            <x14:dxf>
              <fill>
                <patternFill>
                  <bgColor theme="1" tint="0.499984740745262"/>
                </patternFill>
              </fill>
            </x14:dxf>
          </x14:cfRule>
          <x14:cfRule type="expression" priority="3589" stopIfTrue="1" id="{54D43E3C-B2F4-4A20-BF30-2B37700348FA}">
            <xm:f>AND(IF(X145='F:\Users\norela.briceno\Documents\Plan de acción\Plan Accion 2018\[Plan Accion Integrado ADRES Vigencia 2018 con Cuadro de Mando V6..xlsx]Plan de Accion 2018'!#REF!,X145&lt;&gt;"N/A"))</xm:f>
            <x14:dxf>
              <fill>
                <patternFill>
                  <bgColor rgb="FF00B050"/>
                </patternFill>
              </fill>
            </x14:dxf>
          </x14:cfRule>
          <x14:cfRule type="expression" priority="3590" stopIfTrue="1" id="{3DCFFFD2-CDB8-4EB8-941C-C84ECC7913A6}">
            <xm:f>AND(IF(X145&lt;'F:\Users\norela.briceno\Documents\Plan de acción\Plan Accion 2018\[Plan Accion Integrado ADRES Vigencia 2018 con Cuadro de Mando V6..xlsx]Plan de Accion 2018'!#REF!,X145&lt;&gt;"N/A"))</xm:f>
            <x14:dxf>
              <fill>
                <patternFill>
                  <bgColor indexed="10"/>
                </patternFill>
              </fill>
            </x14:dxf>
          </x14:cfRule>
          <xm:sqref>X145</xm:sqref>
        </x14:conditionalFormatting>
        <x14:conditionalFormatting xmlns:xm="http://schemas.microsoft.com/office/excel/2006/main">
          <x14:cfRule type="expression" priority="3585" id="{3DFF2A10-194A-47D6-BC7E-32332BE1D0C4}">
            <xm:f>AND(IF(X146&gt;'F:\Users\norela.briceno\Documents\Plan de acción\Plan Accion 2018\[Plan Accion Integrado ADRES Vigencia 2018 con Cuadro de Mando V6..xlsx]Plan de Accion 2018'!#REF!,X146&lt;&gt;¨N/A¨))</xm:f>
            <x14:dxf>
              <fill>
                <patternFill>
                  <bgColor theme="1" tint="0.499984740745262"/>
                </patternFill>
              </fill>
            </x14:dxf>
          </x14:cfRule>
          <x14:cfRule type="expression" priority="3586" stopIfTrue="1" id="{3E3C1E9C-656F-4229-8C52-D6FDD1EC9215}">
            <xm:f>AND(IF(X146='F:\Users\norela.briceno\Documents\Plan de acción\Plan Accion 2018\[Plan Accion Integrado ADRES Vigencia 2018 con Cuadro de Mando V6..xlsx]Plan de Accion 2018'!#REF!,X146&lt;&gt;"N/A"))</xm:f>
            <x14:dxf>
              <fill>
                <patternFill>
                  <bgColor rgb="FF00B050"/>
                </patternFill>
              </fill>
            </x14:dxf>
          </x14:cfRule>
          <x14:cfRule type="expression" priority="3587" stopIfTrue="1" id="{3CEA6E41-FAB5-434E-B900-E90F0434541E}">
            <xm:f>AND(IF(X146&lt;'F:\Users\norela.briceno\Documents\Plan de acción\Plan Accion 2018\[Plan Accion Integrado ADRES Vigencia 2018 con Cuadro de Mando V6..xlsx]Plan de Accion 2018'!#REF!,X146&lt;&gt;"N/A"))</xm:f>
            <x14:dxf>
              <fill>
                <patternFill>
                  <bgColor indexed="10"/>
                </patternFill>
              </fill>
            </x14:dxf>
          </x14:cfRule>
          <xm:sqref>X146</xm:sqref>
        </x14:conditionalFormatting>
        <x14:conditionalFormatting xmlns:xm="http://schemas.microsoft.com/office/excel/2006/main">
          <x14:cfRule type="expression" priority="3582" id="{5B188A36-F327-439A-AA81-123462043AD5}">
            <xm:f>AND(IF(X147&gt;'F:\Users\norela.briceno\Documents\Plan de acción\Plan Accion 2018\[Plan Accion Integrado ADRES Vigencia 2018 con Cuadro de Mando V6..xlsx]Plan de Accion 2018'!#REF!,X147&lt;&gt;¨N/A¨))</xm:f>
            <x14:dxf>
              <fill>
                <patternFill>
                  <bgColor theme="1" tint="0.499984740745262"/>
                </patternFill>
              </fill>
            </x14:dxf>
          </x14:cfRule>
          <x14:cfRule type="expression" priority="3583" stopIfTrue="1" id="{472B1FC2-BAE2-485B-AB2D-8086B06B44B5}">
            <xm:f>AND(IF(X147='F:\Users\norela.briceno\Documents\Plan de acción\Plan Accion 2018\[Plan Accion Integrado ADRES Vigencia 2018 con Cuadro de Mando V6..xlsx]Plan de Accion 2018'!#REF!,X147&lt;&gt;"N/A"))</xm:f>
            <x14:dxf>
              <fill>
                <patternFill>
                  <bgColor rgb="FF00B050"/>
                </patternFill>
              </fill>
            </x14:dxf>
          </x14:cfRule>
          <x14:cfRule type="expression" priority="3584" stopIfTrue="1" id="{47E85128-928B-4250-BA63-0DDFFF027412}">
            <xm:f>AND(IF(X147&lt;'F:\Users\norela.briceno\Documents\Plan de acción\Plan Accion 2018\[Plan Accion Integrado ADRES Vigencia 2018 con Cuadro de Mando V6..xlsx]Plan de Accion 2018'!#REF!,X147&lt;&gt;"N/A"))</xm:f>
            <x14:dxf>
              <fill>
                <patternFill>
                  <bgColor indexed="10"/>
                </patternFill>
              </fill>
            </x14:dxf>
          </x14:cfRule>
          <xm:sqref>X147</xm:sqref>
        </x14:conditionalFormatting>
        <x14:conditionalFormatting xmlns:xm="http://schemas.microsoft.com/office/excel/2006/main">
          <x14:cfRule type="expression" priority="3579" id="{ED96B563-26B2-400F-8615-8C24D1233733}">
            <xm:f>AND(IF(X148&gt;'F:\Users\norela.briceno\Documents\Plan de acción\Plan Accion 2018\[Plan Accion Integrado ADRES Vigencia 2018 con Cuadro de Mando V6..xlsx]Plan de Accion 2018'!#REF!,X148&lt;&gt;¨N/A¨))</xm:f>
            <x14:dxf>
              <fill>
                <patternFill>
                  <bgColor theme="1" tint="0.499984740745262"/>
                </patternFill>
              </fill>
            </x14:dxf>
          </x14:cfRule>
          <x14:cfRule type="expression" priority="3580" stopIfTrue="1" id="{43D7EAC2-776E-4AEB-B4E5-EC6FD5B02173}">
            <xm:f>AND(IF(X148='F:\Users\norela.briceno\Documents\Plan de acción\Plan Accion 2018\[Plan Accion Integrado ADRES Vigencia 2018 con Cuadro de Mando V6..xlsx]Plan de Accion 2018'!#REF!,X148&lt;&gt;"N/A"))</xm:f>
            <x14:dxf>
              <fill>
                <patternFill>
                  <bgColor rgb="FF00B050"/>
                </patternFill>
              </fill>
            </x14:dxf>
          </x14:cfRule>
          <x14:cfRule type="expression" priority="3581" stopIfTrue="1" id="{C6174C49-D57F-4844-80DD-3E9B736563EC}">
            <xm:f>AND(IF(X148&lt;'F:\Users\norela.briceno\Documents\Plan de acción\Plan Accion 2018\[Plan Accion Integrado ADRES Vigencia 2018 con Cuadro de Mando V6..xlsx]Plan de Accion 2018'!#REF!,X148&lt;&gt;"N/A"))</xm:f>
            <x14:dxf>
              <fill>
                <patternFill>
                  <bgColor indexed="10"/>
                </patternFill>
              </fill>
            </x14:dxf>
          </x14:cfRule>
          <xm:sqref>X148</xm:sqref>
        </x14:conditionalFormatting>
        <x14:conditionalFormatting xmlns:xm="http://schemas.microsoft.com/office/excel/2006/main">
          <x14:cfRule type="expression" priority="3573" id="{6CA7FAC9-680D-46ED-8AD0-6184A8E9F53D}">
            <xm:f>AND(IF(X159&gt;'F:\Users\norela.briceno\Documents\Plan de acción\Plan Accion 2018\[Plan Accion Integrado ADRES Vigencia 2018 con Cuadro de Mando V6..xlsx]Plan de Accion 2018'!#REF!,X159&lt;&gt;¨N/A¨))</xm:f>
            <x14:dxf>
              <fill>
                <patternFill>
                  <bgColor theme="1" tint="0.499984740745262"/>
                </patternFill>
              </fill>
            </x14:dxf>
          </x14:cfRule>
          <x14:cfRule type="expression" priority="3574" stopIfTrue="1" id="{494922ED-7C63-4CF9-94EF-87175DDBE91D}">
            <xm:f>AND(IF(X159='F:\Users\norela.briceno\Documents\Plan de acción\Plan Accion 2018\[Plan Accion Integrado ADRES Vigencia 2018 con Cuadro de Mando V6..xlsx]Plan de Accion 2018'!#REF!,X159&lt;&gt;"N/A"))</xm:f>
            <x14:dxf>
              <fill>
                <patternFill>
                  <bgColor rgb="FF00B050"/>
                </patternFill>
              </fill>
            </x14:dxf>
          </x14:cfRule>
          <x14:cfRule type="expression" priority="3575" stopIfTrue="1" id="{04AEA258-1A80-4BC5-B5AE-793F63998EB8}">
            <xm:f>AND(IF(X159&lt;'F:\Users\norela.briceno\Documents\Plan de acción\Plan Accion 2018\[Plan Accion Integrado ADRES Vigencia 2018 con Cuadro de Mando V6..xlsx]Plan de Accion 2018'!#REF!,X159&lt;&gt;"N/A"))</xm:f>
            <x14:dxf>
              <fill>
                <patternFill>
                  <bgColor indexed="10"/>
                </patternFill>
              </fill>
            </x14:dxf>
          </x14:cfRule>
          <xm:sqref>X159</xm:sqref>
        </x14:conditionalFormatting>
        <x14:conditionalFormatting xmlns:xm="http://schemas.microsoft.com/office/excel/2006/main">
          <x14:cfRule type="expression" priority="3570" id="{D2C1AF81-AFC9-4E3F-BA00-912909124BBD}">
            <xm:f>AND(IF(X160&gt;'F:\Users\norela.briceno\Documents\Plan de acción\Plan Accion 2018\[Plan Accion Integrado ADRES Vigencia 2018 con Cuadro de Mando V6..xlsx]Plan de Accion 2018'!#REF!,X160&lt;&gt;¨N/A¨))</xm:f>
            <x14:dxf>
              <fill>
                <patternFill>
                  <bgColor theme="1" tint="0.499984740745262"/>
                </patternFill>
              </fill>
            </x14:dxf>
          </x14:cfRule>
          <x14:cfRule type="expression" priority="3571" stopIfTrue="1" id="{8620BABF-60E3-4A11-9303-C560D0C4FF13}">
            <xm:f>AND(IF(X160='F:\Users\norela.briceno\Documents\Plan de acción\Plan Accion 2018\[Plan Accion Integrado ADRES Vigencia 2018 con Cuadro de Mando V6..xlsx]Plan de Accion 2018'!#REF!,X160&lt;&gt;"N/A"))</xm:f>
            <x14:dxf>
              <fill>
                <patternFill>
                  <bgColor rgb="FF00B050"/>
                </patternFill>
              </fill>
            </x14:dxf>
          </x14:cfRule>
          <x14:cfRule type="expression" priority="3572" stopIfTrue="1" id="{BB1BDFF3-1540-46DB-ACCF-CC60EA24E30D}">
            <xm:f>AND(IF(X160&lt;'F:\Users\norela.briceno\Documents\Plan de acción\Plan Accion 2018\[Plan Accion Integrado ADRES Vigencia 2018 con Cuadro de Mando V6..xlsx]Plan de Accion 2018'!#REF!,X160&lt;&gt;"N/A"))</xm:f>
            <x14:dxf>
              <fill>
                <patternFill>
                  <bgColor indexed="10"/>
                </patternFill>
              </fill>
            </x14:dxf>
          </x14:cfRule>
          <xm:sqref>X160</xm:sqref>
        </x14:conditionalFormatting>
        <x14:conditionalFormatting xmlns:xm="http://schemas.microsoft.com/office/excel/2006/main">
          <x14:cfRule type="expression" priority="3567" id="{C4FB4640-8DC5-4581-B744-358D2A8B1980}">
            <xm:f>AND(IF(X161&gt;'F:\Users\norela.briceno\Documents\Plan de acción\Plan Accion 2018\[Plan Accion Integrado ADRES Vigencia 2018 con Cuadro de Mando V6..xlsx]Plan de Accion 2018'!#REF!,X161&lt;&gt;¨N/A¨))</xm:f>
            <x14:dxf>
              <fill>
                <patternFill>
                  <bgColor theme="1" tint="0.499984740745262"/>
                </patternFill>
              </fill>
            </x14:dxf>
          </x14:cfRule>
          <x14:cfRule type="expression" priority="3568" stopIfTrue="1" id="{3620D59F-6592-43F7-A892-C65E8CD5657E}">
            <xm:f>AND(IF(X161='F:\Users\norela.briceno\Documents\Plan de acción\Plan Accion 2018\[Plan Accion Integrado ADRES Vigencia 2018 con Cuadro de Mando V6..xlsx]Plan de Accion 2018'!#REF!,X161&lt;&gt;"N/A"))</xm:f>
            <x14:dxf>
              <fill>
                <patternFill>
                  <bgColor rgb="FF00B050"/>
                </patternFill>
              </fill>
            </x14:dxf>
          </x14:cfRule>
          <x14:cfRule type="expression" priority="3569" stopIfTrue="1" id="{38610430-B864-4D71-A54B-84BDCCAA198E}">
            <xm:f>AND(IF(X161&lt;'F:\Users\norela.briceno\Documents\Plan de acción\Plan Accion 2018\[Plan Accion Integrado ADRES Vigencia 2018 con Cuadro de Mando V6..xlsx]Plan de Accion 2018'!#REF!,X161&lt;&gt;"N/A"))</xm:f>
            <x14:dxf>
              <fill>
                <patternFill>
                  <bgColor indexed="10"/>
                </patternFill>
              </fill>
            </x14:dxf>
          </x14:cfRule>
          <xm:sqref>X161</xm:sqref>
        </x14:conditionalFormatting>
        <x14:conditionalFormatting xmlns:xm="http://schemas.microsoft.com/office/excel/2006/main">
          <x14:cfRule type="expression" priority="3564" id="{8EB3506D-65E9-4D87-9A0B-7BC6B89391C6}">
            <xm:f>AND(IF(X162&gt;'F:\Users\norela.briceno\Documents\Plan de acción\Plan Accion 2018\[Plan Accion Integrado ADRES Vigencia 2018 con Cuadro de Mando V6..xlsx]Plan de Accion 2018'!#REF!,X162&lt;&gt;¨N/A¨))</xm:f>
            <x14:dxf>
              <fill>
                <patternFill>
                  <bgColor theme="1" tint="0.499984740745262"/>
                </patternFill>
              </fill>
            </x14:dxf>
          </x14:cfRule>
          <x14:cfRule type="expression" priority="3565" stopIfTrue="1" id="{8324613C-C40B-41EE-8880-0764E6503764}">
            <xm:f>AND(IF(X162='F:\Users\norela.briceno\Documents\Plan de acción\Plan Accion 2018\[Plan Accion Integrado ADRES Vigencia 2018 con Cuadro de Mando V6..xlsx]Plan de Accion 2018'!#REF!,X162&lt;&gt;"N/A"))</xm:f>
            <x14:dxf>
              <fill>
                <patternFill>
                  <bgColor rgb="FF00B050"/>
                </patternFill>
              </fill>
            </x14:dxf>
          </x14:cfRule>
          <x14:cfRule type="expression" priority="3566" stopIfTrue="1" id="{47F4966A-FD47-4EBD-AE49-A8D3262997DB}">
            <xm:f>AND(IF(X162&lt;'F:\Users\norela.briceno\Documents\Plan de acción\Plan Accion 2018\[Plan Accion Integrado ADRES Vigencia 2018 con Cuadro de Mando V6..xlsx]Plan de Accion 2018'!#REF!,X162&lt;&gt;"N/A"))</xm:f>
            <x14:dxf>
              <fill>
                <patternFill>
                  <bgColor indexed="10"/>
                </patternFill>
              </fill>
            </x14:dxf>
          </x14:cfRule>
          <xm:sqref>X162</xm:sqref>
        </x14:conditionalFormatting>
        <x14:conditionalFormatting xmlns:xm="http://schemas.microsoft.com/office/excel/2006/main">
          <x14:cfRule type="expression" priority="3561" id="{FB9FCEFD-FE56-4379-9C09-376FC91A93B2}">
            <xm:f>AND(IF(X163&gt;'F:\Users\norela.briceno\Documents\Plan de acción\Plan Accion 2018\[Plan Accion Integrado ADRES Vigencia 2018 con Cuadro de Mando V6..xlsx]Plan de Accion 2018'!#REF!,X163&lt;&gt;¨N/A¨))</xm:f>
            <x14:dxf>
              <fill>
                <patternFill>
                  <bgColor theme="1" tint="0.499984740745262"/>
                </patternFill>
              </fill>
            </x14:dxf>
          </x14:cfRule>
          <x14:cfRule type="expression" priority="3562" stopIfTrue="1" id="{B55F8DB0-81A6-4EC8-8999-F1A6A7294254}">
            <xm:f>AND(IF(X163='F:\Users\norela.briceno\Documents\Plan de acción\Plan Accion 2018\[Plan Accion Integrado ADRES Vigencia 2018 con Cuadro de Mando V6..xlsx]Plan de Accion 2018'!#REF!,X163&lt;&gt;"N/A"))</xm:f>
            <x14:dxf>
              <fill>
                <patternFill>
                  <bgColor rgb="FF00B050"/>
                </patternFill>
              </fill>
            </x14:dxf>
          </x14:cfRule>
          <x14:cfRule type="expression" priority="3563" stopIfTrue="1" id="{64E65B3D-FDC2-44BC-BD23-0C95A4FF0953}">
            <xm:f>AND(IF(X163&lt;'F:\Users\norela.briceno\Documents\Plan de acción\Plan Accion 2018\[Plan Accion Integrado ADRES Vigencia 2018 con Cuadro de Mando V6..xlsx]Plan de Accion 2018'!#REF!,X163&lt;&gt;"N/A"))</xm:f>
            <x14:dxf>
              <fill>
                <patternFill>
                  <bgColor indexed="10"/>
                </patternFill>
              </fill>
            </x14:dxf>
          </x14:cfRule>
          <xm:sqref>X163</xm:sqref>
        </x14:conditionalFormatting>
        <x14:conditionalFormatting xmlns:xm="http://schemas.microsoft.com/office/excel/2006/main">
          <x14:cfRule type="expression" priority="3558" id="{12588BA5-2E6B-4005-8369-85C4AD2675F1}">
            <xm:f>AND(IF(X164&gt;'F:\Users\norela.briceno\Documents\Plan de acción\Plan Accion 2018\[Plan Accion Integrado ADRES Vigencia 2018 con Cuadro de Mando V6..xlsx]Plan de Accion 2018'!#REF!,X164&lt;&gt;¨N/A¨))</xm:f>
            <x14:dxf>
              <fill>
                <patternFill>
                  <bgColor theme="1" tint="0.499984740745262"/>
                </patternFill>
              </fill>
            </x14:dxf>
          </x14:cfRule>
          <x14:cfRule type="expression" priority="3559" stopIfTrue="1" id="{ACF194C3-F833-4F70-B98B-528DC7365B7A}">
            <xm:f>AND(IF(X164='F:\Users\norela.briceno\Documents\Plan de acción\Plan Accion 2018\[Plan Accion Integrado ADRES Vigencia 2018 con Cuadro de Mando V6..xlsx]Plan de Accion 2018'!#REF!,X164&lt;&gt;"N/A"))</xm:f>
            <x14:dxf>
              <fill>
                <patternFill>
                  <bgColor rgb="FF00B050"/>
                </patternFill>
              </fill>
            </x14:dxf>
          </x14:cfRule>
          <x14:cfRule type="expression" priority="3560" stopIfTrue="1" id="{4E9B1DA1-F446-4324-8CD4-06A57689BA7F}">
            <xm:f>AND(IF(X164&lt;'F:\Users\norela.briceno\Documents\Plan de acción\Plan Accion 2018\[Plan Accion Integrado ADRES Vigencia 2018 con Cuadro de Mando V6..xlsx]Plan de Accion 2018'!#REF!,X164&lt;&gt;"N/A"))</xm:f>
            <x14:dxf>
              <fill>
                <patternFill>
                  <bgColor indexed="10"/>
                </patternFill>
              </fill>
            </x14:dxf>
          </x14:cfRule>
          <xm:sqref>X164</xm:sqref>
        </x14:conditionalFormatting>
        <x14:conditionalFormatting xmlns:xm="http://schemas.microsoft.com/office/excel/2006/main">
          <x14:cfRule type="expression" priority="3555" id="{6D58C1F3-EFA1-4AEC-9A6C-D58CCCB2E8DB}">
            <xm:f>AND(IF(X165&gt;'F:\Users\norela.briceno\Documents\Plan de acción\Plan Accion 2018\[Plan Accion Integrado ADRES Vigencia 2018 con Cuadro de Mando V6..xlsx]Plan de Accion 2018'!#REF!,X165&lt;&gt;¨N/A¨))</xm:f>
            <x14:dxf>
              <fill>
                <patternFill>
                  <bgColor theme="1" tint="0.499984740745262"/>
                </patternFill>
              </fill>
            </x14:dxf>
          </x14:cfRule>
          <x14:cfRule type="expression" priority="3556" stopIfTrue="1" id="{2B3A43C7-CF9B-4A03-87F6-BD1BFAB90F5A}">
            <xm:f>AND(IF(X165='F:\Users\norela.briceno\Documents\Plan de acción\Plan Accion 2018\[Plan Accion Integrado ADRES Vigencia 2018 con Cuadro de Mando V6..xlsx]Plan de Accion 2018'!#REF!,X165&lt;&gt;"N/A"))</xm:f>
            <x14:dxf>
              <fill>
                <patternFill>
                  <bgColor rgb="FF00B050"/>
                </patternFill>
              </fill>
            </x14:dxf>
          </x14:cfRule>
          <x14:cfRule type="expression" priority="3557" stopIfTrue="1" id="{824EA8EA-4238-4034-B7F7-2E2E3E741B5D}">
            <xm:f>AND(IF(X165&lt;'F:\Users\norela.briceno\Documents\Plan de acción\Plan Accion 2018\[Plan Accion Integrado ADRES Vigencia 2018 con Cuadro de Mando V6..xlsx]Plan de Accion 2018'!#REF!,X165&lt;&gt;"N/A"))</xm:f>
            <x14:dxf>
              <fill>
                <patternFill>
                  <bgColor indexed="10"/>
                </patternFill>
              </fill>
            </x14:dxf>
          </x14:cfRule>
          <xm:sqref>X165</xm:sqref>
        </x14:conditionalFormatting>
        <x14:conditionalFormatting xmlns:xm="http://schemas.microsoft.com/office/excel/2006/main">
          <x14:cfRule type="expression" priority="3552" id="{B028A017-8D78-4EFB-905E-69FC1B7CC28F}">
            <xm:f>AND(IF(X166&gt;'F:\Users\norela.briceno\Documents\Plan de acción\Plan Accion 2018\[Plan Accion Integrado ADRES Vigencia 2018 con Cuadro de Mando V6..xlsx]Plan de Accion 2018'!#REF!,X166&lt;&gt;¨N/A¨))</xm:f>
            <x14:dxf>
              <fill>
                <patternFill>
                  <bgColor theme="1" tint="0.499984740745262"/>
                </patternFill>
              </fill>
            </x14:dxf>
          </x14:cfRule>
          <x14:cfRule type="expression" priority="3553" stopIfTrue="1" id="{5D4B47A3-615A-4904-8D23-21D6235B18A8}">
            <xm:f>AND(IF(X166='F:\Users\norela.briceno\Documents\Plan de acción\Plan Accion 2018\[Plan Accion Integrado ADRES Vigencia 2018 con Cuadro de Mando V6..xlsx]Plan de Accion 2018'!#REF!,X166&lt;&gt;"N/A"))</xm:f>
            <x14:dxf>
              <fill>
                <patternFill>
                  <bgColor rgb="FF00B050"/>
                </patternFill>
              </fill>
            </x14:dxf>
          </x14:cfRule>
          <x14:cfRule type="expression" priority="3554" stopIfTrue="1" id="{9B9F23E9-D993-49EB-BC64-1F6C1E470A43}">
            <xm:f>AND(IF(X166&lt;'F:\Users\norela.briceno\Documents\Plan de acción\Plan Accion 2018\[Plan Accion Integrado ADRES Vigencia 2018 con Cuadro de Mando V6..xlsx]Plan de Accion 2018'!#REF!,X166&lt;&gt;"N/A"))</xm:f>
            <x14:dxf>
              <fill>
                <patternFill>
                  <bgColor indexed="10"/>
                </patternFill>
              </fill>
            </x14:dxf>
          </x14:cfRule>
          <xm:sqref>X166</xm:sqref>
        </x14:conditionalFormatting>
        <x14:conditionalFormatting xmlns:xm="http://schemas.microsoft.com/office/excel/2006/main">
          <x14:cfRule type="expression" priority="3549" id="{CA8F04EB-87D4-4412-BB30-43967020D518}">
            <xm:f>AND(IF(X167&gt;'F:\Users\norela.briceno\Documents\Plan de acción\Plan Accion 2018\[Plan Accion Integrado ADRES Vigencia 2018 con Cuadro de Mando V6..xlsx]Plan de Accion 2018'!#REF!,X167&lt;&gt;¨N/A¨))</xm:f>
            <x14:dxf>
              <fill>
                <patternFill>
                  <bgColor theme="1" tint="0.499984740745262"/>
                </patternFill>
              </fill>
            </x14:dxf>
          </x14:cfRule>
          <x14:cfRule type="expression" priority="3550" stopIfTrue="1" id="{81C62F97-6550-417B-B726-CE8A6B1E32C0}">
            <xm:f>AND(IF(X167='F:\Users\norela.briceno\Documents\Plan de acción\Plan Accion 2018\[Plan Accion Integrado ADRES Vigencia 2018 con Cuadro de Mando V6..xlsx]Plan de Accion 2018'!#REF!,X167&lt;&gt;"N/A"))</xm:f>
            <x14:dxf>
              <fill>
                <patternFill>
                  <bgColor rgb="FF00B050"/>
                </patternFill>
              </fill>
            </x14:dxf>
          </x14:cfRule>
          <x14:cfRule type="expression" priority="3551" stopIfTrue="1" id="{6F20158D-9EA0-4B58-B4AF-2CD08BC9D7C3}">
            <xm:f>AND(IF(X167&lt;'F:\Users\norela.briceno\Documents\Plan de acción\Plan Accion 2018\[Plan Accion Integrado ADRES Vigencia 2018 con Cuadro de Mando V6..xlsx]Plan de Accion 2018'!#REF!,X167&lt;&gt;"N/A"))</xm:f>
            <x14:dxf>
              <fill>
                <patternFill>
                  <bgColor indexed="10"/>
                </patternFill>
              </fill>
            </x14:dxf>
          </x14:cfRule>
          <xm:sqref>X167</xm:sqref>
        </x14:conditionalFormatting>
        <x14:conditionalFormatting xmlns:xm="http://schemas.microsoft.com/office/excel/2006/main">
          <x14:cfRule type="expression" priority="3546" id="{46F7489E-1510-434C-80B1-C0C025396FB5}">
            <xm:f>AND(IF(X168&gt;'F:\Users\norela.briceno\Documents\Plan de acción\Plan Accion 2018\[Plan Accion Integrado ADRES Vigencia 2018 con Cuadro de Mando V6..xlsx]Plan de Accion 2018'!#REF!,X168&lt;&gt;¨N/A¨))</xm:f>
            <x14:dxf>
              <fill>
                <patternFill>
                  <bgColor theme="1" tint="0.499984740745262"/>
                </patternFill>
              </fill>
            </x14:dxf>
          </x14:cfRule>
          <x14:cfRule type="expression" priority="3547" stopIfTrue="1" id="{2C1E23EE-E433-48E7-AF05-2F954974449F}">
            <xm:f>AND(IF(X168='F:\Users\norela.briceno\Documents\Plan de acción\Plan Accion 2018\[Plan Accion Integrado ADRES Vigencia 2018 con Cuadro de Mando V6..xlsx]Plan de Accion 2018'!#REF!,X168&lt;&gt;"N/A"))</xm:f>
            <x14:dxf>
              <fill>
                <patternFill>
                  <bgColor rgb="FF00B050"/>
                </patternFill>
              </fill>
            </x14:dxf>
          </x14:cfRule>
          <x14:cfRule type="expression" priority="3548" stopIfTrue="1" id="{FACD2FD4-4957-4A1F-B4AC-7022D73B6ECE}">
            <xm:f>AND(IF(X168&lt;'F:\Users\norela.briceno\Documents\Plan de acción\Plan Accion 2018\[Plan Accion Integrado ADRES Vigencia 2018 con Cuadro de Mando V6..xlsx]Plan de Accion 2018'!#REF!,X168&lt;&gt;"N/A"))</xm:f>
            <x14:dxf>
              <fill>
                <patternFill>
                  <bgColor indexed="10"/>
                </patternFill>
              </fill>
            </x14:dxf>
          </x14:cfRule>
          <xm:sqref>X168</xm:sqref>
        </x14:conditionalFormatting>
        <x14:conditionalFormatting xmlns:xm="http://schemas.microsoft.com/office/excel/2006/main">
          <x14:cfRule type="expression" priority="3543" id="{223962AB-D8ED-4BF5-8974-67FA3ACABF4F}">
            <xm:f>AND(IF(X177&gt;'F:\Users\norela.briceno\Documents\Plan de acción\Plan Accion 2018\[Plan Accion Integrado ADRES Vigencia 2018 con Cuadro de Mando V6..xlsx]Plan de Accion 2018'!#REF!,X177&lt;&gt;¨N/A¨))</xm:f>
            <x14:dxf>
              <fill>
                <patternFill>
                  <bgColor theme="1" tint="0.499984740745262"/>
                </patternFill>
              </fill>
            </x14:dxf>
          </x14:cfRule>
          <x14:cfRule type="expression" priority="3544" stopIfTrue="1" id="{8964B75C-09DB-4C16-937C-15E5024BF0FF}">
            <xm:f>AND(IF(X177='F:\Users\norela.briceno\Documents\Plan de acción\Plan Accion 2018\[Plan Accion Integrado ADRES Vigencia 2018 con Cuadro de Mando V6..xlsx]Plan de Accion 2018'!#REF!,X177&lt;&gt;"N/A"))</xm:f>
            <x14:dxf>
              <fill>
                <patternFill>
                  <bgColor rgb="FF00B050"/>
                </patternFill>
              </fill>
            </x14:dxf>
          </x14:cfRule>
          <x14:cfRule type="expression" priority="3545" stopIfTrue="1" id="{34FCE4B8-27F0-4600-9CB2-5AE7BB68EFED}">
            <xm:f>AND(IF(X177&lt;'F:\Users\norela.briceno\Documents\Plan de acción\Plan Accion 2018\[Plan Accion Integrado ADRES Vigencia 2018 con Cuadro de Mando V6..xlsx]Plan de Accion 2018'!#REF!,X177&lt;&gt;"N/A"))</xm:f>
            <x14:dxf>
              <fill>
                <patternFill>
                  <bgColor indexed="10"/>
                </patternFill>
              </fill>
            </x14:dxf>
          </x14:cfRule>
          <xm:sqref>X177</xm:sqref>
        </x14:conditionalFormatting>
        <x14:conditionalFormatting xmlns:xm="http://schemas.microsoft.com/office/excel/2006/main">
          <x14:cfRule type="expression" priority="3540" id="{2367B4CC-23BE-4972-BF85-1B64EEAE8B8C}">
            <xm:f>AND(IF(X178&gt;'F:\Users\norela.briceno\Documents\Plan de acción\Plan Accion 2018\[Plan Accion Integrado ADRES Vigencia 2018 con Cuadro de Mando V6..xlsx]Plan de Accion 2018'!#REF!,X178&lt;&gt;¨N/A¨))</xm:f>
            <x14:dxf>
              <fill>
                <patternFill>
                  <bgColor theme="1" tint="0.499984740745262"/>
                </patternFill>
              </fill>
            </x14:dxf>
          </x14:cfRule>
          <x14:cfRule type="expression" priority="3541" stopIfTrue="1" id="{95075E1C-89D4-49FE-BBEE-E536AA5CA539}">
            <xm:f>AND(IF(X178='F:\Users\norela.briceno\Documents\Plan de acción\Plan Accion 2018\[Plan Accion Integrado ADRES Vigencia 2018 con Cuadro de Mando V6..xlsx]Plan de Accion 2018'!#REF!,X178&lt;&gt;"N/A"))</xm:f>
            <x14:dxf>
              <fill>
                <patternFill>
                  <bgColor rgb="FF00B050"/>
                </patternFill>
              </fill>
            </x14:dxf>
          </x14:cfRule>
          <x14:cfRule type="expression" priority="3542" stopIfTrue="1" id="{F6FB11DD-1046-4EC7-A9AC-F367F7B9655B}">
            <xm:f>AND(IF(X178&lt;'F:\Users\norela.briceno\Documents\Plan de acción\Plan Accion 2018\[Plan Accion Integrado ADRES Vigencia 2018 con Cuadro de Mando V6..xlsx]Plan de Accion 2018'!#REF!,X178&lt;&gt;"N/A"))</xm:f>
            <x14:dxf>
              <fill>
                <patternFill>
                  <bgColor indexed="10"/>
                </patternFill>
              </fill>
            </x14:dxf>
          </x14:cfRule>
          <xm:sqref>X178</xm:sqref>
        </x14:conditionalFormatting>
        <x14:conditionalFormatting xmlns:xm="http://schemas.microsoft.com/office/excel/2006/main">
          <x14:cfRule type="expression" priority="3537" id="{87FC780F-700F-48CE-A71D-D325726F8B05}">
            <xm:f>AND(IF(X183&gt;'F:\Users\norela.briceno\Documents\Plan de acción\Plan Accion 2018\[Plan Accion Integrado ADRES Vigencia 2018 con Cuadro de Mando V6..xlsx]Plan de Accion 2018'!#REF!,X183&lt;&gt;¨N/A¨))</xm:f>
            <x14:dxf>
              <fill>
                <patternFill>
                  <bgColor theme="1" tint="0.499984740745262"/>
                </patternFill>
              </fill>
            </x14:dxf>
          </x14:cfRule>
          <x14:cfRule type="expression" priority="3538" stopIfTrue="1" id="{CC711FFD-490B-4ADB-8926-CE7CE4EE37C1}">
            <xm:f>AND(IF(X183='F:\Users\norela.briceno\Documents\Plan de acción\Plan Accion 2018\[Plan Accion Integrado ADRES Vigencia 2018 con Cuadro de Mando V6..xlsx]Plan de Accion 2018'!#REF!,X183&lt;&gt;"N/A"))</xm:f>
            <x14:dxf>
              <fill>
                <patternFill>
                  <bgColor rgb="FF00B050"/>
                </patternFill>
              </fill>
            </x14:dxf>
          </x14:cfRule>
          <x14:cfRule type="expression" priority="3539" stopIfTrue="1" id="{B6F5C917-AD3E-4B96-B43A-2F5833E21C56}">
            <xm:f>AND(IF(X183&lt;'F:\Users\norela.briceno\Documents\Plan de acción\Plan Accion 2018\[Plan Accion Integrado ADRES Vigencia 2018 con Cuadro de Mando V6..xlsx]Plan de Accion 2018'!#REF!,X183&lt;&gt;"N/A"))</xm:f>
            <x14:dxf>
              <fill>
                <patternFill>
                  <bgColor indexed="10"/>
                </patternFill>
              </fill>
            </x14:dxf>
          </x14:cfRule>
          <xm:sqref>X183</xm:sqref>
        </x14:conditionalFormatting>
        <x14:conditionalFormatting xmlns:xm="http://schemas.microsoft.com/office/excel/2006/main">
          <x14:cfRule type="expression" priority="3534" id="{D852B78F-9873-407F-B905-B6CC6BE5DB3D}">
            <xm:f>AND(IF(X184&gt;'F:\Users\norela.briceno\Documents\Plan de acción\Plan Accion 2018\[Plan Accion Integrado ADRES Vigencia 2018 con Cuadro de Mando V6..xlsx]Plan de Accion 2018'!#REF!,X184&lt;&gt;¨N/A¨))</xm:f>
            <x14:dxf>
              <fill>
                <patternFill>
                  <bgColor theme="1" tint="0.499984740745262"/>
                </patternFill>
              </fill>
            </x14:dxf>
          </x14:cfRule>
          <x14:cfRule type="expression" priority="3535" stopIfTrue="1" id="{4389C701-69B5-4C7D-B8AA-8911772A1512}">
            <xm:f>AND(IF(X184='F:\Users\norela.briceno\Documents\Plan de acción\Plan Accion 2018\[Plan Accion Integrado ADRES Vigencia 2018 con Cuadro de Mando V6..xlsx]Plan de Accion 2018'!#REF!,X184&lt;&gt;"N/A"))</xm:f>
            <x14:dxf>
              <fill>
                <patternFill>
                  <bgColor rgb="FF00B050"/>
                </patternFill>
              </fill>
            </x14:dxf>
          </x14:cfRule>
          <x14:cfRule type="expression" priority="3536" stopIfTrue="1" id="{7E1FF302-1EE9-42A5-B519-5BC242466CD2}">
            <xm:f>AND(IF(X184&lt;'F:\Users\norela.briceno\Documents\Plan de acción\Plan Accion 2018\[Plan Accion Integrado ADRES Vigencia 2018 con Cuadro de Mando V6..xlsx]Plan de Accion 2018'!#REF!,X184&lt;&gt;"N/A"))</xm:f>
            <x14:dxf>
              <fill>
                <patternFill>
                  <bgColor indexed="10"/>
                </patternFill>
              </fill>
            </x14:dxf>
          </x14:cfRule>
          <xm:sqref>X184</xm:sqref>
        </x14:conditionalFormatting>
        <x14:conditionalFormatting xmlns:xm="http://schemas.microsoft.com/office/excel/2006/main">
          <x14:cfRule type="expression" priority="3531" id="{8BFC0150-7893-4601-95DD-B93148542EA2}">
            <xm:f>AND(IF(X185&gt;'F:\Users\norela.briceno\Documents\Plan de acción\Plan Accion 2018\[Plan Accion Integrado ADRES Vigencia 2018 con Cuadro de Mando V6..xlsx]Plan de Accion 2018'!#REF!,X185&lt;&gt;¨N/A¨))</xm:f>
            <x14:dxf>
              <fill>
                <patternFill>
                  <bgColor theme="1" tint="0.499984740745262"/>
                </patternFill>
              </fill>
            </x14:dxf>
          </x14:cfRule>
          <x14:cfRule type="expression" priority="3532" stopIfTrue="1" id="{18EB7193-54D5-4CB4-A587-A0F74EC8756B}">
            <xm:f>AND(IF(X185='F:\Users\norela.briceno\Documents\Plan de acción\Plan Accion 2018\[Plan Accion Integrado ADRES Vigencia 2018 con Cuadro de Mando V6..xlsx]Plan de Accion 2018'!#REF!,X185&lt;&gt;"N/A"))</xm:f>
            <x14:dxf>
              <fill>
                <patternFill>
                  <bgColor rgb="FF00B050"/>
                </patternFill>
              </fill>
            </x14:dxf>
          </x14:cfRule>
          <x14:cfRule type="expression" priority="3533" stopIfTrue="1" id="{A9F8555F-934B-4F86-8BAB-4862945C4701}">
            <xm:f>AND(IF(X185&lt;'F:\Users\norela.briceno\Documents\Plan de acción\Plan Accion 2018\[Plan Accion Integrado ADRES Vigencia 2018 con Cuadro de Mando V6..xlsx]Plan de Accion 2018'!#REF!,X185&lt;&gt;"N/A"))</xm:f>
            <x14:dxf>
              <fill>
                <patternFill>
                  <bgColor indexed="10"/>
                </patternFill>
              </fill>
            </x14:dxf>
          </x14:cfRule>
          <xm:sqref>X185</xm:sqref>
        </x14:conditionalFormatting>
        <x14:conditionalFormatting xmlns:xm="http://schemas.microsoft.com/office/excel/2006/main">
          <x14:cfRule type="expression" priority="3528" id="{D029A8D1-D9AC-4FF8-BB71-5DF73C47A1FA}">
            <xm:f>AND(IF(X186&gt;'F:\Users\norela.briceno\Documents\Plan de acción\Plan Accion 2018\[Plan Accion Integrado ADRES Vigencia 2018 con Cuadro de Mando V6..xlsx]Plan de Accion 2018'!#REF!,X186&lt;&gt;¨N/A¨))</xm:f>
            <x14:dxf>
              <fill>
                <patternFill>
                  <bgColor theme="1" tint="0.499984740745262"/>
                </patternFill>
              </fill>
            </x14:dxf>
          </x14:cfRule>
          <x14:cfRule type="expression" priority="3529" stopIfTrue="1" id="{0FE63742-043B-494A-9F1F-B10D070A77F4}">
            <xm:f>AND(IF(X186='F:\Users\norela.briceno\Documents\Plan de acción\Plan Accion 2018\[Plan Accion Integrado ADRES Vigencia 2018 con Cuadro de Mando V6..xlsx]Plan de Accion 2018'!#REF!,X186&lt;&gt;"N/A"))</xm:f>
            <x14:dxf>
              <fill>
                <patternFill>
                  <bgColor rgb="FF00B050"/>
                </patternFill>
              </fill>
            </x14:dxf>
          </x14:cfRule>
          <x14:cfRule type="expression" priority="3530" stopIfTrue="1" id="{2AFDBCDF-3792-453A-B4DC-F4B74A61BE47}">
            <xm:f>AND(IF(X186&lt;'F:\Users\norela.briceno\Documents\Plan de acción\Plan Accion 2018\[Plan Accion Integrado ADRES Vigencia 2018 con Cuadro de Mando V6..xlsx]Plan de Accion 2018'!#REF!,X186&lt;&gt;"N/A"))</xm:f>
            <x14:dxf>
              <fill>
                <patternFill>
                  <bgColor indexed="10"/>
                </patternFill>
              </fill>
            </x14:dxf>
          </x14:cfRule>
          <xm:sqref>X186</xm:sqref>
        </x14:conditionalFormatting>
        <x14:conditionalFormatting xmlns:xm="http://schemas.microsoft.com/office/excel/2006/main">
          <x14:cfRule type="expression" priority="3525" id="{972BBD41-5E47-46A2-AAAA-ECC87CEC03ED}">
            <xm:f>AND(IF(X187&gt;'F:\Users\norela.briceno\Documents\Plan de acción\Plan Accion 2018\[Plan Accion Integrado ADRES Vigencia 2018 con Cuadro de Mando V6..xlsx]Plan de Accion 2018'!#REF!,X187&lt;&gt;¨N/A¨))</xm:f>
            <x14:dxf>
              <fill>
                <patternFill>
                  <bgColor theme="1" tint="0.499984740745262"/>
                </patternFill>
              </fill>
            </x14:dxf>
          </x14:cfRule>
          <x14:cfRule type="expression" priority="3526" stopIfTrue="1" id="{CD8B380C-FAE0-4343-A68F-D3D961B3AF28}">
            <xm:f>AND(IF(X187='F:\Users\norela.briceno\Documents\Plan de acción\Plan Accion 2018\[Plan Accion Integrado ADRES Vigencia 2018 con Cuadro de Mando V6..xlsx]Plan de Accion 2018'!#REF!,X187&lt;&gt;"N/A"))</xm:f>
            <x14:dxf>
              <fill>
                <patternFill>
                  <bgColor rgb="FF00B050"/>
                </patternFill>
              </fill>
            </x14:dxf>
          </x14:cfRule>
          <x14:cfRule type="expression" priority="3527" stopIfTrue="1" id="{75FC5A92-2955-4D22-A2E1-8D567586DF36}">
            <xm:f>AND(IF(X187&lt;'F:\Users\norela.briceno\Documents\Plan de acción\Plan Accion 2018\[Plan Accion Integrado ADRES Vigencia 2018 con Cuadro de Mando V6..xlsx]Plan de Accion 2018'!#REF!,X187&lt;&gt;"N/A"))</xm:f>
            <x14:dxf>
              <fill>
                <patternFill>
                  <bgColor indexed="10"/>
                </patternFill>
              </fill>
            </x14:dxf>
          </x14:cfRule>
          <xm:sqref>X187</xm:sqref>
        </x14:conditionalFormatting>
        <x14:conditionalFormatting xmlns:xm="http://schemas.microsoft.com/office/excel/2006/main">
          <x14:cfRule type="expression" priority="3522" id="{100E933B-4B86-4062-A537-1DC7EF36882D}">
            <xm:f>AND(IF(X188&gt;'F:\Users\norela.briceno\Documents\Plan de acción\Plan Accion 2018\[Plan Accion Integrado ADRES Vigencia 2018 con Cuadro de Mando V6..xlsx]Plan de Accion 2018'!#REF!,X188&lt;&gt;¨N/A¨))</xm:f>
            <x14:dxf>
              <fill>
                <patternFill>
                  <bgColor theme="1" tint="0.499984740745262"/>
                </patternFill>
              </fill>
            </x14:dxf>
          </x14:cfRule>
          <x14:cfRule type="expression" priority="3523" stopIfTrue="1" id="{8C2DDB7E-323D-42F3-B924-F5AA0203FC92}">
            <xm:f>AND(IF(X188='F:\Users\norela.briceno\Documents\Plan de acción\Plan Accion 2018\[Plan Accion Integrado ADRES Vigencia 2018 con Cuadro de Mando V6..xlsx]Plan de Accion 2018'!#REF!,X188&lt;&gt;"N/A"))</xm:f>
            <x14:dxf>
              <fill>
                <patternFill>
                  <bgColor rgb="FF00B050"/>
                </patternFill>
              </fill>
            </x14:dxf>
          </x14:cfRule>
          <x14:cfRule type="expression" priority="3524" stopIfTrue="1" id="{9563366B-FF5B-496C-B281-B8E7DB3C5EB8}">
            <xm:f>AND(IF(X188&lt;'F:\Users\norela.briceno\Documents\Plan de acción\Plan Accion 2018\[Plan Accion Integrado ADRES Vigencia 2018 con Cuadro de Mando V6..xlsx]Plan de Accion 2018'!#REF!,X188&lt;&gt;"N/A"))</xm:f>
            <x14:dxf>
              <fill>
                <patternFill>
                  <bgColor indexed="10"/>
                </patternFill>
              </fill>
            </x14:dxf>
          </x14:cfRule>
          <xm:sqref>X188</xm:sqref>
        </x14:conditionalFormatting>
        <x14:conditionalFormatting xmlns:xm="http://schemas.microsoft.com/office/excel/2006/main">
          <x14:cfRule type="expression" priority="3519" id="{04D3139F-CBE6-4E45-B486-B73BF6C3F4CC}">
            <xm:f>AND(IF(X190&gt;'F:\Users\norela.briceno\Documents\Plan de acción\Plan Accion 2018\[Plan Accion Integrado ADRES Vigencia 2018 con Cuadro de Mando V6..xlsx]Plan de Accion 2018'!#REF!,X190&lt;&gt;¨N/A¨))</xm:f>
            <x14:dxf>
              <fill>
                <patternFill>
                  <bgColor theme="1" tint="0.499984740745262"/>
                </patternFill>
              </fill>
            </x14:dxf>
          </x14:cfRule>
          <x14:cfRule type="expression" priority="3520" stopIfTrue="1" id="{812474D2-1472-4BEE-B367-6FE6D733B4A6}">
            <xm:f>AND(IF(X190='F:\Users\norela.briceno\Documents\Plan de acción\Plan Accion 2018\[Plan Accion Integrado ADRES Vigencia 2018 con Cuadro de Mando V6..xlsx]Plan de Accion 2018'!#REF!,X190&lt;&gt;"N/A"))</xm:f>
            <x14:dxf>
              <fill>
                <patternFill>
                  <bgColor rgb="FF00B050"/>
                </patternFill>
              </fill>
            </x14:dxf>
          </x14:cfRule>
          <x14:cfRule type="expression" priority="3521" stopIfTrue="1" id="{7C5FBC28-AB06-42D9-8935-B8FA879739A5}">
            <xm:f>AND(IF(X190&lt;'F:\Users\norela.briceno\Documents\Plan de acción\Plan Accion 2018\[Plan Accion Integrado ADRES Vigencia 2018 con Cuadro de Mando V6..xlsx]Plan de Accion 2018'!#REF!,X190&lt;&gt;"N/A"))</xm:f>
            <x14:dxf>
              <fill>
                <patternFill>
                  <bgColor indexed="10"/>
                </patternFill>
              </fill>
            </x14:dxf>
          </x14:cfRule>
          <xm:sqref>X190</xm:sqref>
        </x14:conditionalFormatting>
        <x14:conditionalFormatting xmlns:xm="http://schemas.microsoft.com/office/excel/2006/main">
          <x14:cfRule type="expression" priority="3516" id="{B5918568-9205-4994-AD2C-A0B09EC9EB7A}">
            <xm:f>AND(IF(X191&gt;'F:\Users\norela.briceno\Documents\Plan de acción\Plan Accion 2018\[Plan Accion Integrado ADRES Vigencia 2018 con Cuadro de Mando V6..xlsx]Plan de Accion 2018'!#REF!,X191&lt;&gt;¨N/A¨))</xm:f>
            <x14:dxf>
              <fill>
                <patternFill>
                  <bgColor theme="1" tint="0.499984740745262"/>
                </patternFill>
              </fill>
            </x14:dxf>
          </x14:cfRule>
          <x14:cfRule type="expression" priority="3517" stopIfTrue="1" id="{68182953-D66D-4DBD-812D-7C28BCFDF4CB}">
            <xm:f>AND(IF(X191='F:\Users\norela.briceno\Documents\Plan de acción\Plan Accion 2018\[Plan Accion Integrado ADRES Vigencia 2018 con Cuadro de Mando V6..xlsx]Plan de Accion 2018'!#REF!,X191&lt;&gt;"N/A"))</xm:f>
            <x14:dxf>
              <fill>
                <patternFill>
                  <bgColor rgb="FF00B050"/>
                </patternFill>
              </fill>
            </x14:dxf>
          </x14:cfRule>
          <x14:cfRule type="expression" priority="3518" stopIfTrue="1" id="{B3CA9E63-D8DF-4742-8C08-A848FE012EAE}">
            <xm:f>AND(IF(X191&lt;'F:\Users\norela.briceno\Documents\Plan de acción\Plan Accion 2018\[Plan Accion Integrado ADRES Vigencia 2018 con Cuadro de Mando V6..xlsx]Plan de Accion 2018'!#REF!,X191&lt;&gt;"N/A"))</xm:f>
            <x14:dxf>
              <fill>
                <patternFill>
                  <bgColor indexed="10"/>
                </patternFill>
              </fill>
            </x14:dxf>
          </x14:cfRule>
          <xm:sqref>X191</xm:sqref>
        </x14:conditionalFormatting>
        <x14:conditionalFormatting xmlns:xm="http://schemas.microsoft.com/office/excel/2006/main">
          <x14:cfRule type="expression" priority="3513" id="{3319807E-61FA-4418-B5D0-4BF58EEB2BBA}">
            <xm:f>AND(IF(X194&gt;'F:\Users\norela.briceno\Documents\Plan de acción\Plan Accion 2018\[Plan Accion Integrado ADRES Vigencia 2018 con Cuadro de Mando V6..xlsx]Plan de Accion 2018'!#REF!,X194&lt;&gt;¨N/A¨))</xm:f>
            <x14:dxf>
              <fill>
                <patternFill>
                  <bgColor theme="1" tint="0.499984740745262"/>
                </patternFill>
              </fill>
            </x14:dxf>
          </x14:cfRule>
          <x14:cfRule type="expression" priority="3514" stopIfTrue="1" id="{7FD69541-1C6B-4A58-969D-37778DC085DD}">
            <xm:f>AND(IF(X194='F:\Users\norela.briceno\Documents\Plan de acción\Plan Accion 2018\[Plan Accion Integrado ADRES Vigencia 2018 con Cuadro de Mando V6..xlsx]Plan de Accion 2018'!#REF!,X194&lt;&gt;"N/A"))</xm:f>
            <x14:dxf>
              <fill>
                <patternFill>
                  <bgColor rgb="FF00B050"/>
                </patternFill>
              </fill>
            </x14:dxf>
          </x14:cfRule>
          <x14:cfRule type="expression" priority="3515" stopIfTrue="1" id="{71C006F8-ED10-4276-B351-0E507093096D}">
            <xm:f>AND(IF(X194&lt;'F:\Users\norela.briceno\Documents\Plan de acción\Plan Accion 2018\[Plan Accion Integrado ADRES Vigencia 2018 con Cuadro de Mando V6..xlsx]Plan de Accion 2018'!#REF!,X194&lt;&gt;"N/A"))</xm:f>
            <x14:dxf>
              <fill>
                <patternFill>
                  <bgColor indexed="10"/>
                </patternFill>
              </fill>
            </x14:dxf>
          </x14:cfRule>
          <xm:sqref>X194</xm:sqref>
        </x14:conditionalFormatting>
        <x14:conditionalFormatting xmlns:xm="http://schemas.microsoft.com/office/excel/2006/main">
          <x14:cfRule type="expression" priority="3510" id="{05D9CC40-30E2-4C24-BF40-340ED070A2F5}">
            <xm:f>AND(IF(X196&gt;'F:\Users\norela.briceno\Documents\Plan de acción\Plan Accion 2018\[Plan Accion Integrado ADRES Vigencia 2018 con Cuadro de Mando V6..xlsx]Plan de Accion 2018'!#REF!,X196&lt;&gt;¨N/A¨))</xm:f>
            <x14:dxf>
              <fill>
                <patternFill>
                  <bgColor theme="1" tint="0.499984740745262"/>
                </patternFill>
              </fill>
            </x14:dxf>
          </x14:cfRule>
          <x14:cfRule type="expression" priority="3511" stopIfTrue="1" id="{17DB30C9-8CEF-4F85-B33C-1402B30C5C83}">
            <xm:f>AND(IF(X196='F:\Users\norela.briceno\Documents\Plan de acción\Plan Accion 2018\[Plan Accion Integrado ADRES Vigencia 2018 con Cuadro de Mando V6..xlsx]Plan de Accion 2018'!#REF!,X196&lt;&gt;"N/A"))</xm:f>
            <x14:dxf>
              <fill>
                <patternFill>
                  <bgColor rgb="FF00B050"/>
                </patternFill>
              </fill>
            </x14:dxf>
          </x14:cfRule>
          <x14:cfRule type="expression" priority="3512" stopIfTrue="1" id="{B56D6F9C-8A23-4921-921C-9954FA2C99B8}">
            <xm:f>AND(IF(X196&lt;'F:\Users\norela.briceno\Documents\Plan de acción\Plan Accion 2018\[Plan Accion Integrado ADRES Vigencia 2018 con Cuadro de Mando V6..xlsx]Plan de Accion 2018'!#REF!,X196&lt;&gt;"N/A"))</xm:f>
            <x14:dxf>
              <fill>
                <patternFill>
                  <bgColor indexed="10"/>
                </patternFill>
              </fill>
            </x14:dxf>
          </x14:cfRule>
          <xm:sqref>X196</xm:sqref>
        </x14:conditionalFormatting>
        <x14:conditionalFormatting xmlns:xm="http://schemas.microsoft.com/office/excel/2006/main">
          <x14:cfRule type="expression" priority="3507" id="{ECF40CF3-9B7B-4ED9-8863-A432129D1ACC}">
            <xm:f>AND(IF(X198&gt;'F:\Users\norela.briceno\Documents\Plan de acción\Plan Accion 2018\[Plan Accion Integrado ADRES Vigencia 2018 con Cuadro de Mando V6..xlsx]Plan de Accion 2018'!#REF!,X198&lt;&gt;¨N/A¨))</xm:f>
            <x14:dxf>
              <fill>
                <patternFill>
                  <bgColor theme="1" tint="0.499984740745262"/>
                </patternFill>
              </fill>
            </x14:dxf>
          </x14:cfRule>
          <x14:cfRule type="expression" priority="3508" stopIfTrue="1" id="{2E5DF0D0-EF86-4B1B-A18B-01F6CC19C218}">
            <xm:f>AND(IF(X198='F:\Users\norela.briceno\Documents\Plan de acción\Plan Accion 2018\[Plan Accion Integrado ADRES Vigencia 2018 con Cuadro de Mando V6..xlsx]Plan de Accion 2018'!#REF!,X198&lt;&gt;"N/A"))</xm:f>
            <x14:dxf>
              <fill>
                <patternFill>
                  <bgColor rgb="FF00B050"/>
                </patternFill>
              </fill>
            </x14:dxf>
          </x14:cfRule>
          <x14:cfRule type="expression" priority="3509" stopIfTrue="1" id="{AFB71002-ECDB-477A-8275-B76E30455CE0}">
            <xm:f>AND(IF(X198&lt;'F:\Users\norela.briceno\Documents\Plan de acción\Plan Accion 2018\[Plan Accion Integrado ADRES Vigencia 2018 con Cuadro de Mando V6..xlsx]Plan de Accion 2018'!#REF!,X198&lt;&gt;"N/A"))</xm:f>
            <x14:dxf>
              <fill>
                <patternFill>
                  <bgColor indexed="10"/>
                </patternFill>
              </fill>
            </x14:dxf>
          </x14:cfRule>
          <xm:sqref>X198</xm:sqref>
        </x14:conditionalFormatting>
        <x14:conditionalFormatting xmlns:xm="http://schemas.microsoft.com/office/excel/2006/main">
          <x14:cfRule type="expression" priority="3504" id="{6FC9E34E-851B-41FF-A1B5-48893777B3BA}">
            <xm:f>AND(IF(X199&gt;'F:\Users\norela.briceno\Documents\Plan de acción\Plan Accion 2018\[Plan Accion Integrado ADRES Vigencia 2018 con Cuadro de Mando V6..xlsx]Plan de Accion 2018'!#REF!,X199&lt;&gt;¨N/A¨))</xm:f>
            <x14:dxf>
              <fill>
                <patternFill>
                  <bgColor theme="1" tint="0.499984740745262"/>
                </patternFill>
              </fill>
            </x14:dxf>
          </x14:cfRule>
          <x14:cfRule type="expression" priority="3505" stopIfTrue="1" id="{3A68538D-9394-4679-A9DC-396F0C5826C9}">
            <xm:f>AND(IF(X199='F:\Users\norela.briceno\Documents\Plan de acción\Plan Accion 2018\[Plan Accion Integrado ADRES Vigencia 2018 con Cuadro de Mando V6..xlsx]Plan de Accion 2018'!#REF!,X199&lt;&gt;"N/A"))</xm:f>
            <x14:dxf>
              <fill>
                <patternFill>
                  <bgColor rgb="FF00B050"/>
                </patternFill>
              </fill>
            </x14:dxf>
          </x14:cfRule>
          <x14:cfRule type="expression" priority="3506" stopIfTrue="1" id="{1651849B-06F9-47BC-A6EB-AFC213AA6EB5}">
            <xm:f>AND(IF(X199&lt;'F:\Users\norela.briceno\Documents\Plan de acción\Plan Accion 2018\[Plan Accion Integrado ADRES Vigencia 2018 con Cuadro de Mando V6..xlsx]Plan de Accion 2018'!#REF!,X199&lt;&gt;"N/A"))</xm:f>
            <x14:dxf>
              <fill>
                <patternFill>
                  <bgColor indexed="10"/>
                </patternFill>
              </fill>
            </x14:dxf>
          </x14:cfRule>
          <xm:sqref>X199</xm:sqref>
        </x14:conditionalFormatting>
        <x14:conditionalFormatting xmlns:xm="http://schemas.microsoft.com/office/excel/2006/main">
          <x14:cfRule type="expression" priority="3501" id="{D8816492-2D6A-4ED4-B63F-44723723A38C}">
            <xm:f>AND(IF(X200&gt;'F:\Users\norela.briceno\Documents\Plan de acción\Plan Accion 2018\[Plan Accion Integrado ADRES Vigencia 2018 con Cuadro de Mando V6..xlsx]Plan de Accion 2018'!#REF!,X200&lt;&gt;¨N/A¨))</xm:f>
            <x14:dxf>
              <fill>
                <patternFill>
                  <bgColor theme="1" tint="0.499984740745262"/>
                </patternFill>
              </fill>
            </x14:dxf>
          </x14:cfRule>
          <x14:cfRule type="expression" priority="3502" stopIfTrue="1" id="{86760853-FB6F-4A75-956C-369415622E2C}">
            <xm:f>AND(IF(X200='F:\Users\norela.briceno\Documents\Plan de acción\Plan Accion 2018\[Plan Accion Integrado ADRES Vigencia 2018 con Cuadro de Mando V6..xlsx]Plan de Accion 2018'!#REF!,X200&lt;&gt;"N/A"))</xm:f>
            <x14:dxf>
              <fill>
                <patternFill>
                  <bgColor rgb="FF00B050"/>
                </patternFill>
              </fill>
            </x14:dxf>
          </x14:cfRule>
          <x14:cfRule type="expression" priority="3503" stopIfTrue="1" id="{E3C0BF48-AD4E-4F54-978A-15674D55CF8A}">
            <xm:f>AND(IF(X200&lt;'F:\Users\norela.briceno\Documents\Plan de acción\Plan Accion 2018\[Plan Accion Integrado ADRES Vigencia 2018 con Cuadro de Mando V6..xlsx]Plan de Accion 2018'!#REF!,X200&lt;&gt;"N/A"))</xm:f>
            <x14:dxf>
              <fill>
                <patternFill>
                  <bgColor indexed="10"/>
                </patternFill>
              </fill>
            </x14:dxf>
          </x14:cfRule>
          <xm:sqref>X200</xm:sqref>
        </x14:conditionalFormatting>
        <x14:conditionalFormatting xmlns:xm="http://schemas.microsoft.com/office/excel/2006/main">
          <x14:cfRule type="expression" priority="3498" id="{91ED1D2C-A6D2-4956-88E1-61AC08B28FFD}">
            <xm:f>AND(IF(X201&gt;'F:\Users\norela.briceno\Documents\Plan de acción\Plan Accion 2018\[Plan Accion Integrado ADRES Vigencia 2018 con Cuadro de Mando V6..xlsx]Plan de Accion 2018'!#REF!,X201&lt;&gt;¨N/A¨))</xm:f>
            <x14:dxf>
              <fill>
                <patternFill>
                  <bgColor theme="1" tint="0.499984740745262"/>
                </patternFill>
              </fill>
            </x14:dxf>
          </x14:cfRule>
          <x14:cfRule type="expression" priority="3499" stopIfTrue="1" id="{E3E4D189-091A-46FC-92DD-D60264AA7CDB}">
            <xm:f>AND(IF(X201='F:\Users\norela.briceno\Documents\Plan de acción\Plan Accion 2018\[Plan Accion Integrado ADRES Vigencia 2018 con Cuadro de Mando V6..xlsx]Plan de Accion 2018'!#REF!,X201&lt;&gt;"N/A"))</xm:f>
            <x14:dxf>
              <fill>
                <patternFill>
                  <bgColor rgb="FF00B050"/>
                </patternFill>
              </fill>
            </x14:dxf>
          </x14:cfRule>
          <x14:cfRule type="expression" priority="3500" stopIfTrue="1" id="{9F69EE73-B215-4A40-BE89-05433DDE7FE4}">
            <xm:f>AND(IF(X201&lt;'F:\Users\norela.briceno\Documents\Plan de acción\Plan Accion 2018\[Plan Accion Integrado ADRES Vigencia 2018 con Cuadro de Mando V6..xlsx]Plan de Accion 2018'!#REF!,X201&lt;&gt;"N/A"))</xm:f>
            <x14:dxf>
              <fill>
                <patternFill>
                  <bgColor indexed="10"/>
                </patternFill>
              </fill>
            </x14:dxf>
          </x14:cfRule>
          <xm:sqref>X201</xm:sqref>
        </x14:conditionalFormatting>
        <x14:conditionalFormatting xmlns:xm="http://schemas.microsoft.com/office/excel/2006/main">
          <x14:cfRule type="expression" priority="3495" id="{7162D03A-FD6F-4FF4-878F-AC4DE0828F81}">
            <xm:f>AND(IF(X202&gt;'F:\Users\norela.briceno\Documents\Plan de acción\Plan Accion 2018\[Plan Accion Integrado ADRES Vigencia 2018 con Cuadro de Mando V6..xlsx]Plan de Accion 2018'!#REF!,X202&lt;&gt;¨N/A¨))</xm:f>
            <x14:dxf>
              <fill>
                <patternFill>
                  <bgColor theme="1" tint="0.499984740745262"/>
                </patternFill>
              </fill>
            </x14:dxf>
          </x14:cfRule>
          <x14:cfRule type="expression" priority="3496" stopIfTrue="1" id="{A68A8F21-0BD5-4DAF-980D-1CBAF7A11891}">
            <xm:f>AND(IF(X202='F:\Users\norela.briceno\Documents\Plan de acción\Plan Accion 2018\[Plan Accion Integrado ADRES Vigencia 2018 con Cuadro de Mando V6..xlsx]Plan de Accion 2018'!#REF!,X202&lt;&gt;"N/A"))</xm:f>
            <x14:dxf>
              <fill>
                <patternFill>
                  <bgColor rgb="FF00B050"/>
                </patternFill>
              </fill>
            </x14:dxf>
          </x14:cfRule>
          <x14:cfRule type="expression" priority="3497" stopIfTrue="1" id="{82B41E2F-44F8-41EB-BC52-DDF65FCA4C30}">
            <xm:f>AND(IF(X202&lt;'F:\Users\norela.briceno\Documents\Plan de acción\Plan Accion 2018\[Plan Accion Integrado ADRES Vigencia 2018 con Cuadro de Mando V6..xlsx]Plan de Accion 2018'!#REF!,X202&lt;&gt;"N/A"))</xm:f>
            <x14:dxf>
              <fill>
                <patternFill>
                  <bgColor indexed="10"/>
                </patternFill>
              </fill>
            </x14:dxf>
          </x14:cfRule>
          <xm:sqref>X202</xm:sqref>
        </x14:conditionalFormatting>
        <x14:conditionalFormatting xmlns:xm="http://schemas.microsoft.com/office/excel/2006/main">
          <x14:cfRule type="expression" priority="3492" id="{44217AA0-6B6A-484F-91DC-B60C84A610F9}">
            <xm:f>AND(IF(X221&gt;'F:\Users\norela.briceno\Documents\Plan de acción\Plan Accion 2018\[Plan Accion Integrado ADRES Vigencia 2018 con Cuadro de Mando V6..xlsx]Plan de Accion 2018'!#REF!,X221&lt;&gt;¨N/A¨))</xm:f>
            <x14:dxf>
              <fill>
                <patternFill>
                  <bgColor theme="1" tint="0.499984740745262"/>
                </patternFill>
              </fill>
            </x14:dxf>
          </x14:cfRule>
          <x14:cfRule type="expression" priority="3493" stopIfTrue="1" id="{11965BCD-3451-4322-A6FD-1DAC8E094166}">
            <xm:f>AND(IF(X221='F:\Users\norela.briceno\Documents\Plan de acción\Plan Accion 2018\[Plan Accion Integrado ADRES Vigencia 2018 con Cuadro de Mando V6..xlsx]Plan de Accion 2018'!#REF!,X221&lt;&gt;"N/A"))</xm:f>
            <x14:dxf>
              <fill>
                <patternFill>
                  <bgColor rgb="FF00B050"/>
                </patternFill>
              </fill>
            </x14:dxf>
          </x14:cfRule>
          <x14:cfRule type="expression" priority="3494" stopIfTrue="1" id="{8740CBD0-421A-43D2-81E0-89991AE22718}">
            <xm:f>AND(IF(X221&lt;'F:\Users\norela.briceno\Documents\Plan de acción\Plan Accion 2018\[Plan Accion Integrado ADRES Vigencia 2018 con Cuadro de Mando V6..xlsx]Plan de Accion 2018'!#REF!,X221&lt;&gt;"N/A"))</xm:f>
            <x14:dxf>
              <fill>
                <patternFill>
                  <bgColor indexed="10"/>
                </patternFill>
              </fill>
            </x14:dxf>
          </x14:cfRule>
          <xm:sqref>X221</xm:sqref>
        </x14:conditionalFormatting>
        <x14:conditionalFormatting xmlns:xm="http://schemas.microsoft.com/office/excel/2006/main">
          <x14:cfRule type="expression" priority="3489" id="{3D22DF17-EDD9-4D79-9B7A-ECA808E59F2E}">
            <xm:f>AND(IF(X224&gt;'F:\Users\norela.briceno\Documents\Plan de acción\Plan Accion 2018\[Plan Accion Integrado ADRES Vigencia 2018 con Cuadro de Mando V6..xlsx]Plan de Accion 2018'!#REF!,X224&lt;&gt;¨N/A¨))</xm:f>
            <x14:dxf>
              <fill>
                <patternFill>
                  <bgColor theme="1" tint="0.499984740745262"/>
                </patternFill>
              </fill>
            </x14:dxf>
          </x14:cfRule>
          <x14:cfRule type="expression" priority="3490" stopIfTrue="1" id="{1D183D78-70BB-4D14-BCD2-FCA91CF13A6D}">
            <xm:f>AND(IF(X224='F:\Users\norela.briceno\Documents\Plan de acción\Plan Accion 2018\[Plan Accion Integrado ADRES Vigencia 2018 con Cuadro de Mando V6..xlsx]Plan de Accion 2018'!#REF!,X224&lt;&gt;"N/A"))</xm:f>
            <x14:dxf>
              <fill>
                <patternFill>
                  <bgColor rgb="FF00B050"/>
                </patternFill>
              </fill>
            </x14:dxf>
          </x14:cfRule>
          <x14:cfRule type="expression" priority="3491" stopIfTrue="1" id="{11891577-0069-4136-84C9-CD0012C56B5D}">
            <xm:f>AND(IF(X224&lt;'F:\Users\norela.briceno\Documents\Plan de acción\Plan Accion 2018\[Plan Accion Integrado ADRES Vigencia 2018 con Cuadro de Mando V6..xlsx]Plan de Accion 2018'!#REF!,X224&lt;&gt;"N/A"))</xm:f>
            <x14:dxf>
              <fill>
                <patternFill>
                  <bgColor indexed="10"/>
                </patternFill>
              </fill>
            </x14:dxf>
          </x14:cfRule>
          <xm:sqref>X224</xm:sqref>
        </x14:conditionalFormatting>
        <x14:conditionalFormatting xmlns:xm="http://schemas.microsoft.com/office/excel/2006/main">
          <x14:cfRule type="expression" priority="3486" id="{E1F81414-26A1-4897-90A7-AD7BCBDC014A}">
            <xm:f>AND(IF(X225&gt;'F:\Users\norela.briceno\Documents\Plan de acción\Plan Accion 2018\[Plan Accion Integrado ADRES Vigencia 2018 con Cuadro de Mando V6..xlsx]Plan de Accion 2018'!#REF!,X225&lt;&gt;¨N/A¨))</xm:f>
            <x14:dxf>
              <fill>
                <patternFill>
                  <bgColor theme="1" tint="0.499984740745262"/>
                </patternFill>
              </fill>
            </x14:dxf>
          </x14:cfRule>
          <x14:cfRule type="expression" priority="3487" stopIfTrue="1" id="{3D3A6AE1-11F4-4427-A715-E4C8D4B21296}">
            <xm:f>AND(IF(X225='F:\Users\norela.briceno\Documents\Plan de acción\Plan Accion 2018\[Plan Accion Integrado ADRES Vigencia 2018 con Cuadro de Mando V6..xlsx]Plan de Accion 2018'!#REF!,X225&lt;&gt;"N/A"))</xm:f>
            <x14:dxf>
              <fill>
                <patternFill>
                  <bgColor rgb="FF00B050"/>
                </patternFill>
              </fill>
            </x14:dxf>
          </x14:cfRule>
          <x14:cfRule type="expression" priority="3488" stopIfTrue="1" id="{DA910E49-48C2-4733-B566-63C3AB682DD8}">
            <xm:f>AND(IF(X225&lt;'F:\Users\norela.briceno\Documents\Plan de acción\Plan Accion 2018\[Plan Accion Integrado ADRES Vigencia 2018 con Cuadro de Mando V6..xlsx]Plan de Accion 2018'!#REF!,X225&lt;&gt;"N/A"))</xm:f>
            <x14:dxf>
              <fill>
                <patternFill>
                  <bgColor indexed="10"/>
                </patternFill>
              </fill>
            </x14:dxf>
          </x14:cfRule>
          <xm:sqref>X225</xm:sqref>
        </x14:conditionalFormatting>
        <x14:conditionalFormatting xmlns:xm="http://schemas.microsoft.com/office/excel/2006/main">
          <x14:cfRule type="expression" priority="3483" id="{571C2AB2-69FC-467A-BBF7-79120C1A490C}">
            <xm:f>AND(IF(X229&gt;'F:\Users\norela.briceno\Documents\Plan de acción\Plan Accion 2018\[Plan Accion Integrado ADRES Vigencia 2018 con Cuadro de Mando V6..xlsx]Plan de Accion 2018'!#REF!,X229&lt;&gt;¨N/A¨))</xm:f>
            <x14:dxf>
              <fill>
                <patternFill>
                  <bgColor theme="1" tint="0.499984740745262"/>
                </patternFill>
              </fill>
            </x14:dxf>
          </x14:cfRule>
          <x14:cfRule type="expression" priority="3484" stopIfTrue="1" id="{C0CF9514-A341-4789-AFB9-1A2054108F12}">
            <xm:f>AND(IF(X229='F:\Users\norela.briceno\Documents\Plan de acción\Plan Accion 2018\[Plan Accion Integrado ADRES Vigencia 2018 con Cuadro de Mando V6..xlsx]Plan de Accion 2018'!#REF!,X229&lt;&gt;"N/A"))</xm:f>
            <x14:dxf>
              <fill>
                <patternFill>
                  <bgColor rgb="FF00B050"/>
                </patternFill>
              </fill>
            </x14:dxf>
          </x14:cfRule>
          <x14:cfRule type="expression" priority="3485" stopIfTrue="1" id="{B955995F-920F-4597-8FBC-658650DE83F1}">
            <xm:f>AND(IF(X229&lt;'F:\Users\norela.briceno\Documents\Plan de acción\Plan Accion 2018\[Plan Accion Integrado ADRES Vigencia 2018 con Cuadro de Mando V6..xlsx]Plan de Accion 2018'!#REF!,X229&lt;&gt;"N/A"))</xm:f>
            <x14:dxf>
              <fill>
                <patternFill>
                  <bgColor indexed="10"/>
                </patternFill>
              </fill>
            </x14:dxf>
          </x14:cfRule>
          <xm:sqref>X229</xm:sqref>
        </x14:conditionalFormatting>
        <x14:conditionalFormatting xmlns:xm="http://schemas.microsoft.com/office/excel/2006/main">
          <x14:cfRule type="expression" priority="3480" id="{1B2AD623-0AC3-4109-9FCA-1C67AC02D95E}">
            <xm:f>AND(IF(X230&gt;'F:\Users\norela.briceno\Documents\Plan de acción\Plan Accion 2018\[Plan Accion Integrado ADRES Vigencia 2018 con Cuadro de Mando V6..xlsx]Plan de Accion 2018'!#REF!,X230&lt;&gt;¨N/A¨))</xm:f>
            <x14:dxf>
              <fill>
                <patternFill>
                  <bgColor theme="1" tint="0.499984740745262"/>
                </patternFill>
              </fill>
            </x14:dxf>
          </x14:cfRule>
          <x14:cfRule type="expression" priority="3481" stopIfTrue="1" id="{9514E247-098E-47E5-8C42-CAB2C09B8718}">
            <xm:f>AND(IF(X230='F:\Users\norela.briceno\Documents\Plan de acción\Plan Accion 2018\[Plan Accion Integrado ADRES Vigencia 2018 con Cuadro de Mando V6..xlsx]Plan de Accion 2018'!#REF!,X230&lt;&gt;"N/A"))</xm:f>
            <x14:dxf>
              <fill>
                <patternFill>
                  <bgColor rgb="FF00B050"/>
                </patternFill>
              </fill>
            </x14:dxf>
          </x14:cfRule>
          <x14:cfRule type="expression" priority="3482" stopIfTrue="1" id="{7DE8F108-B31D-4A94-B1AA-405E55843408}">
            <xm:f>AND(IF(X230&lt;'F:\Users\norela.briceno\Documents\Plan de acción\Plan Accion 2018\[Plan Accion Integrado ADRES Vigencia 2018 con Cuadro de Mando V6..xlsx]Plan de Accion 2018'!#REF!,X230&lt;&gt;"N/A"))</xm:f>
            <x14:dxf>
              <fill>
                <patternFill>
                  <bgColor indexed="10"/>
                </patternFill>
              </fill>
            </x14:dxf>
          </x14:cfRule>
          <xm:sqref>X230</xm:sqref>
        </x14:conditionalFormatting>
        <x14:conditionalFormatting xmlns:xm="http://schemas.microsoft.com/office/excel/2006/main">
          <x14:cfRule type="expression" priority="3477" id="{4A54DEFB-8172-43A5-A3F5-CBCE0CB1C478}">
            <xm:f>AND(IF(X231&gt;'F:\Users\norela.briceno\Documents\Plan de acción\Plan Accion 2018\[Plan Accion Integrado ADRES Vigencia 2018 con Cuadro de Mando V6..xlsx]Plan de Accion 2018'!#REF!,X231&lt;&gt;¨N/A¨))</xm:f>
            <x14:dxf>
              <fill>
                <patternFill>
                  <bgColor theme="1" tint="0.499984740745262"/>
                </patternFill>
              </fill>
            </x14:dxf>
          </x14:cfRule>
          <x14:cfRule type="expression" priority="3478" stopIfTrue="1" id="{BA6D88E1-EDCF-4289-8DC0-EA85BA73F923}">
            <xm:f>AND(IF(X231='F:\Users\norela.briceno\Documents\Plan de acción\Plan Accion 2018\[Plan Accion Integrado ADRES Vigencia 2018 con Cuadro de Mando V6..xlsx]Plan de Accion 2018'!#REF!,X231&lt;&gt;"N/A"))</xm:f>
            <x14:dxf>
              <fill>
                <patternFill>
                  <bgColor rgb="FF00B050"/>
                </patternFill>
              </fill>
            </x14:dxf>
          </x14:cfRule>
          <x14:cfRule type="expression" priority="3479" stopIfTrue="1" id="{8D254F6B-4BBF-49A9-BBCC-B985A1099D95}">
            <xm:f>AND(IF(X231&lt;'F:\Users\norela.briceno\Documents\Plan de acción\Plan Accion 2018\[Plan Accion Integrado ADRES Vigencia 2018 con Cuadro de Mando V6..xlsx]Plan de Accion 2018'!#REF!,X231&lt;&gt;"N/A"))</xm:f>
            <x14:dxf>
              <fill>
                <patternFill>
                  <bgColor indexed="10"/>
                </patternFill>
              </fill>
            </x14:dxf>
          </x14:cfRule>
          <xm:sqref>X231</xm:sqref>
        </x14:conditionalFormatting>
        <x14:conditionalFormatting xmlns:xm="http://schemas.microsoft.com/office/excel/2006/main">
          <x14:cfRule type="expression" priority="3474" id="{9C9ABAFF-E18E-435C-A6C2-D5E8CED80305}">
            <xm:f>AND(IF(X232&gt;'F:\Users\norela.briceno\Documents\Plan de acción\Plan Accion 2018\[Plan Accion Integrado ADRES Vigencia 2018 con Cuadro de Mando V6..xlsx]Plan de Accion 2018'!#REF!,X232&lt;&gt;¨N/A¨))</xm:f>
            <x14:dxf>
              <fill>
                <patternFill>
                  <bgColor theme="1" tint="0.499984740745262"/>
                </patternFill>
              </fill>
            </x14:dxf>
          </x14:cfRule>
          <x14:cfRule type="expression" priority="3475" stopIfTrue="1" id="{F2212B43-24EB-4ACD-96EC-E6FD1082C8EB}">
            <xm:f>AND(IF(X232='F:\Users\norela.briceno\Documents\Plan de acción\Plan Accion 2018\[Plan Accion Integrado ADRES Vigencia 2018 con Cuadro de Mando V6..xlsx]Plan de Accion 2018'!#REF!,X232&lt;&gt;"N/A"))</xm:f>
            <x14:dxf>
              <fill>
                <patternFill>
                  <bgColor rgb="FF00B050"/>
                </patternFill>
              </fill>
            </x14:dxf>
          </x14:cfRule>
          <x14:cfRule type="expression" priority="3476" stopIfTrue="1" id="{22556FD6-D67C-4F09-A53D-95F92A2FF428}">
            <xm:f>AND(IF(X232&lt;'F:\Users\norela.briceno\Documents\Plan de acción\Plan Accion 2018\[Plan Accion Integrado ADRES Vigencia 2018 con Cuadro de Mando V6..xlsx]Plan de Accion 2018'!#REF!,X232&lt;&gt;"N/A"))</xm:f>
            <x14:dxf>
              <fill>
                <patternFill>
                  <bgColor indexed="10"/>
                </patternFill>
              </fill>
            </x14:dxf>
          </x14:cfRule>
          <xm:sqref>X232</xm:sqref>
        </x14:conditionalFormatting>
        <x14:conditionalFormatting xmlns:xm="http://schemas.microsoft.com/office/excel/2006/main">
          <x14:cfRule type="expression" priority="3471" id="{72AB1E79-E562-453C-8932-B873EB255E11}">
            <xm:f>AND(IF(X233&gt;'F:\Users\norela.briceno\Documents\Plan de acción\Plan Accion 2018\[Plan Accion Integrado ADRES Vigencia 2018 con Cuadro de Mando V6..xlsx]Plan de Accion 2018'!#REF!,X233&lt;&gt;¨N/A¨))</xm:f>
            <x14:dxf>
              <fill>
                <patternFill>
                  <bgColor theme="1" tint="0.499984740745262"/>
                </patternFill>
              </fill>
            </x14:dxf>
          </x14:cfRule>
          <x14:cfRule type="expression" priority="3472" stopIfTrue="1" id="{AAAD96B5-80AF-4F36-85D0-E08FEFBB39BF}">
            <xm:f>AND(IF(X233='F:\Users\norela.briceno\Documents\Plan de acción\Plan Accion 2018\[Plan Accion Integrado ADRES Vigencia 2018 con Cuadro de Mando V6..xlsx]Plan de Accion 2018'!#REF!,X233&lt;&gt;"N/A"))</xm:f>
            <x14:dxf>
              <fill>
                <patternFill>
                  <bgColor rgb="FF00B050"/>
                </patternFill>
              </fill>
            </x14:dxf>
          </x14:cfRule>
          <x14:cfRule type="expression" priority="3473" stopIfTrue="1" id="{09333FA0-3B34-469A-819D-49D090F1B301}">
            <xm:f>AND(IF(X233&lt;'F:\Users\norela.briceno\Documents\Plan de acción\Plan Accion 2018\[Plan Accion Integrado ADRES Vigencia 2018 con Cuadro de Mando V6..xlsx]Plan de Accion 2018'!#REF!,X233&lt;&gt;"N/A"))</xm:f>
            <x14:dxf>
              <fill>
                <patternFill>
                  <bgColor indexed="10"/>
                </patternFill>
              </fill>
            </x14:dxf>
          </x14:cfRule>
          <xm:sqref>X233</xm:sqref>
        </x14:conditionalFormatting>
        <x14:conditionalFormatting xmlns:xm="http://schemas.microsoft.com/office/excel/2006/main">
          <x14:cfRule type="expression" priority="3468" id="{824A5B64-5EA9-43F1-8A70-011001757BC9}">
            <xm:f>AND(IF(X234&gt;'F:\Users\norela.briceno\Documents\Plan de acción\Plan Accion 2018\[Plan Accion Integrado ADRES Vigencia 2018 con Cuadro de Mando V6..xlsx]Plan de Accion 2018'!#REF!,X234&lt;&gt;¨N/A¨))</xm:f>
            <x14:dxf>
              <fill>
                <patternFill>
                  <bgColor theme="1" tint="0.499984740745262"/>
                </patternFill>
              </fill>
            </x14:dxf>
          </x14:cfRule>
          <x14:cfRule type="expression" priority="3469" stopIfTrue="1" id="{7CA5CCAD-2F82-4743-9F77-4D4DD2F89956}">
            <xm:f>AND(IF(X234='F:\Users\norela.briceno\Documents\Plan de acción\Plan Accion 2018\[Plan Accion Integrado ADRES Vigencia 2018 con Cuadro de Mando V6..xlsx]Plan de Accion 2018'!#REF!,X234&lt;&gt;"N/A"))</xm:f>
            <x14:dxf>
              <fill>
                <patternFill>
                  <bgColor rgb="FF00B050"/>
                </patternFill>
              </fill>
            </x14:dxf>
          </x14:cfRule>
          <x14:cfRule type="expression" priority="3470" stopIfTrue="1" id="{A0634DA7-DC90-4ADA-9D11-097E35E4EE93}">
            <xm:f>AND(IF(X234&lt;'F:\Users\norela.briceno\Documents\Plan de acción\Plan Accion 2018\[Plan Accion Integrado ADRES Vigencia 2018 con Cuadro de Mando V6..xlsx]Plan de Accion 2018'!#REF!,X234&lt;&gt;"N/A"))</xm:f>
            <x14:dxf>
              <fill>
                <patternFill>
                  <bgColor indexed="10"/>
                </patternFill>
              </fill>
            </x14:dxf>
          </x14:cfRule>
          <xm:sqref>X234</xm:sqref>
        </x14:conditionalFormatting>
        <x14:conditionalFormatting xmlns:xm="http://schemas.microsoft.com/office/excel/2006/main">
          <x14:cfRule type="expression" priority="3465" id="{28F28E94-CA31-4B53-93C5-1739CC99AB45}">
            <xm:f>AND(IF(X339&gt;'F:\Users\norela.briceno\Documents\Plan de acción\Plan Accion 2018\[Plan Accion Integrado ADRES Vigencia 2018 con Cuadro de Mando V6..xlsx]Plan de Accion 2018'!#REF!,X339&lt;&gt;¨N/A¨))</xm:f>
            <x14:dxf>
              <fill>
                <patternFill>
                  <bgColor theme="1" tint="0.499984740745262"/>
                </patternFill>
              </fill>
            </x14:dxf>
          </x14:cfRule>
          <x14:cfRule type="expression" priority="3466" stopIfTrue="1" id="{0A053A9B-4084-4D92-A72B-C4E8175134D6}">
            <xm:f>AND(IF(X339='F:\Users\norela.briceno\Documents\Plan de acción\Plan Accion 2018\[Plan Accion Integrado ADRES Vigencia 2018 con Cuadro de Mando V6..xlsx]Plan de Accion 2018'!#REF!,X339&lt;&gt;"N/A"))</xm:f>
            <x14:dxf>
              <fill>
                <patternFill>
                  <bgColor rgb="FF00B050"/>
                </patternFill>
              </fill>
            </x14:dxf>
          </x14:cfRule>
          <x14:cfRule type="expression" priority="3467" stopIfTrue="1" id="{3F2B70C0-9600-4E92-A42D-82FB319628F5}">
            <xm:f>AND(IF(X339&lt;'F:\Users\norela.briceno\Documents\Plan de acción\Plan Accion 2018\[Plan Accion Integrado ADRES Vigencia 2018 con Cuadro de Mando V6..xlsx]Plan de Accion 2018'!#REF!,X339&lt;&gt;"N/A"))</xm:f>
            <x14:dxf>
              <fill>
                <patternFill>
                  <bgColor indexed="10"/>
                </patternFill>
              </fill>
            </x14:dxf>
          </x14:cfRule>
          <xm:sqref>X339</xm:sqref>
        </x14:conditionalFormatting>
        <x14:conditionalFormatting xmlns:xm="http://schemas.microsoft.com/office/excel/2006/main">
          <x14:cfRule type="expression" priority="3462" id="{99ACA62B-7F1F-4FAA-9E17-6CA1A66B3CBE}">
            <xm:f>AND(IF(X235&gt;'F:\Users\norela.briceno\Documents\Plan de acción\Plan Accion 2018\[Plan Accion Integrado ADRES Vigencia 2018 con Cuadro de Mando V6..xlsx]Plan de Accion 2018'!#REF!,X235&lt;&gt;¨N/A¨))</xm:f>
            <x14:dxf>
              <fill>
                <patternFill>
                  <bgColor theme="1" tint="0.499984740745262"/>
                </patternFill>
              </fill>
            </x14:dxf>
          </x14:cfRule>
          <x14:cfRule type="expression" priority="3463" stopIfTrue="1" id="{204AD163-2C8D-479C-9FE2-C99402ED32CD}">
            <xm:f>AND(IF(X235='F:\Users\norela.briceno\Documents\Plan de acción\Plan Accion 2018\[Plan Accion Integrado ADRES Vigencia 2018 con Cuadro de Mando V6..xlsx]Plan de Accion 2018'!#REF!,X235&lt;&gt;"N/A"))</xm:f>
            <x14:dxf>
              <fill>
                <patternFill>
                  <bgColor rgb="FF00B050"/>
                </patternFill>
              </fill>
            </x14:dxf>
          </x14:cfRule>
          <x14:cfRule type="expression" priority="3464" stopIfTrue="1" id="{13426739-A6D0-47EF-B565-01D45D38E01C}">
            <xm:f>AND(IF(X235&lt;'F:\Users\norela.briceno\Documents\Plan de acción\Plan Accion 2018\[Plan Accion Integrado ADRES Vigencia 2018 con Cuadro de Mando V6..xlsx]Plan de Accion 2018'!#REF!,X235&lt;&gt;"N/A"))</xm:f>
            <x14:dxf>
              <fill>
                <patternFill>
                  <bgColor indexed="10"/>
                </patternFill>
              </fill>
            </x14:dxf>
          </x14:cfRule>
          <xm:sqref>X235</xm:sqref>
        </x14:conditionalFormatting>
        <x14:conditionalFormatting xmlns:xm="http://schemas.microsoft.com/office/excel/2006/main">
          <x14:cfRule type="expression" priority="3459" id="{FDB9D8EE-56AD-488A-990B-8548D16797BF}">
            <xm:f>AND(IF(X236&gt;'F:\Users\norela.briceno\Documents\Plan de acción\Plan Accion 2018\[Plan Accion Integrado ADRES Vigencia 2018 con Cuadro de Mando V6..xlsx]Plan de Accion 2018'!#REF!,X236&lt;&gt;¨N/A¨))</xm:f>
            <x14:dxf>
              <fill>
                <patternFill>
                  <bgColor theme="1" tint="0.499984740745262"/>
                </patternFill>
              </fill>
            </x14:dxf>
          </x14:cfRule>
          <x14:cfRule type="expression" priority="3460" stopIfTrue="1" id="{87041507-A287-45CA-83BA-66B900677CAD}">
            <xm:f>AND(IF(X236='F:\Users\norela.briceno\Documents\Plan de acción\Plan Accion 2018\[Plan Accion Integrado ADRES Vigencia 2018 con Cuadro de Mando V6..xlsx]Plan de Accion 2018'!#REF!,X236&lt;&gt;"N/A"))</xm:f>
            <x14:dxf>
              <fill>
                <patternFill>
                  <bgColor rgb="FF00B050"/>
                </patternFill>
              </fill>
            </x14:dxf>
          </x14:cfRule>
          <x14:cfRule type="expression" priority="3461" stopIfTrue="1" id="{44F884D0-91EF-492C-B436-9A36DEA03808}">
            <xm:f>AND(IF(X236&lt;'F:\Users\norela.briceno\Documents\Plan de acción\Plan Accion 2018\[Plan Accion Integrado ADRES Vigencia 2018 con Cuadro de Mando V6..xlsx]Plan de Accion 2018'!#REF!,X236&lt;&gt;"N/A"))</xm:f>
            <x14:dxf>
              <fill>
                <patternFill>
                  <bgColor indexed="10"/>
                </patternFill>
              </fill>
            </x14:dxf>
          </x14:cfRule>
          <xm:sqref>X236</xm:sqref>
        </x14:conditionalFormatting>
        <x14:conditionalFormatting xmlns:xm="http://schemas.microsoft.com/office/excel/2006/main">
          <x14:cfRule type="expression" priority="3456" id="{A35C4030-41A3-44D6-A649-E80FB0AB10C2}">
            <xm:f>AND(IF(X237&gt;'F:\Users\norela.briceno\Documents\Plan de acción\Plan Accion 2018\[Plan Accion Integrado ADRES Vigencia 2018 con Cuadro de Mando V6..xlsx]Plan de Accion 2018'!#REF!,X237&lt;&gt;¨N/A¨))</xm:f>
            <x14:dxf>
              <fill>
                <patternFill>
                  <bgColor theme="1" tint="0.499984740745262"/>
                </patternFill>
              </fill>
            </x14:dxf>
          </x14:cfRule>
          <x14:cfRule type="expression" priority="3457" stopIfTrue="1" id="{27EBDC64-E756-490B-B30C-9CA0C41CA442}">
            <xm:f>AND(IF(X237='F:\Users\norela.briceno\Documents\Plan de acción\Plan Accion 2018\[Plan Accion Integrado ADRES Vigencia 2018 con Cuadro de Mando V6..xlsx]Plan de Accion 2018'!#REF!,X237&lt;&gt;"N/A"))</xm:f>
            <x14:dxf>
              <fill>
                <patternFill>
                  <bgColor rgb="FF00B050"/>
                </patternFill>
              </fill>
            </x14:dxf>
          </x14:cfRule>
          <x14:cfRule type="expression" priority="3458" stopIfTrue="1" id="{3BF761AA-01A3-4230-AB04-E91F787A6DB1}">
            <xm:f>AND(IF(X237&lt;'F:\Users\norela.briceno\Documents\Plan de acción\Plan Accion 2018\[Plan Accion Integrado ADRES Vigencia 2018 con Cuadro de Mando V6..xlsx]Plan de Accion 2018'!#REF!,X237&lt;&gt;"N/A"))</xm:f>
            <x14:dxf>
              <fill>
                <patternFill>
                  <bgColor indexed="10"/>
                </patternFill>
              </fill>
            </x14:dxf>
          </x14:cfRule>
          <xm:sqref>X237</xm:sqref>
        </x14:conditionalFormatting>
        <x14:conditionalFormatting xmlns:xm="http://schemas.microsoft.com/office/excel/2006/main">
          <x14:cfRule type="expression" priority="3453" id="{02113761-3D49-4B61-A541-52FD70290624}">
            <xm:f>AND(IF(X239&gt;'F:\Users\norela.briceno\Documents\Plan de acción\Plan Accion 2018\[Plan Accion Integrado ADRES Vigencia 2018 con Cuadro de Mando V6..xlsx]Plan de Accion 2018'!#REF!,X239&lt;&gt;¨N/A¨))</xm:f>
            <x14:dxf>
              <fill>
                <patternFill>
                  <bgColor theme="1" tint="0.499984740745262"/>
                </patternFill>
              </fill>
            </x14:dxf>
          </x14:cfRule>
          <x14:cfRule type="expression" priority="3454" stopIfTrue="1" id="{EA973C81-8A97-4FE7-87B3-2752FF839355}">
            <xm:f>AND(IF(X239='F:\Users\norela.briceno\Documents\Plan de acción\Plan Accion 2018\[Plan Accion Integrado ADRES Vigencia 2018 con Cuadro de Mando V6..xlsx]Plan de Accion 2018'!#REF!,X239&lt;&gt;"N/A"))</xm:f>
            <x14:dxf>
              <fill>
                <patternFill>
                  <bgColor rgb="FF00B050"/>
                </patternFill>
              </fill>
            </x14:dxf>
          </x14:cfRule>
          <x14:cfRule type="expression" priority="3455" stopIfTrue="1" id="{461FF990-FA6F-4B67-98AE-00DB44866145}">
            <xm:f>AND(IF(X239&lt;'F:\Users\norela.briceno\Documents\Plan de acción\Plan Accion 2018\[Plan Accion Integrado ADRES Vigencia 2018 con Cuadro de Mando V6..xlsx]Plan de Accion 2018'!#REF!,X239&lt;&gt;"N/A"))</xm:f>
            <x14:dxf>
              <fill>
                <patternFill>
                  <bgColor indexed="10"/>
                </patternFill>
              </fill>
            </x14:dxf>
          </x14:cfRule>
          <xm:sqref>X239</xm:sqref>
        </x14:conditionalFormatting>
        <x14:conditionalFormatting xmlns:xm="http://schemas.microsoft.com/office/excel/2006/main">
          <x14:cfRule type="expression" priority="3450" id="{058E7A4B-780A-4638-ABD1-D4FFD0B77C24}">
            <xm:f>AND(IF(X240&gt;'F:\Users\norela.briceno\Documents\Plan de acción\Plan Accion 2018\[Plan Accion Integrado ADRES Vigencia 2018 con Cuadro de Mando V6..xlsx]Plan de Accion 2018'!#REF!,X240&lt;&gt;¨N/A¨))</xm:f>
            <x14:dxf>
              <fill>
                <patternFill>
                  <bgColor theme="1" tint="0.499984740745262"/>
                </patternFill>
              </fill>
            </x14:dxf>
          </x14:cfRule>
          <x14:cfRule type="expression" priority="3451" stopIfTrue="1" id="{93095577-FEA8-4797-8978-C20C5CAD2EE5}">
            <xm:f>AND(IF(X240='F:\Users\norela.briceno\Documents\Plan de acción\Plan Accion 2018\[Plan Accion Integrado ADRES Vigencia 2018 con Cuadro de Mando V6..xlsx]Plan de Accion 2018'!#REF!,X240&lt;&gt;"N/A"))</xm:f>
            <x14:dxf>
              <fill>
                <patternFill>
                  <bgColor rgb="FF00B050"/>
                </patternFill>
              </fill>
            </x14:dxf>
          </x14:cfRule>
          <x14:cfRule type="expression" priority="3452" stopIfTrue="1" id="{6EDDD59B-5795-49F7-A070-D569B61EA65D}">
            <xm:f>AND(IF(X240&lt;'F:\Users\norela.briceno\Documents\Plan de acción\Plan Accion 2018\[Plan Accion Integrado ADRES Vigencia 2018 con Cuadro de Mando V6..xlsx]Plan de Accion 2018'!#REF!,X240&lt;&gt;"N/A"))</xm:f>
            <x14:dxf>
              <fill>
                <patternFill>
                  <bgColor indexed="10"/>
                </patternFill>
              </fill>
            </x14:dxf>
          </x14:cfRule>
          <xm:sqref>X240</xm:sqref>
        </x14:conditionalFormatting>
        <x14:conditionalFormatting xmlns:xm="http://schemas.microsoft.com/office/excel/2006/main">
          <x14:cfRule type="expression" priority="3447" id="{62BED001-481F-4CF2-AD65-25A302BAB4AD}">
            <xm:f>AND(IF(X241&gt;'F:\Users\norela.briceno\Documents\Plan de acción\Plan Accion 2018\[Plan Accion Integrado ADRES Vigencia 2018 con Cuadro de Mando V6..xlsx]Plan de Accion 2018'!#REF!,X241&lt;&gt;¨N/A¨))</xm:f>
            <x14:dxf>
              <fill>
                <patternFill>
                  <bgColor theme="1" tint="0.499984740745262"/>
                </patternFill>
              </fill>
            </x14:dxf>
          </x14:cfRule>
          <x14:cfRule type="expression" priority="3448" stopIfTrue="1" id="{5F8B206F-F6E9-43DC-9100-59F9E271AB3A}">
            <xm:f>AND(IF(X241='F:\Users\norela.briceno\Documents\Plan de acción\Plan Accion 2018\[Plan Accion Integrado ADRES Vigencia 2018 con Cuadro de Mando V6..xlsx]Plan de Accion 2018'!#REF!,X241&lt;&gt;"N/A"))</xm:f>
            <x14:dxf>
              <fill>
                <patternFill>
                  <bgColor rgb="FF00B050"/>
                </patternFill>
              </fill>
            </x14:dxf>
          </x14:cfRule>
          <x14:cfRule type="expression" priority="3449" stopIfTrue="1" id="{7995B95C-C3F1-44E5-8D1A-CD5251F16C25}">
            <xm:f>AND(IF(X241&lt;'F:\Users\norela.briceno\Documents\Plan de acción\Plan Accion 2018\[Plan Accion Integrado ADRES Vigencia 2018 con Cuadro de Mando V6..xlsx]Plan de Accion 2018'!#REF!,X241&lt;&gt;"N/A"))</xm:f>
            <x14:dxf>
              <fill>
                <patternFill>
                  <bgColor indexed="10"/>
                </patternFill>
              </fill>
            </x14:dxf>
          </x14:cfRule>
          <xm:sqref>X241</xm:sqref>
        </x14:conditionalFormatting>
        <x14:conditionalFormatting xmlns:xm="http://schemas.microsoft.com/office/excel/2006/main">
          <x14:cfRule type="expression" priority="3444" id="{63C3B098-95B7-4A9A-B6A3-00B137043960}">
            <xm:f>AND(IF(X242&gt;'F:\Users\norela.briceno\Documents\Plan de acción\Plan Accion 2018\[Plan Accion Integrado ADRES Vigencia 2018 con Cuadro de Mando V6..xlsx]Plan de Accion 2018'!#REF!,X242&lt;&gt;¨N/A¨))</xm:f>
            <x14:dxf>
              <fill>
                <patternFill>
                  <bgColor theme="1" tint="0.499984740745262"/>
                </patternFill>
              </fill>
            </x14:dxf>
          </x14:cfRule>
          <x14:cfRule type="expression" priority="3445" stopIfTrue="1" id="{9114DD2E-811E-4F01-B4D5-51A7D3B75389}">
            <xm:f>AND(IF(X242='F:\Users\norela.briceno\Documents\Plan de acción\Plan Accion 2018\[Plan Accion Integrado ADRES Vigencia 2018 con Cuadro de Mando V6..xlsx]Plan de Accion 2018'!#REF!,X242&lt;&gt;"N/A"))</xm:f>
            <x14:dxf>
              <fill>
                <patternFill>
                  <bgColor rgb="FF00B050"/>
                </patternFill>
              </fill>
            </x14:dxf>
          </x14:cfRule>
          <x14:cfRule type="expression" priority="3446" stopIfTrue="1" id="{375521C1-0833-4CBA-AC7A-12AC392CA9C4}">
            <xm:f>AND(IF(X242&lt;'F:\Users\norela.briceno\Documents\Plan de acción\Plan Accion 2018\[Plan Accion Integrado ADRES Vigencia 2018 con Cuadro de Mando V6..xlsx]Plan de Accion 2018'!#REF!,X242&lt;&gt;"N/A"))</xm:f>
            <x14:dxf>
              <fill>
                <patternFill>
                  <bgColor indexed="10"/>
                </patternFill>
              </fill>
            </x14:dxf>
          </x14:cfRule>
          <xm:sqref>X242</xm:sqref>
        </x14:conditionalFormatting>
        <x14:conditionalFormatting xmlns:xm="http://schemas.microsoft.com/office/excel/2006/main">
          <x14:cfRule type="expression" priority="3441" id="{BD1DAB85-0132-47AA-B7BF-D804C3BF19D3}">
            <xm:f>AND(IF(X243&gt;'F:\Users\norela.briceno\Documents\Plan de acción\Plan Accion 2018\[Plan Accion Integrado ADRES Vigencia 2018 con Cuadro de Mando V6..xlsx]Plan de Accion 2018'!#REF!,X243&lt;&gt;¨N/A¨))</xm:f>
            <x14:dxf>
              <fill>
                <patternFill>
                  <bgColor theme="1" tint="0.499984740745262"/>
                </patternFill>
              </fill>
            </x14:dxf>
          </x14:cfRule>
          <x14:cfRule type="expression" priority="3442" stopIfTrue="1" id="{18A4A9C8-7BFE-494F-B82A-4908E148643A}">
            <xm:f>AND(IF(X243='F:\Users\norela.briceno\Documents\Plan de acción\Plan Accion 2018\[Plan Accion Integrado ADRES Vigencia 2018 con Cuadro de Mando V6..xlsx]Plan de Accion 2018'!#REF!,X243&lt;&gt;"N/A"))</xm:f>
            <x14:dxf>
              <fill>
                <patternFill>
                  <bgColor rgb="FF00B050"/>
                </patternFill>
              </fill>
            </x14:dxf>
          </x14:cfRule>
          <x14:cfRule type="expression" priority="3443" stopIfTrue="1" id="{950127B8-B9BF-4540-842A-5DA0185A17C0}">
            <xm:f>AND(IF(X243&lt;'F:\Users\norela.briceno\Documents\Plan de acción\Plan Accion 2018\[Plan Accion Integrado ADRES Vigencia 2018 con Cuadro de Mando V6..xlsx]Plan de Accion 2018'!#REF!,X243&lt;&gt;"N/A"))</xm:f>
            <x14:dxf>
              <fill>
                <patternFill>
                  <bgColor indexed="10"/>
                </patternFill>
              </fill>
            </x14:dxf>
          </x14:cfRule>
          <xm:sqref>X243</xm:sqref>
        </x14:conditionalFormatting>
        <x14:conditionalFormatting xmlns:xm="http://schemas.microsoft.com/office/excel/2006/main">
          <x14:cfRule type="expression" priority="3438" id="{F9589E80-74A8-4843-989F-FB27BF9985E8}">
            <xm:f>AND(IF(X244&gt;'F:\Users\norela.briceno\Documents\Plan de acción\Plan Accion 2018\[Plan Accion Integrado ADRES Vigencia 2018 con Cuadro de Mando V6..xlsx]Plan de Accion 2018'!#REF!,X244&lt;&gt;¨N/A¨))</xm:f>
            <x14:dxf>
              <fill>
                <patternFill>
                  <bgColor theme="1" tint="0.499984740745262"/>
                </patternFill>
              </fill>
            </x14:dxf>
          </x14:cfRule>
          <x14:cfRule type="expression" priority="3439" stopIfTrue="1" id="{089874AC-9BEF-4BB2-9592-98EE952669BA}">
            <xm:f>AND(IF(X244='F:\Users\norela.briceno\Documents\Plan de acción\Plan Accion 2018\[Plan Accion Integrado ADRES Vigencia 2018 con Cuadro de Mando V6..xlsx]Plan de Accion 2018'!#REF!,X244&lt;&gt;"N/A"))</xm:f>
            <x14:dxf>
              <fill>
                <patternFill>
                  <bgColor rgb="FF00B050"/>
                </patternFill>
              </fill>
            </x14:dxf>
          </x14:cfRule>
          <x14:cfRule type="expression" priority="3440" stopIfTrue="1" id="{2E8D2CA6-A723-48BB-A181-5CFC9B2E12EF}">
            <xm:f>AND(IF(X244&lt;'F:\Users\norela.briceno\Documents\Plan de acción\Plan Accion 2018\[Plan Accion Integrado ADRES Vigencia 2018 con Cuadro de Mando V6..xlsx]Plan de Accion 2018'!#REF!,X244&lt;&gt;"N/A"))</xm:f>
            <x14:dxf>
              <fill>
                <patternFill>
                  <bgColor indexed="10"/>
                </patternFill>
              </fill>
            </x14:dxf>
          </x14:cfRule>
          <xm:sqref>X244</xm:sqref>
        </x14:conditionalFormatting>
        <x14:conditionalFormatting xmlns:xm="http://schemas.microsoft.com/office/excel/2006/main">
          <x14:cfRule type="expression" priority="3435" id="{2AC23CF8-3B80-4B47-9EA8-39080A21E1F1}">
            <xm:f>AND(IF(X245&gt;'F:\Users\norela.briceno\Documents\Plan de acción\Plan Accion 2018\[Plan Accion Integrado ADRES Vigencia 2018 con Cuadro de Mando V6..xlsx]Plan de Accion 2018'!#REF!,X245&lt;&gt;¨N/A¨))</xm:f>
            <x14:dxf>
              <fill>
                <patternFill>
                  <bgColor theme="1" tint="0.499984740745262"/>
                </patternFill>
              </fill>
            </x14:dxf>
          </x14:cfRule>
          <x14:cfRule type="expression" priority="3436" stopIfTrue="1" id="{08B3A822-B101-4262-B091-DB8EA45D4E0F}">
            <xm:f>AND(IF(X245='F:\Users\norela.briceno\Documents\Plan de acción\Plan Accion 2018\[Plan Accion Integrado ADRES Vigencia 2018 con Cuadro de Mando V6..xlsx]Plan de Accion 2018'!#REF!,X245&lt;&gt;"N/A"))</xm:f>
            <x14:dxf>
              <fill>
                <patternFill>
                  <bgColor rgb="FF00B050"/>
                </patternFill>
              </fill>
            </x14:dxf>
          </x14:cfRule>
          <x14:cfRule type="expression" priority="3437" stopIfTrue="1" id="{EEF09249-8B58-4D3F-9AF3-C79F8C87AA0F}">
            <xm:f>AND(IF(X245&lt;'F:\Users\norela.briceno\Documents\Plan de acción\Plan Accion 2018\[Plan Accion Integrado ADRES Vigencia 2018 con Cuadro de Mando V6..xlsx]Plan de Accion 2018'!#REF!,X245&lt;&gt;"N/A"))</xm:f>
            <x14:dxf>
              <fill>
                <patternFill>
                  <bgColor indexed="10"/>
                </patternFill>
              </fill>
            </x14:dxf>
          </x14:cfRule>
          <xm:sqref>X245</xm:sqref>
        </x14:conditionalFormatting>
        <x14:conditionalFormatting xmlns:xm="http://schemas.microsoft.com/office/excel/2006/main">
          <x14:cfRule type="expression" priority="3432" id="{ACCB28A9-0487-411B-856C-48335FCEAD5A}">
            <xm:f>AND(IF(X246&gt;'F:\Users\norela.briceno\Documents\Plan de acción\Plan Accion 2018\[Plan Accion Integrado ADRES Vigencia 2018 con Cuadro de Mando V6..xlsx]Plan de Accion 2018'!#REF!,X246&lt;&gt;¨N/A¨))</xm:f>
            <x14:dxf>
              <fill>
                <patternFill>
                  <bgColor theme="1" tint="0.499984740745262"/>
                </patternFill>
              </fill>
            </x14:dxf>
          </x14:cfRule>
          <x14:cfRule type="expression" priority="3433" stopIfTrue="1" id="{D55B5FE1-A447-4449-A606-5640C3220703}">
            <xm:f>AND(IF(X246='F:\Users\norela.briceno\Documents\Plan de acción\Plan Accion 2018\[Plan Accion Integrado ADRES Vigencia 2018 con Cuadro de Mando V6..xlsx]Plan de Accion 2018'!#REF!,X246&lt;&gt;"N/A"))</xm:f>
            <x14:dxf>
              <fill>
                <patternFill>
                  <bgColor rgb="FF00B050"/>
                </patternFill>
              </fill>
            </x14:dxf>
          </x14:cfRule>
          <x14:cfRule type="expression" priority="3434" stopIfTrue="1" id="{FCE081D2-4D0E-4EF1-96C2-6C6B98705A89}">
            <xm:f>AND(IF(X246&lt;'F:\Users\norela.briceno\Documents\Plan de acción\Plan Accion 2018\[Plan Accion Integrado ADRES Vigencia 2018 con Cuadro de Mando V6..xlsx]Plan de Accion 2018'!#REF!,X246&lt;&gt;"N/A"))</xm:f>
            <x14:dxf>
              <fill>
                <patternFill>
                  <bgColor indexed="10"/>
                </patternFill>
              </fill>
            </x14:dxf>
          </x14:cfRule>
          <xm:sqref>X246</xm:sqref>
        </x14:conditionalFormatting>
        <x14:conditionalFormatting xmlns:xm="http://schemas.microsoft.com/office/excel/2006/main">
          <x14:cfRule type="expression" priority="3429" id="{8F3C5A20-1B0D-4BB5-8B2A-583350CB1478}">
            <xm:f>AND(IF(X247&gt;'F:\Users\norela.briceno\Documents\Plan de acción\Plan Accion 2018\[Plan Accion Integrado ADRES Vigencia 2018 con Cuadro de Mando V6..xlsx]Plan de Accion 2018'!#REF!,X247&lt;&gt;¨N/A¨))</xm:f>
            <x14:dxf>
              <fill>
                <patternFill>
                  <bgColor theme="1" tint="0.499984740745262"/>
                </patternFill>
              </fill>
            </x14:dxf>
          </x14:cfRule>
          <x14:cfRule type="expression" priority="3430" stopIfTrue="1" id="{44EA4250-636B-483C-9948-8D57476F81B0}">
            <xm:f>AND(IF(X247='F:\Users\norela.briceno\Documents\Plan de acción\Plan Accion 2018\[Plan Accion Integrado ADRES Vigencia 2018 con Cuadro de Mando V6..xlsx]Plan de Accion 2018'!#REF!,X247&lt;&gt;"N/A"))</xm:f>
            <x14:dxf>
              <fill>
                <patternFill>
                  <bgColor rgb="FF00B050"/>
                </patternFill>
              </fill>
            </x14:dxf>
          </x14:cfRule>
          <x14:cfRule type="expression" priority="3431" stopIfTrue="1" id="{C9575002-1C8C-4D36-9026-4A52C263AFEA}">
            <xm:f>AND(IF(X247&lt;'F:\Users\norela.briceno\Documents\Plan de acción\Plan Accion 2018\[Plan Accion Integrado ADRES Vigencia 2018 con Cuadro de Mando V6..xlsx]Plan de Accion 2018'!#REF!,X247&lt;&gt;"N/A"))</xm:f>
            <x14:dxf>
              <fill>
                <patternFill>
                  <bgColor indexed="10"/>
                </patternFill>
              </fill>
            </x14:dxf>
          </x14:cfRule>
          <xm:sqref>X247</xm:sqref>
        </x14:conditionalFormatting>
        <x14:conditionalFormatting xmlns:xm="http://schemas.microsoft.com/office/excel/2006/main">
          <x14:cfRule type="expression" priority="3426" id="{9F8ECB4C-F90A-4A67-9734-6ED8D02E3980}">
            <xm:f>AND(IF(X248&gt;'F:\Users\norela.briceno\Documents\Plan de acción\Plan Accion 2018\[Plan Accion Integrado ADRES Vigencia 2018 con Cuadro de Mando V6..xlsx]Plan de Accion 2018'!#REF!,X248&lt;&gt;¨N/A¨))</xm:f>
            <x14:dxf>
              <fill>
                <patternFill>
                  <bgColor theme="1" tint="0.499984740745262"/>
                </patternFill>
              </fill>
            </x14:dxf>
          </x14:cfRule>
          <x14:cfRule type="expression" priority="3427" stopIfTrue="1" id="{7E836943-D240-4B67-980D-CE91322C4045}">
            <xm:f>AND(IF(X248='F:\Users\norela.briceno\Documents\Plan de acción\Plan Accion 2018\[Plan Accion Integrado ADRES Vigencia 2018 con Cuadro de Mando V6..xlsx]Plan de Accion 2018'!#REF!,X248&lt;&gt;"N/A"))</xm:f>
            <x14:dxf>
              <fill>
                <patternFill>
                  <bgColor rgb="FF00B050"/>
                </patternFill>
              </fill>
            </x14:dxf>
          </x14:cfRule>
          <x14:cfRule type="expression" priority="3428" stopIfTrue="1" id="{69966678-ACEF-4691-9E11-49CF9AAB0C95}">
            <xm:f>AND(IF(X248&lt;'F:\Users\norela.briceno\Documents\Plan de acción\Plan Accion 2018\[Plan Accion Integrado ADRES Vigencia 2018 con Cuadro de Mando V6..xlsx]Plan de Accion 2018'!#REF!,X248&lt;&gt;"N/A"))</xm:f>
            <x14:dxf>
              <fill>
                <patternFill>
                  <bgColor indexed="10"/>
                </patternFill>
              </fill>
            </x14:dxf>
          </x14:cfRule>
          <xm:sqref>X248</xm:sqref>
        </x14:conditionalFormatting>
        <x14:conditionalFormatting xmlns:xm="http://schemas.microsoft.com/office/excel/2006/main">
          <x14:cfRule type="expression" priority="3423" id="{61B3D519-E748-4549-B51C-F066C533E991}">
            <xm:f>AND(IF(X249&gt;'F:\Users\norela.briceno\Documents\Plan de acción\Plan Accion 2018\[Plan Accion Integrado ADRES Vigencia 2018 con Cuadro de Mando V6..xlsx]Plan de Accion 2018'!#REF!,X249&lt;&gt;¨N/A¨))</xm:f>
            <x14:dxf>
              <fill>
                <patternFill>
                  <bgColor theme="1" tint="0.499984740745262"/>
                </patternFill>
              </fill>
            </x14:dxf>
          </x14:cfRule>
          <x14:cfRule type="expression" priority="3424" stopIfTrue="1" id="{BB6B9EF3-A279-490A-B855-3F4A3EF2C8B6}">
            <xm:f>AND(IF(X249='F:\Users\norela.briceno\Documents\Plan de acción\Plan Accion 2018\[Plan Accion Integrado ADRES Vigencia 2018 con Cuadro de Mando V6..xlsx]Plan de Accion 2018'!#REF!,X249&lt;&gt;"N/A"))</xm:f>
            <x14:dxf>
              <fill>
                <patternFill>
                  <bgColor rgb="FF00B050"/>
                </patternFill>
              </fill>
            </x14:dxf>
          </x14:cfRule>
          <x14:cfRule type="expression" priority="3425" stopIfTrue="1" id="{41779ADA-6A15-4697-A868-A682DC7861DC}">
            <xm:f>AND(IF(X249&lt;'F:\Users\norela.briceno\Documents\Plan de acción\Plan Accion 2018\[Plan Accion Integrado ADRES Vigencia 2018 con Cuadro de Mando V6..xlsx]Plan de Accion 2018'!#REF!,X249&lt;&gt;"N/A"))</xm:f>
            <x14:dxf>
              <fill>
                <patternFill>
                  <bgColor indexed="10"/>
                </patternFill>
              </fill>
            </x14:dxf>
          </x14:cfRule>
          <xm:sqref>X249</xm:sqref>
        </x14:conditionalFormatting>
        <x14:conditionalFormatting xmlns:xm="http://schemas.microsoft.com/office/excel/2006/main">
          <x14:cfRule type="expression" priority="3420" id="{E64D5ED3-469A-4087-9B83-F621823B6F53}">
            <xm:f>AND(IF(X250&gt;'F:\Users\norela.briceno\Documents\Plan de acción\Plan Accion 2018\[Plan Accion Integrado ADRES Vigencia 2018 con Cuadro de Mando V6..xlsx]Plan de Accion 2018'!#REF!,X250&lt;&gt;¨N/A¨))</xm:f>
            <x14:dxf>
              <fill>
                <patternFill>
                  <bgColor theme="1" tint="0.499984740745262"/>
                </patternFill>
              </fill>
            </x14:dxf>
          </x14:cfRule>
          <x14:cfRule type="expression" priority="3421" stopIfTrue="1" id="{0F950A5B-05C3-456E-9191-A80E9ECA5FA1}">
            <xm:f>AND(IF(X250='F:\Users\norela.briceno\Documents\Plan de acción\Plan Accion 2018\[Plan Accion Integrado ADRES Vigencia 2018 con Cuadro de Mando V6..xlsx]Plan de Accion 2018'!#REF!,X250&lt;&gt;"N/A"))</xm:f>
            <x14:dxf>
              <fill>
                <patternFill>
                  <bgColor rgb="FF00B050"/>
                </patternFill>
              </fill>
            </x14:dxf>
          </x14:cfRule>
          <x14:cfRule type="expression" priority="3422" stopIfTrue="1" id="{EBBED17D-FED2-4E5A-8A96-3BA9370A7022}">
            <xm:f>AND(IF(X250&lt;'F:\Users\norela.briceno\Documents\Plan de acción\Plan Accion 2018\[Plan Accion Integrado ADRES Vigencia 2018 con Cuadro de Mando V6..xlsx]Plan de Accion 2018'!#REF!,X250&lt;&gt;"N/A"))</xm:f>
            <x14:dxf>
              <fill>
                <patternFill>
                  <bgColor indexed="10"/>
                </patternFill>
              </fill>
            </x14:dxf>
          </x14:cfRule>
          <xm:sqref>X250</xm:sqref>
        </x14:conditionalFormatting>
        <x14:conditionalFormatting xmlns:xm="http://schemas.microsoft.com/office/excel/2006/main">
          <x14:cfRule type="expression" priority="3417" id="{11AE12C2-1A02-49D9-9BC8-4304F996C501}">
            <xm:f>AND(IF(X252&gt;'F:\Users\norela.briceno\Documents\Plan de acción\Plan Accion 2018\[Plan Accion Integrado ADRES Vigencia 2018 con Cuadro de Mando V6..xlsx]Plan de Accion 2018'!#REF!,X252&lt;&gt;¨N/A¨))</xm:f>
            <x14:dxf>
              <fill>
                <patternFill>
                  <bgColor theme="1" tint="0.499984740745262"/>
                </patternFill>
              </fill>
            </x14:dxf>
          </x14:cfRule>
          <x14:cfRule type="expression" priority="3418" stopIfTrue="1" id="{696E670C-BA6C-43DC-A194-9FB73C010859}">
            <xm:f>AND(IF(X252='F:\Users\norela.briceno\Documents\Plan de acción\Plan Accion 2018\[Plan Accion Integrado ADRES Vigencia 2018 con Cuadro de Mando V6..xlsx]Plan de Accion 2018'!#REF!,X252&lt;&gt;"N/A"))</xm:f>
            <x14:dxf>
              <fill>
                <patternFill>
                  <bgColor rgb="FF00B050"/>
                </patternFill>
              </fill>
            </x14:dxf>
          </x14:cfRule>
          <x14:cfRule type="expression" priority="3419" stopIfTrue="1" id="{9441D1CA-CE85-4454-953B-A9FF8D85F25A}">
            <xm:f>AND(IF(X252&lt;'F:\Users\norela.briceno\Documents\Plan de acción\Plan Accion 2018\[Plan Accion Integrado ADRES Vigencia 2018 con Cuadro de Mando V6..xlsx]Plan de Accion 2018'!#REF!,X252&lt;&gt;"N/A"))</xm:f>
            <x14:dxf>
              <fill>
                <patternFill>
                  <bgColor indexed="10"/>
                </patternFill>
              </fill>
            </x14:dxf>
          </x14:cfRule>
          <xm:sqref>X252</xm:sqref>
        </x14:conditionalFormatting>
        <x14:conditionalFormatting xmlns:xm="http://schemas.microsoft.com/office/excel/2006/main">
          <x14:cfRule type="expression" priority="3414" id="{2BE1CA22-DE2D-40BF-8911-9F1331E66343}">
            <xm:f>AND(IF(X253&gt;'F:\Users\norela.briceno\Documents\Plan de acción\Plan Accion 2018\[Plan Accion Integrado ADRES Vigencia 2018 con Cuadro de Mando V6..xlsx]Plan de Accion 2018'!#REF!,X253&lt;&gt;¨N/A¨))</xm:f>
            <x14:dxf>
              <fill>
                <patternFill>
                  <bgColor theme="1" tint="0.499984740745262"/>
                </patternFill>
              </fill>
            </x14:dxf>
          </x14:cfRule>
          <x14:cfRule type="expression" priority="3415" stopIfTrue="1" id="{B50C9818-5BEA-4B02-830D-0A864D2539FF}">
            <xm:f>AND(IF(X253='F:\Users\norela.briceno\Documents\Plan de acción\Plan Accion 2018\[Plan Accion Integrado ADRES Vigencia 2018 con Cuadro de Mando V6..xlsx]Plan de Accion 2018'!#REF!,X253&lt;&gt;"N/A"))</xm:f>
            <x14:dxf>
              <fill>
                <patternFill>
                  <bgColor rgb="FF00B050"/>
                </patternFill>
              </fill>
            </x14:dxf>
          </x14:cfRule>
          <x14:cfRule type="expression" priority="3416" stopIfTrue="1" id="{3E841FB9-D30D-43BD-800F-137206DF15F4}">
            <xm:f>AND(IF(X253&lt;'F:\Users\norela.briceno\Documents\Plan de acción\Plan Accion 2018\[Plan Accion Integrado ADRES Vigencia 2018 con Cuadro de Mando V6..xlsx]Plan de Accion 2018'!#REF!,X253&lt;&gt;"N/A"))</xm:f>
            <x14:dxf>
              <fill>
                <patternFill>
                  <bgColor indexed="10"/>
                </patternFill>
              </fill>
            </x14:dxf>
          </x14:cfRule>
          <xm:sqref>X253</xm:sqref>
        </x14:conditionalFormatting>
        <x14:conditionalFormatting xmlns:xm="http://schemas.microsoft.com/office/excel/2006/main">
          <x14:cfRule type="expression" priority="3411" id="{A931D7A7-55FC-4AFE-909F-9260E74AE2B3}">
            <xm:f>AND(IF(X254&gt;'F:\Users\norela.briceno\Documents\Plan de acción\Plan Accion 2018\[Plan Accion Integrado ADRES Vigencia 2018 con Cuadro de Mando V6..xlsx]Plan de Accion 2018'!#REF!,X254&lt;&gt;¨N/A¨))</xm:f>
            <x14:dxf>
              <fill>
                <patternFill>
                  <bgColor theme="1" tint="0.499984740745262"/>
                </patternFill>
              </fill>
            </x14:dxf>
          </x14:cfRule>
          <x14:cfRule type="expression" priority="3412" stopIfTrue="1" id="{4E7CE4A3-9996-4818-B9DA-2B4A974A8CB8}">
            <xm:f>AND(IF(X254='F:\Users\norela.briceno\Documents\Plan de acción\Plan Accion 2018\[Plan Accion Integrado ADRES Vigencia 2018 con Cuadro de Mando V6..xlsx]Plan de Accion 2018'!#REF!,X254&lt;&gt;"N/A"))</xm:f>
            <x14:dxf>
              <fill>
                <patternFill>
                  <bgColor rgb="FF00B050"/>
                </patternFill>
              </fill>
            </x14:dxf>
          </x14:cfRule>
          <x14:cfRule type="expression" priority="3413" stopIfTrue="1" id="{B829A972-1A74-46B3-A8C6-5575063751E4}">
            <xm:f>AND(IF(X254&lt;'F:\Users\norela.briceno\Documents\Plan de acción\Plan Accion 2018\[Plan Accion Integrado ADRES Vigencia 2018 con Cuadro de Mando V6..xlsx]Plan de Accion 2018'!#REF!,X254&lt;&gt;"N/A"))</xm:f>
            <x14:dxf>
              <fill>
                <patternFill>
                  <bgColor indexed="10"/>
                </patternFill>
              </fill>
            </x14:dxf>
          </x14:cfRule>
          <xm:sqref>X254</xm:sqref>
        </x14:conditionalFormatting>
        <x14:conditionalFormatting xmlns:xm="http://schemas.microsoft.com/office/excel/2006/main">
          <x14:cfRule type="expression" priority="3408" id="{05375932-E8C4-4699-9586-469EAFB7A24D}">
            <xm:f>AND(IF(X255&gt;'F:\Users\norela.briceno\Documents\Plan de acción\Plan Accion 2018\[Plan Accion Integrado ADRES Vigencia 2018 con Cuadro de Mando V6..xlsx]Plan de Accion 2018'!#REF!,X255&lt;&gt;¨N/A¨))</xm:f>
            <x14:dxf>
              <fill>
                <patternFill>
                  <bgColor theme="1" tint="0.499984740745262"/>
                </patternFill>
              </fill>
            </x14:dxf>
          </x14:cfRule>
          <x14:cfRule type="expression" priority="3409" stopIfTrue="1" id="{05631205-9550-4D05-9D1B-E76DC3366AC3}">
            <xm:f>AND(IF(X255='F:\Users\norela.briceno\Documents\Plan de acción\Plan Accion 2018\[Plan Accion Integrado ADRES Vigencia 2018 con Cuadro de Mando V6..xlsx]Plan de Accion 2018'!#REF!,X255&lt;&gt;"N/A"))</xm:f>
            <x14:dxf>
              <fill>
                <patternFill>
                  <bgColor rgb="FF00B050"/>
                </patternFill>
              </fill>
            </x14:dxf>
          </x14:cfRule>
          <x14:cfRule type="expression" priority="3410" stopIfTrue="1" id="{9E8B7E02-D83C-4AC3-B8BE-662AE90D0611}">
            <xm:f>AND(IF(X255&lt;'F:\Users\norela.briceno\Documents\Plan de acción\Plan Accion 2018\[Plan Accion Integrado ADRES Vigencia 2018 con Cuadro de Mando V6..xlsx]Plan de Accion 2018'!#REF!,X255&lt;&gt;"N/A"))</xm:f>
            <x14:dxf>
              <fill>
                <patternFill>
                  <bgColor indexed="10"/>
                </patternFill>
              </fill>
            </x14:dxf>
          </x14:cfRule>
          <xm:sqref>X255</xm:sqref>
        </x14:conditionalFormatting>
        <x14:conditionalFormatting xmlns:xm="http://schemas.microsoft.com/office/excel/2006/main">
          <x14:cfRule type="expression" priority="3405" id="{19B2B739-4B75-4727-B81D-DD0099C05F57}">
            <xm:f>AND(IF(X256&gt;'F:\Users\norela.briceno\Documents\Plan de acción\Plan Accion 2018\[Plan Accion Integrado ADRES Vigencia 2018 con Cuadro de Mando V6..xlsx]Plan de Accion 2018'!#REF!,X256&lt;&gt;¨N/A¨))</xm:f>
            <x14:dxf>
              <fill>
                <patternFill>
                  <bgColor theme="1" tint="0.499984740745262"/>
                </patternFill>
              </fill>
            </x14:dxf>
          </x14:cfRule>
          <x14:cfRule type="expression" priority="3406" stopIfTrue="1" id="{03304283-7B80-4ED1-86DA-88AD39D470E5}">
            <xm:f>AND(IF(X256='F:\Users\norela.briceno\Documents\Plan de acción\Plan Accion 2018\[Plan Accion Integrado ADRES Vigencia 2018 con Cuadro de Mando V6..xlsx]Plan de Accion 2018'!#REF!,X256&lt;&gt;"N/A"))</xm:f>
            <x14:dxf>
              <fill>
                <patternFill>
                  <bgColor rgb="FF00B050"/>
                </patternFill>
              </fill>
            </x14:dxf>
          </x14:cfRule>
          <x14:cfRule type="expression" priority="3407" stopIfTrue="1" id="{E8B37DBC-4D14-4C7F-A0B3-970B6B81A4B0}">
            <xm:f>AND(IF(X256&lt;'F:\Users\norela.briceno\Documents\Plan de acción\Plan Accion 2018\[Plan Accion Integrado ADRES Vigencia 2018 con Cuadro de Mando V6..xlsx]Plan de Accion 2018'!#REF!,X256&lt;&gt;"N/A"))</xm:f>
            <x14:dxf>
              <fill>
                <patternFill>
                  <bgColor indexed="10"/>
                </patternFill>
              </fill>
            </x14:dxf>
          </x14:cfRule>
          <xm:sqref>X256</xm:sqref>
        </x14:conditionalFormatting>
        <x14:conditionalFormatting xmlns:xm="http://schemas.microsoft.com/office/excel/2006/main">
          <x14:cfRule type="expression" priority="3402" id="{A4BD94F4-94E8-4B58-BF22-2D7763B5E384}">
            <xm:f>AND(IF(X257&gt;'F:\Users\norela.briceno\Documents\Plan de acción\Plan Accion 2018\[Plan Accion Integrado ADRES Vigencia 2018 con Cuadro de Mando V6..xlsx]Plan de Accion 2018'!#REF!,X257&lt;&gt;¨N/A¨))</xm:f>
            <x14:dxf>
              <fill>
                <patternFill>
                  <bgColor theme="1" tint="0.499984740745262"/>
                </patternFill>
              </fill>
            </x14:dxf>
          </x14:cfRule>
          <x14:cfRule type="expression" priority="3403" stopIfTrue="1" id="{0F964BCC-EE19-40FE-AAA6-FDB9AEDA6C9E}">
            <xm:f>AND(IF(X257='F:\Users\norela.briceno\Documents\Plan de acción\Plan Accion 2018\[Plan Accion Integrado ADRES Vigencia 2018 con Cuadro de Mando V6..xlsx]Plan de Accion 2018'!#REF!,X257&lt;&gt;"N/A"))</xm:f>
            <x14:dxf>
              <fill>
                <patternFill>
                  <bgColor rgb="FF00B050"/>
                </patternFill>
              </fill>
            </x14:dxf>
          </x14:cfRule>
          <x14:cfRule type="expression" priority="3404" stopIfTrue="1" id="{5B2647D9-B096-4E07-BEBE-0EC36B354C99}">
            <xm:f>AND(IF(X257&lt;'F:\Users\norela.briceno\Documents\Plan de acción\Plan Accion 2018\[Plan Accion Integrado ADRES Vigencia 2018 con Cuadro de Mando V6..xlsx]Plan de Accion 2018'!#REF!,X257&lt;&gt;"N/A"))</xm:f>
            <x14:dxf>
              <fill>
                <patternFill>
                  <bgColor indexed="10"/>
                </patternFill>
              </fill>
            </x14:dxf>
          </x14:cfRule>
          <xm:sqref>X257</xm:sqref>
        </x14:conditionalFormatting>
        <x14:conditionalFormatting xmlns:xm="http://schemas.microsoft.com/office/excel/2006/main">
          <x14:cfRule type="expression" priority="3399" id="{A5E8188D-9530-4940-8835-F4BB7FB914CD}">
            <xm:f>AND(IF(X258&gt;'F:\Users\norela.briceno\Documents\Plan de acción\Plan Accion 2018\[Plan Accion Integrado ADRES Vigencia 2018 con Cuadro de Mando V6..xlsx]Plan de Accion 2018'!#REF!,X258&lt;&gt;¨N/A¨))</xm:f>
            <x14:dxf>
              <fill>
                <patternFill>
                  <bgColor theme="1" tint="0.499984740745262"/>
                </patternFill>
              </fill>
            </x14:dxf>
          </x14:cfRule>
          <x14:cfRule type="expression" priority="3400" stopIfTrue="1" id="{E551EBD0-CBFB-4217-8FE5-7B6313704609}">
            <xm:f>AND(IF(X258='F:\Users\norela.briceno\Documents\Plan de acción\Plan Accion 2018\[Plan Accion Integrado ADRES Vigencia 2018 con Cuadro de Mando V6..xlsx]Plan de Accion 2018'!#REF!,X258&lt;&gt;"N/A"))</xm:f>
            <x14:dxf>
              <fill>
                <patternFill>
                  <bgColor rgb="FF00B050"/>
                </patternFill>
              </fill>
            </x14:dxf>
          </x14:cfRule>
          <x14:cfRule type="expression" priority="3401" stopIfTrue="1" id="{9E1BF07E-4108-4F34-8FAF-13269DF4FB20}">
            <xm:f>AND(IF(X258&lt;'F:\Users\norela.briceno\Documents\Plan de acción\Plan Accion 2018\[Plan Accion Integrado ADRES Vigencia 2018 con Cuadro de Mando V6..xlsx]Plan de Accion 2018'!#REF!,X258&lt;&gt;"N/A"))</xm:f>
            <x14:dxf>
              <fill>
                <patternFill>
                  <bgColor indexed="10"/>
                </patternFill>
              </fill>
            </x14:dxf>
          </x14:cfRule>
          <xm:sqref>X258</xm:sqref>
        </x14:conditionalFormatting>
        <x14:conditionalFormatting xmlns:xm="http://schemas.microsoft.com/office/excel/2006/main">
          <x14:cfRule type="expression" priority="3396" id="{BEB8373A-F015-48BF-8B47-34A7F2FEEA5F}">
            <xm:f>AND(IF(X259&gt;'F:\Users\norela.briceno\Documents\Plan de acción\Plan Accion 2018\[Plan Accion Integrado ADRES Vigencia 2018 con Cuadro de Mando V6..xlsx]Plan de Accion 2018'!#REF!,X259&lt;&gt;¨N/A¨))</xm:f>
            <x14:dxf>
              <fill>
                <patternFill>
                  <bgColor theme="1" tint="0.499984740745262"/>
                </patternFill>
              </fill>
            </x14:dxf>
          </x14:cfRule>
          <x14:cfRule type="expression" priority="3397" stopIfTrue="1" id="{16BE376F-0CBC-4578-8A8B-364C7E4B9723}">
            <xm:f>AND(IF(X259='F:\Users\norela.briceno\Documents\Plan de acción\Plan Accion 2018\[Plan Accion Integrado ADRES Vigencia 2018 con Cuadro de Mando V6..xlsx]Plan de Accion 2018'!#REF!,X259&lt;&gt;"N/A"))</xm:f>
            <x14:dxf>
              <fill>
                <patternFill>
                  <bgColor rgb="FF00B050"/>
                </patternFill>
              </fill>
            </x14:dxf>
          </x14:cfRule>
          <x14:cfRule type="expression" priority="3398" stopIfTrue="1" id="{2D89DA6C-7CF2-43BA-8CC4-22AA482A9870}">
            <xm:f>AND(IF(X259&lt;'F:\Users\norela.briceno\Documents\Plan de acción\Plan Accion 2018\[Plan Accion Integrado ADRES Vigencia 2018 con Cuadro de Mando V6..xlsx]Plan de Accion 2018'!#REF!,X259&lt;&gt;"N/A"))</xm:f>
            <x14:dxf>
              <fill>
                <patternFill>
                  <bgColor indexed="10"/>
                </patternFill>
              </fill>
            </x14:dxf>
          </x14:cfRule>
          <xm:sqref>X259</xm:sqref>
        </x14:conditionalFormatting>
        <x14:conditionalFormatting xmlns:xm="http://schemas.microsoft.com/office/excel/2006/main">
          <x14:cfRule type="expression" priority="3393" id="{A8B3C4E4-BAA6-4905-8651-D85752DDD539}">
            <xm:f>AND(IF(X260&gt;'F:\Users\norela.briceno\Documents\Plan de acción\Plan Accion 2018\[Plan Accion Integrado ADRES Vigencia 2018 con Cuadro de Mando V6..xlsx]Plan de Accion 2018'!#REF!,X260&lt;&gt;¨N/A¨))</xm:f>
            <x14:dxf>
              <fill>
                <patternFill>
                  <bgColor theme="1" tint="0.499984740745262"/>
                </patternFill>
              </fill>
            </x14:dxf>
          </x14:cfRule>
          <x14:cfRule type="expression" priority="3394" stopIfTrue="1" id="{AF078B7A-9678-4084-846D-76912C99D93F}">
            <xm:f>AND(IF(X260='F:\Users\norela.briceno\Documents\Plan de acción\Plan Accion 2018\[Plan Accion Integrado ADRES Vigencia 2018 con Cuadro de Mando V6..xlsx]Plan de Accion 2018'!#REF!,X260&lt;&gt;"N/A"))</xm:f>
            <x14:dxf>
              <fill>
                <patternFill>
                  <bgColor rgb="FF00B050"/>
                </patternFill>
              </fill>
            </x14:dxf>
          </x14:cfRule>
          <x14:cfRule type="expression" priority="3395" stopIfTrue="1" id="{E1F5A88E-62AA-41E8-97FE-E6E0D9A951D6}">
            <xm:f>AND(IF(X260&lt;'F:\Users\norela.briceno\Documents\Plan de acción\Plan Accion 2018\[Plan Accion Integrado ADRES Vigencia 2018 con Cuadro de Mando V6..xlsx]Plan de Accion 2018'!#REF!,X260&lt;&gt;"N/A"))</xm:f>
            <x14:dxf>
              <fill>
                <patternFill>
                  <bgColor indexed="10"/>
                </patternFill>
              </fill>
            </x14:dxf>
          </x14:cfRule>
          <xm:sqref>X260</xm:sqref>
        </x14:conditionalFormatting>
        <x14:conditionalFormatting xmlns:xm="http://schemas.microsoft.com/office/excel/2006/main">
          <x14:cfRule type="expression" priority="3390" id="{A0DB0845-0A2F-4E85-8146-34B8725FB760}">
            <xm:f>AND(IF(X261&gt;'F:\Users\norela.briceno\Documents\Plan de acción\Plan Accion 2018\[Plan Accion Integrado ADRES Vigencia 2018 con Cuadro de Mando V6..xlsx]Plan de Accion 2018'!#REF!,X261&lt;&gt;¨N/A¨))</xm:f>
            <x14:dxf>
              <fill>
                <patternFill>
                  <bgColor theme="1" tint="0.499984740745262"/>
                </patternFill>
              </fill>
            </x14:dxf>
          </x14:cfRule>
          <x14:cfRule type="expression" priority="3391" stopIfTrue="1" id="{C2DD19BE-9EEA-4683-86BE-5FFD16B057C4}">
            <xm:f>AND(IF(X261='F:\Users\norela.briceno\Documents\Plan de acción\Plan Accion 2018\[Plan Accion Integrado ADRES Vigencia 2018 con Cuadro de Mando V6..xlsx]Plan de Accion 2018'!#REF!,X261&lt;&gt;"N/A"))</xm:f>
            <x14:dxf>
              <fill>
                <patternFill>
                  <bgColor rgb="FF00B050"/>
                </patternFill>
              </fill>
            </x14:dxf>
          </x14:cfRule>
          <x14:cfRule type="expression" priority="3392" stopIfTrue="1" id="{4427CC31-27D0-43DA-A9F3-D2D22F0ACD73}">
            <xm:f>AND(IF(X261&lt;'F:\Users\norela.briceno\Documents\Plan de acción\Plan Accion 2018\[Plan Accion Integrado ADRES Vigencia 2018 con Cuadro de Mando V6..xlsx]Plan de Accion 2018'!#REF!,X261&lt;&gt;"N/A"))</xm:f>
            <x14:dxf>
              <fill>
                <patternFill>
                  <bgColor indexed="10"/>
                </patternFill>
              </fill>
            </x14:dxf>
          </x14:cfRule>
          <xm:sqref>X261</xm:sqref>
        </x14:conditionalFormatting>
        <x14:conditionalFormatting xmlns:xm="http://schemas.microsoft.com/office/excel/2006/main">
          <x14:cfRule type="expression" priority="3387" id="{CF1C103F-5D59-47D2-B2EE-CBEE3EC0B8B6}">
            <xm:f>AND(IF(X262&gt;'F:\Users\norela.briceno\Documents\Plan de acción\Plan Accion 2018\[Plan Accion Integrado ADRES Vigencia 2018 con Cuadro de Mando V6..xlsx]Plan de Accion 2018'!#REF!,X262&lt;&gt;¨N/A¨))</xm:f>
            <x14:dxf>
              <fill>
                <patternFill>
                  <bgColor theme="1" tint="0.499984740745262"/>
                </patternFill>
              </fill>
            </x14:dxf>
          </x14:cfRule>
          <x14:cfRule type="expression" priority="3388" stopIfTrue="1" id="{FD6C8D1B-911E-45B8-BF8B-3444CB9E4795}">
            <xm:f>AND(IF(X262='F:\Users\norela.briceno\Documents\Plan de acción\Plan Accion 2018\[Plan Accion Integrado ADRES Vigencia 2018 con Cuadro de Mando V6..xlsx]Plan de Accion 2018'!#REF!,X262&lt;&gt;"N/A"))</xm:f>
            <x14:dxf>
              <fill>
                <patternFill>
                  <bgColor rgb="FF00B050"/>
                </patternFill>
              </fill>
            </x14:dxf>
          </x14:cfRule>
          <x14:cfRule type="expression" priority="3389" stopIfTrue="1" id="{70D66B03-4AFD-4024-BDEB-B5BABA5E8050}">
            <xm:f>AND(IF(X262&lt;'F:\Users\norela.briceno\Documents\Plan de acción\Plan Accion 2018\[Plan Accion Integrado ADRES Vigencia 2018 con Cuadro de Mando V6..xlsx]Plan de Accion 2018'!#REF!,X262&lt;&gt;"N/A"))</xm:f>
            <x14:dxf>
              <fill>
                <patternFill>
                  <bgColor indexed="10"/>
                </patternFill>
              </fill>
            </x14:dxf>
          </x14:cfRule>
          <xm:sqref>X262</xm:sqref>
        </x14:conditionalFormatting>
        <x14:conditionalFormatting xmlns:xm="http://schemas.microsoft.com/office/excel/2006/main">
          <x14:cfRule type="expression" priority="3384" id="{5074389F-A03E-4341-9666-7DC94CD3BE4D}">
            <xm:f>AND(IF(X263&gt;'F:\Users\norela.briceno\Documents\Plan de acción\Plan Accion 2018\[Plan Accion Integrado ADRES Vigencia 2018 con Cuadro de Mando V6..xlsx]Plan de Accion 2018'!#REF!,X263&lt;&gt;¨N/A¨))</xm:f>
            <x14:dxf>
              <fill>
                <patternFill>
                  <bgColor theme="1" tint="0.499984740745262"/>
                </patternFill>
              </fill>
            </x14:dxf>
          </x14:cfRule>
          <x14:cfRule type="expression" priority="3385" stopIfTrue="1" id="{E67AB42E-D4EC-42F0-8739-1BF198DCF926}">
            <xm:f>AND(IF(X263='F:\Users\norela.briceno\Documents\Plan de acción\Plan Accion 2018\[Plan Accion Integrado ADRES Vigencia 2018 con Cuadro de Mando V6..xlsx]Plan de Accion 2018'!#REF!,X263&lt;&gt;"N/A"))</xm:f>
            <x14:dxf>
              <fill>
                <patternFill>
                  <bgColor rgb="FF00B050"/>
                </patternFill>
              </fill>
            </x14:dxf>
          </x14:cfRule>
          <x14:cfRule type="expression" priority="3386" stopIfTrue="1" id="{496E4543-CCEF-43B1-9CEF-161824F11372}">
            <xm:f>AND(IF(X263&lt;'F:\Users\norela.briceno\Documents\Plan de acción\Plan Accion 2018\[Plan Accion Integrado ADRES Vigencia 2018 con Cuadro de Mando V6..xlsx]Plan de Accion 2018'!#REF!,X263&lt;&gt;"N/A"))</xm:f>
            <x14:dxf>
              <fill>
                <patternFill>
                  <bgColor indexed="10"/>
                </patternFill>
              </fill>
            </x14:dxf>
          </x14:cfRule>
          <xm:sqref>X263</xm:sqref>
        </x14:conditionalFormatting>
        <x14:conditionalFormatting xmlns:xm="http://schemas.microsoft.com/office/excel/2006/main">
          <x14:cfRule type="expression" priority="3381" id="{B80789AC-CFD2-4531-85DE-FBADB99D36B7}">
            <xm:f>AND(IF(X269&gt;'F:\Users\norela.briceno\Documents\Plan de acción\Plan Accion 2018\[Plan Accion Integrado ADRES Vigencia 2018 con Cuadro de Mando V6..xlsx]Plan de Accion 2018'!#REF!,X269&lt;&gt;¨N/A¨))</xm:f>
            <x14:dxf>
              <fill>
                <patternFill>
                  <bgColor theme="1" tint="0.499984740745262"/>
                </patternFill>
              </fill>
            </x14:dxf>
          </x14:cfRule>
          <x14:cfRule type="expression" priority="3382" stopIfTrue="1" id="{F411B416-78E8-47C0-9EDD-A5CEC53EC6F9}">
            <xm:f>AND(IF(X269='F:\Users\norela.briceno\Documents\Plan de acción\Plan Accion 2018\[Plan Accion Integrado ADRES Vigencia 2018 con Cuadro de Mando V6..xlsx]Plan de Accion 2018'!#REF!,X269&lt;&gt;"N/A"))</xm:f>
            <x14:dxf>
              <fill>
                <patternFill>
                  <bgColor rgb="FF00B050"/>
                </patternFill>
              </fill>
            </x14:dxf>
          </x14:cfRule>
          <x14:cfRule type="expression" priority="3383" stopIfTrue="1" id="{62539422-A5A5-4B52-A18C-300C646C6CF2}">
            <xm:f>AND(IF(X269&lt;'F:\Users\norela.briceno\Documents\Plan de acción\Plan Accion 2018\[Plan Accion Integrado ADRES Vigencia 2018 con Cuadro de Mando V6..xlsx]Plan de Accion 2018'!#REF!,X269&lt;&gt;"N/A"))</xm:f>
            <x14:dxf>
              <fill>
                <patternFill>
                  <bgColor indexed="10"/>
                </patternFill>
              </fill>
            </x14:dxf>
          </x14:cfRule>
          <xm:sqref>X269</xm:sqref>
        </x14:conditionalFormatting>
        <x14:conditionalFormatting xmlns:xm="http://schemas.microsoft.com/office/excel/2006/main">
          <x14:cfRule type="expression" priority="3378" id="{AD84F002-1A94-4BBA-93F7-E7D713A0F489}">
            <xm:f>AND(IF(X272&gt;'F:\Users\norela.briceno\Documents\Plan de acción\Plan Accion 2018\[Plan Accion Integrado ADRES Vigencia 2018 con Cuadro de Mando V6..xlsx]Plan de Accion 2018'!#REF!,X272&lt;&gt;¨N/A¨))</xm:f>
            <x14:dxf>
              <fill>
                <patternFill>
                  <bgColor theme="1" tint="0.499984740745262"/>
                </patternFill>
              </fill>
            </x14:dxf>
          </x14:cfRule>
          <x14:cfRule type="expression" priority="3379" stopIfTrue="1" id="{5507D00B-6310-40A8-92EB-A2133FCAA571}">
            <xm:f>AND(IF(X272='F:\Users\norela.briceno\Documents\Plan de acción\Plan Accion 2018\[Plan Accion Integrado ADRES Vigencia 2018 con Cuadro de Mando V6..xlsx]Plan de Accion 2018'!#REF!,X272&lt;&gt;"N/A"))</xm:f>
            <x14:dxf>
              <fill>
                <patternFill>
                  <bgColor rgb="FF00B050"/>
                </patternFill>
              </fill>
            </x14:dxf>
          </x14:cfRule>
          <x14:cfRule type="expression" priority="3380" stopIfTrue="1" id="{9BA5CC62-706F-4FFE-924F-66ED2B755039}">
            <xm:f>AND(IF(X272&lt;'F:\Users\norela.briceno\Documents\Plan de acción\Plan Accion 2018\[Plan Accion Integrado ADRES Vigencia 2018 con Cuadro de Mando V6..xlsx]Plan de Accion 2018'!#REF!,X272&lt;&gt;"N/A"))</xm:f>
            <x14:dxf>
              <fill>
                <patternFill>
                  <bgColor indexed="10"/>
                </patternFill>
              </fill>
            </x14:dxf>
          </x14:cfRule>
          <xm:sqref>X272</xm:sqref>
        </x14:conditionalFormatting>
        <x14:conditionalFormatting xmlns:xm="http://schemas.microsoft.com/office/excel/2006/main">
          <x14:cfRule type="expression" priority="3375" id="{8CB76048-960D-4B3B-A35F-221E8D7A4E68}">
            <xm:f>AND(IF(X273&gt;'F:\Users\norela.briceno\Documents\Plan de acción\Plan Accion 2018\[Plan Accion Integrado ADRES Vigencia 2018 con Cuadro de Mando V6..xlsx]Plan de Accion 2018'!#REF!,X273&lt;&gt;¨N/A¨))</xm:f>
            <x14:dxf>
              <fill>
                <patternFill>
                  <bgColor theme="1" tint="0.499984740745262"/>
                </patternFill>
              </fill>
            </x14:dxf>
          </x14:cfRule>
          <x14:cfRule type="expression" priority="3376" stopIfTrue="1" id="{15A0054B-F405-4E13-B8EE-5F14223C7600}">
            <xm:f>AND(IF(X273='F:\Users\norela.briceno\Documents\Plan de acción\Plan Accion 2018\[Plan Accion Integrado ADRES Vigencia 2018 con Cuadro de Mando V6..xlsx]Plan de Accion 2018'!#REF!,X273&lt;&gt;"N/A"))</xm:f>
            <x14:dxf>
              <fill>
                <patternFill>
                  <bgColor rgb="FF00B050"/>
                </patternFill>
              </fill>
            </x14:dxf>
          </x14:cfRule>
          <x14:cfRule type="expression" priority="3377" stopIfTrue="1" id="{CD85CBD5-E253-4B3D-BAE5-056F48A02C31}">
            <xm:f>AND(IF(X273&lt;'F:\Users\norela.briceno\Documents\Plan de acción\Plan Accion 2018\[Plan Accion Integrado ADRES Vigencia 2018 con Cuadro de Mando V6..xlsx]Plan de Accion 2018'!#REF!,X273&lt;&gt;"N/A"))</xm:f>
            <x14:dxf>
              <fill>
                <patternFill>
                  <bgColor indexed="10"/>
                </patternFill>
              </fill>
            </x14:dxf>
          </x14:cfRule>
          <xm:sqref>X273</xm:sqref>
        </x14:conditionalFormatting>
        <x14:conditionalFormatting xmlns:xm="http://schemas.microsoft.com/office/excel/2006/main">
          <x14:cfRule type="expression" priority="3372" id="{C20B3FCD-D368-40FB-BF2B-96E4E088386B}">
            <xm:f>AND(IF(X274&gt;'F:\Users\norela.briceno\Documents\Plan de acción\Plan Accion 2018\[Plan Accion Integrado ADRES Vigencia 2018 con Cuadro de Mando V6..xlsx]Plan de Accion 2018'!#REF!,X274&lt;&gt;¨N/A¨))</xm:f>
            <x14:dxf>
              <fill>
                <patternFill>
                  <bgColor theme="1" tint="0.499984740745262"/>
                </patternFill>
              </fill>
            </x14:dxf>
          </x14:cfRule>
          <x14:cfRule type="expression" priority="3373" stopIfTrue="1" id="{B77C1172-F062-4DB6-A616-340A6344FD57}">
            <xm:f>AND(IF(X274='F:\Users\norela.briceno\Documents\Plan de acción\Plan Accion 2018\[Plan Accion Integrado ADRES Vigencia 2018 con Cuadro de Mando V6..xlsx]Plan de Accion 2018'!#REF!,X274&lt;&gt;"N/A"))</xm:f>
            <x14:dxf>
              <fill>
                <patternFill>
                  <bgColor rgb="FF00B050"/>
                </patternFill>
              </fill>
            </x14:dxf>
          </x14:cfRule>
          <x14:cfRule type="expression" priority="3374" stopIfTrue="1" id="{1A70AEB2-2BBF-4F60-8037-63401D383307}">
            <xm:f>AND(IF(X274&lt;'F:\Users\norela.briceno\Documents\Plan de acción\Plan Accion 2018\[Plan Accion Integrado ADRES Vigencia 2018 con Cuadro de Mando V6..xlsx]Plan de Accion 2018'!#REF!,X274&lt;&gt;"N/A"))</xm:f>
            <x14:dxf>
              <fill>
                <patternFill>
                  <bgColor indexed="10"/>
                </patternFill>
              </fill>
            </x14:dxf>
          </x14:cfRule>
          <xm:sqref>X274</xm:sqref>
        </x14:conditionalFormatting>
        <x14:conditionalFormatting xmlns:xm="http://schemas.microsoft.com/office/excel/2006/main">
          <x14:cfRule type="expression" priority="3369" id="{820DC77F-5C62-480F-9127-20BDBBFB112D}">
            <xm:f>AND(IF(X275&gt;'F:\Users\norela.briceno\Documents\Plan de acción\Plan Accion 2018\[Plan Accion Integrado ADRES Vigencia 2018 con Cuadro de Mando V6..xlsx]Plan de Accion 2018'!#REF!,X275&lt;&gt;¨N/A¨))</xm:f>
            <x14:dxf>
              <fill>
                <patternFill>
                  <bgColor theme="1" tint="0.499984740745262"/>
                </patternFill>
              </fill>
            </x14:dxf>
          </x14:cfRule>
          <x14:cfRule type="expression" priority="3370" stopIfTrue="1" id="{ACB67091-E312-4C13-A136-31F2B3E3E715}">
            <xm:f>AND(IF(X275='F:\Users\norela.briceno\Documents\Plan de acción\Plan Accion 2018\[Plan Accion Integrado ADRES Vigencia 2018 con Cuadro de Mando V6..xlsx]Plan de Accion 2018'!#REF!,X275&lt;&gt;"N/A"))</xm:f>
            <x14:dxf>
              <fill>
                <patternFill>
                  <bgColor rgb="FF00B050"/>
                </patternFill>
              </fill>
            </x14:dxf>
          </x14:cfRule>
          <x14:cfRule type="expression" priority="3371" stopIfTrue="1" id="{B9D23984-EA1B-4C10-A335-73B95F558B46}">
            <xm:f>AND(IF(X275&lt;'F:\Users\norela.briceno\Documents\Plan de acción\Plan Accion 2018\[Plan Accion Integrado ADRES Vigencia 2018 con Cuadro de Mando V6..xlsx]Plan de Accion 2018'!#REF!,X275&lt;&gt;"N/A"))</xm:f>
            <x14:dxf>
              <fill>
                <patternFill>
                  <bgColor indexed="10"/>
                </patternFill>
              </fill>
            </x14:dxf>
          </x14:cfRule>
          <xm:sqref>X275</xm:sqref>
        </x14:conditionalFormatting>
        <x14:conditionalFormatting xmlns:xm="http://schemas.microsoft.com/office/excel/2006/main">
          <x14:cfRule type="expression" priority="3366" id="{6DEAD6E9-04E0-4068-BDA8-0BB141A795E7}">
            <xm:f>AND(IF(X278&gt;'F:\Users\norela.briceno\Documents\Plan de acción\Plan Accion 2018\[Plan Accion Integrado ADRES Vigencia 2018 con Cuadro de Mando V6..xlsx]Plan de Accion 2018'!#REF!,X278&lt;&gt;¨N/A¨))</xm:f>
            <x14:dxf>
              <fill>
                <patternFill>
                  <bgColor theme="1" tint="0.499984740745262"/>
                </patternFill>
              </fill>
            </x14:dxf>
          </x14:cfRule>
          <x14:cfRule type="expression" priority="3367" stopIfTrue="1" id="{DA45ADEA-5A48-47F2-8210-E34B5AED6E86}">
            <xm:f>AND(IF(X278='F:\Users\norela.briceno\Documents\Plan de acción\Plan Accion 2018\[Plan Accion Integrado ADRES Vigencia 2018 con Cuadro de Mando V6..xlsx]Plan de Accion 2018'!#REF!,X278&lt;&gt;"N/A"))</xm:f>
            <x14:dxf>
              <fill>
                <patternFill>
                  <bgColor rgb="FF00B050"/>
                </patternFill>
              </fill>
            </x14:dxf>
          </x14:cfRule>
          <x14:cfRule type="expression" priority="3368" stopIfTrue="1" id="{61D38104-662C-4CB6-9959-649F7DDA0897}">
            <xm:f>AND(IF(X278&lt;'F:\Users\norela.briceno\Documents\Plan de acción\Plan Accion 2018\[Plan Accion Integrado ADRES Vigencia 2018 con Cuadro de Mando V6..xlsx]Plan de Accion 2018'!#REF!,X278&lt;&gt;"N/A"))</xm:f>
            <x14:dxf>
              <fill>
                <patternFill>
                  <bgColor indexed="10"/>
                </patternFill>
              </fill>
            </x14:dxf>
          </x14:cfRule>
          <xm:sqref>X278</xm:sqref>
        </x14:conditionalFormatting>
        <x14:conditionalFormatting xmlns:xm="http://schemas.microsoft.com/office/excel/2006/main">
          <x14:cfRule type="expression" priority="3363" id="{55BC7DF6-90E8-47F2-AC24-F08EA08D1B91}">
            <xm:f>AND(IF(X279&gt;'F:\Users\norela.briceno\Documents\Plan de acción\Plan Accion 2018\[Plan Accion Integrado ADRES Vigencia 2018 con Cuadro de Mando V6..xlsx]Plan de Accion 2018'!#REF!,X279&lt;&gt;¨N/A¨))</xm:f>
            <x14:dxf>
              <fill>
                <patternFill>
                  <bgColor theme="1" tint="0.499984740745262"/>
                </patternFill>
              </fill>
            </x14:dxf>
          </x14:cfRule>
          <x14:cfRule type="expression" priority="3364" stopIfTrue="1" id="{EABC1881-3707-4D86-8D19-799F3CF2F52B}">
            <xm:f>AND(IF(X279='F:\Users\norela.briceno\Documents\Plan de acción\Plan Accion 2018\[Plan Accion Integrado ADRES Vigencia 2018 con Cuadro de Mando V6..xlsx]Plan de Accion 2018'!#REF!,X279&lt;&gt;"N/A"))</xm:f>
            <x14:dxf>
              <fill>
                <patternFill>
                  <bgColor rgb="FF00B050"/>
                </patternFill>
              </fill>
            </x14:dxf>
          </x14:cfRule>
          <x14:cfRule type="expression" priority="3365" stopIfTrue="1" id="{7411A284-E47F-4EB1-B355-F590874BE57C}">
            <xm:f>AND(IF(X279&lt;'F:\Users\norela.briceno\Documents\Plan de acción\Plan Accion 2018\[Plan Accion Integrado ADRES Vigencia 2018 con Cuadro de Mando V6..xlsx]Plan de Accion 2018'!#REF!,X279&lt;&gt;"N/A"))</xm:f>
            <x14:dxf>
              <fill>
                <patternFill>
                  <bgColor indexed="10"/>
                </patternFill>
              </fill>
            </x14:dxf>
          </x14:cfRule>
          <xm:sqref>X279</xm:sqref>
        </x14:conditionalFormatting>
        <x14:conditionalFormatting xmlns:xm="http://schemas.microsoft.com/office/excel/2006/main">
          <x14:cfRule type="expression" priority="3360" id="{8233F2C0-924F-41F1-AF4B-88863F39096E}">
            <xm:f>AND(IF(X280&gt;'F:\Users\norela.briceno\Documents\Plan de acción\Plan Accion 2018\[Plan Accion Integrado ADRES Vigencia 2018 con Cuadro de Mando V6..xlsx]Plan de Accion 2018'!#REF!,X280&lt;&gt;¨N/A¨))</xm:f>
            <x14:dxf>
              <fill>
                <patternFill>
                  <bgColor theme="1" tint="0.499984740745262"/>
                </patternFill>
              </fill>
            </x14:dxf>
          </x14:cfRule>
          <x14:cfRule type="expression" priority="3361" stopIfTrue="1" id="{78E849C4-2502-4AD4-87BD-CB7F8598744D}">
            <xm:f>AND(IF(X280='F:\Users\norela.briceno\Documents\Plan de acción\Plan Accion 2018\[Plan Accion Integrado ADRES Vigencia 2018 con Cuadro de Mando V6..xlsx]Plan de Accion 2018'!#REF!,X280&lt;&gt;"N/A"))</xm:f>
            <x14:dxf>
              <fill>
                <patternFill>
                  <bgColor rgb="FF00B050"/>
                </patternFill>
              </fill>
            </x14:dxf>
          </x14:cfRule>
          <x14:cfRule type="expression" priority="3362" stopIfTrue="1" id="{2697C74B-19C0-4397-9F3A-59B362A8FFDD}">
            <xm:f>AND(IF(X280&lt;'F:\Users\norela.briceno\Documents\Plan de acción\Plan Accion 2018\[Plan Accion Integrado ADRES Vigencia 2018 con Cuadro de Mando V6..xlsx]Plan de Accion 2018'!#REF!,X280&lt;&gt;"N/A"))</xm:f>
            <x14:dxf>
              <fill>
                <patternFill>
                  <bgColor indexed="10"/>
                </patternFill>
              </fill>
            </x14:dxf>
          </x14:cfRule>
          <xm:sqref>X280</xm:sqref>
        </x14:conditionalFormatting>
        <x14:conditionalFormatting xmlns:xm="http://schemas.microsoft.com/office/excel/2006/main">
          <x14:cfRule type="expression" priority="3357" id="{5803BB87-1376-4FFE-AFA6-F928162EE95D}">
            <xm:f>AND(IF(X282&gt;'F:\Users\norela.briceno\Documents\Plan de acción\Plan Accion 2018\[Plan Accion Integrado ADRES Vigencia 2018 con Cuadro de Mando V6..xlsx]Plan de Accion 2018'!#REF!,X282&lt;&gt;¨N/A¨))</xm:f>
            <x14:dxf>
              <fill>
                <patternFill>
                  <bgColor theme="1" tint="0.499984740745262"/>
                </patternFill>
              </fill>
            </x14:dxf>
          </x14:cfRule>
          <x14:cfRule type="expression" priority="3358" stopIfTrue="1" id="{C10ABD3D-9E98-4C93-A67B-B934FBC940F6}">
            <xm:f>AND(IF(X282='F:\Users\norela.briceno\Documents\Plan de acción\Plan Accion 2018\[Plan Accion Integrado ADRES Vigencia 2018 con Cuadro de Mando V6..xlsx]Plan de Accion 2018'!#REF!,X282&lt;&gt;"N/A"))</xm:f>
            <x14:dxf>
              <fill>
                <patternFill>
                  <bgColor rgb="FF00B050"/>
                </patternFill>
              </fill>
            </x14:dxf>
          </x14:cfRule>
          <x14:cfRule type="expression" priority="3359" stopIfTrue="1" id="{F1F6B9E1-DFC2-48AF-9FF2-53BAC882F750}">
            <xm:f>AND(IF(X282&lt;'F:\Users\norela.briceno\Documents\Plan de acción\Plan Accion 2018\[Plan Accion Integrado ADRES Vigencia 2018 con Cuadro de Mando V6..xlsx]Plan de Accion 2018'!#REF!,X282&lt;&gt;"N/A"))</xm:f>
            <x14:dxf>
              <fill>
                <patternFill>
                  <bgColor indexed="10"/>
                </patternFill>
              </fill>
            </x14:dxf>
          </x14:cfRule>
          <xm:sqref>X282</xm:sqref>
        </x14:conditionalFormatting>
        <x14:conditionalFormatting xmlns:xm="http://schemas.microsoft.com/office/excel/2006/main">
          <x14:cfRule type="expression" priority="3351" id="{D826BFDC-C27D-4EAB-ADF3-145C46930A24}">
            <xm:f>AND(IF(X285&gt;'F:\Users\norela.briceno\Documents\Plan de acción\Plan Accion 2018\[Plan Accion Integrado ADRES Vigencia 2018 con Cuadro de Mando V6..xlsx]Plan de Accion 2018'!#REF!,X285&lt;&gt;¨N/A¨))</xm:f>
            <x14:dxf>
              <fill>
                <patternFill>
                  <bgColor theme="1" tint="0.499984740745262"/>
                </patternFill>
              </fill>
            </x14:dxf>
          </x14:cfRule>
          <x14:cfRule type="expression" priority="3352" stopIfTrue="1" id="{CBF8BCAC-A26F-4ECF-BD71-57D02157B63E}">
            <xm:f>AND(IF(X285='F:\Users\norela.briceno\Documents\Plan de acción\Plan Accion 2018\[Plan Accion Integrado ADRES Vigencia 2018 con Cuadro de Mando V6..xlsx]Plan de Accion 2018'!#REF!,X285&lt;&gt;"N/A"))</xm:f>
            <x14:dxf>
              <fill>
                <patternFill>
                  <bgColor rgb="FF00B050"/>
                </patternFill>
              </fill>
            </x14:dxf>
          </x14:cfRule>
          <x14:cfRule type="expression" priority="3353" stopIfTrue="1" id="{B74ACFAC-7155-46E0-9290-49FF2F0C64E7}">
            <xm:f>AND(IF(X285&lt;'F:\Users\norela.briceno\Documents\Plan de acción\Plan Accion 2018\[Plan Accion Integrado ADRES Vigencia 2018 con Cuadro de Mando V6..xlsx]Plan de Accion 2018'!#REF!,X285&lt;&gt;"N/A"))</xm:f>
            <x14:dxf>
              <fill>
                <patternFill>
                  <bgColor indexed="10"/>
                </patternFill>
              </fill>
            </x14:dxf>
          </x14:cfRule>
          <xm:sqref>X285</xm:sqref>
        </x14:conditionalFormatting>
        <x14:conditionalFormatting xmlns:xm="http://schemas.microsoft.com/office/excel/2006/main">
          <x14:cfRule type="expression" priority="3348" id="{86FB3F21-AB27-4A04-AA21-AF9CA07CA2C5}">
            <xm:f>AND(IF(X286&gt;'F:\Users\norela.briceno\Documents\Plan de acción\Plan Accion 2018\[Plan Accion Integrado ADRES Vigencia 2018 con Cuadro de Mando V6..xlsx]Plan de Accion 2018'!#REF!,X286&lt;&gt;¨N/A¨))</xm:f>
            <x14:dxf>
              <fill>
                <patternFill>
                  <bgColor theme="1" tint="0.499984740745262"/>
                </patternFill>
              </fill>
            </x14:dxf>
          </x14:cfRule>
          <x14:cfRule type="expression" priority="3349" stopIfTrue="1" id="{38B6BD0E-1D41-4F39-A10C-3417755DE7C9}">
            <xm:f>AND(IF(X286='F:\Users\norela.briceno\Documents\Plan de acción\Plan Accion 2018\[Plan Accion Integrado ADRES Vigencia 2018 con Cuadro de Mando V6..xlsx]Plan de Accion 2018'!#REF!,X286&lt;&gt;"N/A"))</xm:f>
            <x14:dxf>
              <fill>
                <patternFill>
                  <bgColor rgb="FF00B050"/>
                </patternFill>
              </fill>
            </x14:dxf>
          </x14:cfRule>
          <x14:cfRule type="expression" priority="3350" stopIfTrue="1" id="{C36F5010-811B-44FD-92F7-37C7AE7A1487}">
            <xm:f>AND(IF(X286&lt;'F:\Users\norela.briceno\Documents\Plan de acción\Plan Accion 2018\[Plan Accion Integrado ADRES Vigencia 2018 con Cuadro de Mando V6..xlsx]Plan de Accion 2018'!#REF!,X286&lt;&gt;"N/A"))</xm:f>
            <x14:dxf>
              <fill>
                <patternFill>
                  <bgColor indexed="10"/>
                </patternFill>
              </fill>
            </x14:dxf>
          </x14:cfRule>
          <xm:sqref>X286</xm:sqref>
        </x14:conditionalFormatting>
        <x14:conditionalFormatting xmlns:xm="http://schemas.microsoft.com/office/excel/2006/main">
          <x14:cfRule type="expression" priority="3345" id="{B248DD04-5EE4-44D1-A7EB-C38400C67F60}">
            <xm:f>AND(IF(X287&gt;'F:\Users\norela.briceno\Documents\Plan de acción\Plan Accion 2018\[Plan Accion Integrado ADRES Vigencia 2018 con Cuadro de Mando V6..xlsx]Plan de Accion 2018'!#REF!,X287&lt;&gt;¨N/A¨))</xm:f>
            <x14:dxf>
              <fill>
                <patternFill>
                  <bgColor theme="1" tint="0.499984740745262"/>
                </patternFill>
              </fill>
            </x14:dxf>
          </x14:cfRule>
          <x14:cfRule type="expression" priority="3346" stopIfTrue="1" id="{D212A704-4328-4191-BEF9-3B46EA41EB37}">
            <xm:f>AND(IF(X287='F:\Users\norela.briceno\Documents\Plan de acción\Plan Accion 2018\[Plan Accion Integrado ADRES Vigencia 2018 con Cuadro de Mando V6..xlsx]Plan de Accion 2018'!#REF!,X287&lt;&gt;"N/A"))</xm:f>
            <x14:dxf>
              <fill>
                <patternFill>
                  <bgColor rgb="FF00B050"/>
                </patternFill>
              </fill>
            </x14:dxf>
          </x14:cfRule>
          <x14:cfRule type="expression" priority="3347" stopIfTrue="1" id="{2083045A-F48D-4470-B8FB-68CE71CBC2B2}">
            <xm:f>AND(IF(X287&lt;'F:\Users\norela.briceno\Documents\Plan de acción\Plan Accion 2018\[Plan Accion Integrado ADRES Vigencia 2018 con Cuadro de Mando V6..xlsx]Plan de Accion 2018'!#REF!,X287&lt;&gt;"N/A"))</xm:f>
            <x14:dxf>
              <fill>
                <patternFill>
                  <bgColor indexed="10"/>
                </patternFill>
              </fill>
            </x14:dxf>
          </x14:cfRule>
          <xm:sqref>X287</xm:sqref>
        </x14:conditionalFormatting>
        <x14:conditionalFormatting xmlns:xm="http://schemas.microsoft.com/office/excel/2006/main">
          <x14:cfRule type="expression" priority="3342" id="{3F1D4952-6D83-4187-9CC9-5D37C3DF5E3A}">
            <xm:f>AND(IF(X289&gt;'F:\Users\norela.briceno\Documents\Plan de acción\Plan Accion 2018\[Plan Accion Integrado ADRES Vigencia 2018 con Cuadro de Mando V6..xlsx]Plan de Accion 2018'!#REF!,X289&lt;&gt;¨N/A¨))</xm:f>
            <x14:dxf>
              <fill>
                <patternFill>
                  <bgColor theme="1" tint="0.499984740745262"/>
                </patternFill>
              </fill>
            </x14:dxf>
          </x14:cfRule>
          <x14:cfRule type="expression" priority="3343" stopIfTrue="1" id="{13AD966A-496B-400A-BE1E-E8DC84368E91}">
            <xm:f>AND(IF(X289='F:\Users\norela.briceno\Documents\Plan de acción\Plan Accion 2018\[Plan Accion Integrado ADRES Vigencia 2018 con Cuadro de Mando V6..xlsx]Plan de Accion 2018'!#REF!,X289&lt;&gt;"N/A"))</xm:f>
            <x14:dxf>
              <fill>
                <patternFill>
                  <bgColor rgb="FF00B050"/>
                </patternFill>
              </fill>
            </x14:dxf>
          </x14:cfRule>
          <x14:cfRule type="expression" priority="3344" stopIfTrue="1" id="{82E967AA-0C87-4F00-987A-81AD1F2A9913}">
            <xm:f>AND(IF(X289&lt;'F:\Users\norela.briceno\Documents\Plan de acción\Plan Accion 2018\[Plan Accion Integrado ADRES Vigencia 2018 con Cuadro de Mando V6..xlsx]Plan de Accion 2018'!#REF!,X289&lt;&gt;"N/A"))</xm:f>
            <x14:dxf>
              <fill>
                <patternFill>
                  <bgColor indexed="10"/>
                </patternFill>
              </fill>
            </x14:dxf>
          </x14:cfRule>
          <xm:sqref>X289</xm:sqref>
        </x14:conditionalFormatting>
        <x14:conditionalFormatting xmlns:xm="http://schemas.microsoft.com/office/excel/2006/main">
          <x14:cfRule type="expression" priority="3339" id="{8DC23D2F-BEE7-45F1-81EE-BB06B704556C}">
            <xm:f>AND(IF(X290&gt;'F:\Users\norela.briceno\Documents\Plan de acción\Plan Accion 2018\[Plan Accion Integrado ADRES Vigencia 2018 con Cuadro de Mando V6..xlsx]Plan de Accion 2018'!#REF!,X290&lt;&gt;¨N/A¨))</xm:f>
            <x14:dxf>
              <fill>
                <patternFill>
                  <bgColor theme="1" tint="0.499984740745262"/>
                </patternFill>
              </fill>
            </x14:dxf>
          </x14:cfRule>
          <x14:cfRule type="expression" priority="3340" stopIfTrue="1" id="{3D71F5B6-A90A-40D5-8067-B817CB52C695}">
            <xm:f>AND(IF(X290='F:\Users\norela.briceno\Documents\Plan de acción\Plan Accion 2018\[Plan Accion Integrado ADRES Vigencia 2018 con Cuadro de Mando V6..xlsx]Plan de Accion 2018'!#REF!,X290&lt;&gt;"N/A"))</xm:f>
            <x14:dxf>
              <fill>
                <patternFill>
                  <bgColor rgb="FF00B050"/>
                </patternFill>
              </fill>
            </x14:dxf>
          </x14:cfRule>
          <x14:cfRule type="expression" priority="3341" stopIfTrue="1" id="{0955513B-721B-4559-8403-5E337F082FC2}">
            <xm:f>AND(IF(X290&lt;'F:\Users\norela.briceno\Documents\Plan de acción\Plan Accion 2018\[Plan Accion Integrado ADRES Vigencia 2018 con Cuadro de Mando V6..xlsx]Plan de Accion 2018'!#REF!,X290&lt;&gt;"N/A"))</xm:f>
            <x14:dxf>
              <fill>
                <patternFill>
                  <bgColor indexed="10"/>
                </patternFill>
              </fill>
            </x14:dxf>
          </x14:cfRule>
          <xm:sqref>X290</xm:sqref>
        </x14:conditionalFormatting>
        <x14:conditionalFormatting xmlns:xm="http://schemas.microsoft.com/office/excel/2006/main">
          <x14:cfRule type="expression" priority="3336" id="{61CD7194-2564-400B-9057-7616294CD2CD}">
            <xm:f>AND(IF(X291&gt;'F:\Users\norela.briceno\Documents\Plan de acción\Plan Accion 2018\[Plan Accion Integrado ADRES Vigencia 2018 con Cuadro de Mando V6..xlsx]Plan de Accion 2018'!#REF!,X291&lt;&gt;¨N/A¨))</xm:f>
            <x14:dxf>
              <fill>
                <patternFill>
                  <bgColor theme="1" tint="0.499984740745262"/>
                </patternFill>
              </fill>
            </x14:dxf>
          </x14:cfRule>
          <x14:cfRule type="expression" priority="3337" stopIfTrue="1" id="{095B12AD-87C8-4EC2-A693-F1A1E1A6BC52}">
            <xm:f>AND(IF(X291='F:\Users\norela.briceno\Documents\Plan de acción\Plan Accion 2018\[Plan Accion Integrado ADRES Vigencia 2018 con Cuadro de Mando V6..xlsx]Plan de Accion 2018'!#REF!,X291&lt;&gt;"N/A"))</xm:f>
            <x14:dxf>
              <fill>
                <patternFill>
                  <bgColor rgb="FF00B050"/>
                </patternFill>
              </fill>
            </x14:dxf>
          </x14:cfRule>
          <x14:cfRule type="expression" priority="3338" stopIfTrue="1" id="{4744AEC1-95E5-4186-91F1-897B2E9A6308}">
            <xm:f>AND(IF(X291&lt;'F:\Users\norela.briceno\Documents\Plan de acción\Plan Accion 2018\[Plan Accion Integrado ADRES Vigencia 2018 con Cuadro de Mando V6..xlsx]Plan de Accion 2018'!#REF!,X291&lt;&gt;"N/A"))</xm:f>
            <x14:dxf>
              <fill>
                <patternFill>
                  <bgColor indexed="10"/>
                </patternFill>
              </fill>
            </x14:dxf>
          </x14:cfRule>
          <xm:sqref>X291</xm:sqref>
        </x14:conditionalFormatting>
        <x14:conditionalFormatting xmlns:xm="http://schemas.microsoft.com/office/excel/2006/main">
          <x14:cfRule type="expression" priority="3333" id="{6E71DE50-BD7D-45E0-8994-47E46E72E8CE}">
            <xm:f>AND(IF(X293&gt;'F:\Users\norela.briceno\Documents\Plan de acción\Plan Accion 2018\[Plan Accion Integrado ADRES Vigencia 2018 con Cuadro de Mando V6..xlsx]Plan de Accion 2018'!#REF!,X293&lt;&gt;¨N/A¨))</xm:f>
            <x14:dxf>
              <fill>
                <patternFill>
                  <bgColor theme="1" tint="0.499984740745262"/>
                </patternFill>
              </fill>
            </x14:dxf>
          </x14:cfRule>
          <x14:cfRule type="expression" priority="3334" stopIfTrue="1" id="{8A6DFDEA-8F43-4154-80B0-25A3C6957BB6}">
            <xm:f>AND(IF(X293='F:\Users\norela.briceno\Documents\Plan de acción\Plan Accion 2018\[Plan Accion Integrado ADRES Vigencia 2018 con Cuadro de Mando V6..xlsx]Plan de Accion 2018'!#REF!,X293&lt;&gt;"N/A"))</xm:f>
            <x14:dxf>
              <fill>
                <patternFill>
                  <bgColor rgb="FF00B050"/>
                </patternFill>
              </fill>
            </x14:dxf>
          </x14:cfRule>
          <x14:cfRule type="expression" priority="3335" stopIfTrue="1" id="{C97E9B85-CFE3-4BE5-B4EF-11102E0ECE52}">
            <xm:f>AND(IF(X293&lt;'F:\Users\norela.briceno\Documents\Plan de acción\Plan Accion 2018\[Plan Accion Integrado ADRES Vigencia 2018 con Cuadro de Mando V6..xlsx]Plan de Accion 2018'!#REF!,X293&lt;&gt;"N/A"))</xm:f>
            <x14:dxf>
              <fill>
                <patternFill>
                  <bgColor indexed="10"/>
                </patternFill>
              </fill>
            </x14:dxf>
          </x14:cfRule>
          <xm:sqref>X293</xm:sqref>
        </x14:conditionalFormatting>
        <x14:conditionalFormatting xmlns:xm="http://schemas.microsoft.com/office/excel/2006/main">
          <x14:cfRule type="expression" priority="3330" id="{0C039764-8263-4789-8DFC-37A423A970C8}">
            <xm:f>AND(IF(X294&gt;'F:\Users\norela.briceno\Documents\Plan de acción\Plan Accion 2018\[Plan Accion Integrado ADRES Vigencia 2018 con Cuadro de Mando V6..xlsx]Plan de Accion 2018'!#REF!,X294&lt;&gt;¨N/A¨))</xm:f>
            <x14:dxf>
              <fill>
                <patternFill>
                  <bgColor theme="1" tint="0.499984740745262"/>
                </patternFill>
              </fill>
            </x14:dxf>
          </x14:cfRule>
          <x14:cfRule type="expression" priority="3331" stopIfTrue="1" id="{18158B36-1CF4-48DE-AC09-01E20316B329}">
            <xm:f>AND(IF(X294='F:\Users\norela.briceno\Documents\Plan de acción\Plan Accion 2018\[Plan Accion Integrado ADRES Vigencia 2018 con Cuadro de Mando V6..xlsx]Plan de Accion 2018'!#REF!,X294&lt;&gt;"N/A"))</xm:f>
            <x14:dxf>
              <fill>
                <patternFill>
                  <bgColor rgb="FF00B050"/>
                </patternFill>
              </fill>
            </x14:dxf>
          </x14:cfRule>
          <x14:cfRule type="expression" priority="3332" stopIfTrue="1" id="{B3715C8C-A803-476A-97A7-60884E4CE441}">
            <xm:f>AND(IF(X294&lt;'F:\Users\norela.briceno\Documents\Plan de acción\Plan Accion 2018\[Plan Accion Integrado ADRES Vigencia 2018 con Cuadro de Mando V6..xlsx]Plan de Accion 2018'!#REF!,X294&lt;&gt;"N/A"))</xm:f>
            <x14:dxf>
              <fill>
                <patternFill>
                  <bgColor indexed="10"/>
                </patternFill>
              </fill>
            </x14:dxf>
          </x14:cfRule>
          <xm:sqref>X294</xm:sqref>
        </x14:conditionalFormatting>
        <x14:conditionalFormatting xmlns:xm="http://schemas.microsoft.com/office/excel/2006/main">
          <x14:cfRule type="expression" priority="3327" id="{6177D855-B54F-4F27-BAFC-2EC784E98A32}">
            <xm:f>AND(IF(X295&gt;'F:\Users\norela.briceno\Documents\Plan de acción\Plan Accion 2018\[Plan Accion Integrado ADRES Vigencia 2018 con Cuadro de Mando V6..xlsx]Plan de Accion 2018'!#REF!,X295&lt;&gt;¨N/A¨))</xm:f>
            <x14:dxf>
              <fill>
                <patternFill>
                  <bgColor theme="1" tint="0.499984740745262"/>
                </patternFill>
              </fill>
            </x14:dxf>
          </x14:cfRule>
          <x14:cfRule type="expression" priority="3328" stopIfTrue="1" id="{678B81B7-6D34-4538-8E34-2CF4A9F50604}">
            <xm:f>AND(IF(X295='F:\Users\norela.briceno\Documents\Plan de acción\Plan Accion 2018\[Plan Accion Integrado ADRES Vigencia 2018 con Cuadro de Mando V6..xlsx]Plan de Accion 2018'!#REF!,X295&lt;&gt;"N/A"))</xm:f>
            <x14:dxf>
              <fill>
                <patternFill>
                  <bgColor rgb="FF00B050"/>
                </patternFill>
              </fill>
            </x14:dxf>
          </x14:cfRule>
          <x14:cfRule type="expression" priority="3329" stopIfTrue="1" id="{51DF5788-F1F5-407E-8F52-6CF5A7FBE2BE}">
            <xm:f>AND(IF(X295&lt;'F:\Users\norela.briceno\Documents\Plan de acción\Plan Accion 2018\[Plan Accion Integrado ADRES Vigencia 2018 con Cuadro de Mando V6..xlsx]Plan de Accion 2018'!#REF!,X295&lt;&gt;"N/A"))</xm:f>
            <x14:dxf>
              <fill>
                <patternFill>
                  <bgColor indexed="10"/>
                </patternFill>
              </fill>
            </x14:dxf>
          </x14:cfRule>
          <xm:sqref>X295</xm:sqref>
        </x14:conditionalFormatting>
        <x14:conditionalFormatting xmlns:xm="http://schemas.microsoft.com/office/excel/2006/main">
          <x14:cfRule type="expression" priority="3324" id="{0A256874-D9A4-4126-AD7D-AB9C0101DB7E}">
            <xm:f>AND(IF(X296&gt;'F:\Users\norela.briceno\Documents\Plan de acción\Plan Accion 2018\[Plan Accion Integrado ADRES Vigencia 2018 con Cuadro de Mando V6..xlsx]Plan de Accion 2018'!#REF!,X296&lt;&gt;¨N/A¨))</xm:f>
            <x14:dxf>
              <fill>
                <patternFill>
                  <bgColor theme="1" tint="0.499984740745262"/>
                </patternFill>
              </fill>
            </x14:dxf>
          </x14:cfRule>
          <x14:cfRule type="expression" priority="3325" stopIfTrue="1" id="{64613C2F-8968-406C-AE6C-AB5BF5E39D2C}">
            <xm:f>AND(IF(X296='F:\Users\norela.briceno\Documents\Plan de acción\Plan Accion 2018\[Plan Accion Integrado ADRES Vigencia 2018 con Cuadro de Mando V6..xlsx]Plan de Accion 2018'!#REF!,X296&lt;&gt;"N/A"))</xm:f>
            <x14:dxf>
              <fill>
                <patternFill>
                  <bgColor rgb="FF00B050"/>
                </patternFill>
              </fill>
            </x14:dxf>
          </x14:cfRule>
          <x14:cfRule type="expression" priority="3326" stopIfTrue="1" id="{DC8DDF1C-0E10-4445-A6B1-D069A0C11DFA}">
            <xm:f>AND(IF(X296&lt;'F:\Users\norela.briceno\Documents\Plan de acción\Plan Accion 2018\[Plan Accion Integrado ADRES Vigencia 2018 con Cuadro de Mando V6..xlsx]Plan de Accion 2018'!#REF!,X296&lt;&gt;"N/A"))</xm:f>
            <x14:dxf>
              <fill>
                <patternFill>
                  <bgColor indexed="10"/>
                </patternFill>
              </fill>
            </x14:dxf>
          </x14:cfRule>
          <xm:sqref>X296</xm:sqref>
        </x14:conditionalFormatting>
        <x14:conditionalFormatting xmlns:xm="http://schemas.microsoft.com/office/excel/2006/main">
          <x14:cfRule type="expression" priority="3321" id="{427BB471-8E18-4409-87B5-8B1AE29B7ED5}">
            <xm:f>AND(IF(X297&gt;'F:\Users\norela.briceno\Documents\Plan de acción\Plan Accion 2018\[Plan Accion Integrado ADRES Vigencia 2018 con Cuadro de Mando V6..xlsx]Plan de Accion 2018'!#REF!,X297&lt;&gt;¨N/A¨))</xm:f>
            <x14:dxf>
              <fill>
                <patternFill>
                  <bgColor theme="1" tint="0.499984740745262"/>
                </patternFill>
              </fill>
            </x14:dxf>
          </x14:cfRule>
          <x14:cfRule type="expression" priority="3322" stopIfTrue="1" id="{6BD06694-1F36-459B-82B3-A76E54479137}">
            <xm:f>AND(IF(X297='F:\Users\norela.briceno\Documents\Plan de acción\Plan Accion 2018\[Plan Accion Integrado ADRES Vigencia 2018 con Cuadro de Mando V6..xlsx]Plan de Accion 2018'!#REF!,X297&lt;&gt;"N/A"))</xm:f>
            <x14:dxf>
              <fill>
                <patternFill>
                  <bgColor rgb="FF00B050"/>
                </patternFill>
              </fill>
            </x14:dxf>
          </x14:cfRule>
          <x14:cfRule type="expression" priority="3323" stopIfTrue="1" id="{F4EC68CC-796A-47FC-B9B2-123114BB1739}">
            <xm:f>AND(IF(X297&lt;'F:\Users\norela.briceno\Documents\Plan de acción\Plan Accion 2018\[Plan Accion Integrado ADRES Vigencia 2018 con Cuadro de Mando V6..xlsx]Plan de Accion 2018'!#REF!,X297&lt;&gt;"N/A"))</xm:f>
            <x14:dxf>
              <fill>
                <patternFill>
                  <bgColor indexed="10"/>
                </patternFill>
              </fill>
            </x14:dxf>
          </x14:cfRule>
          <xm:sqref>X297</xm:sqref>
        </x14:conditionalFormatting>
        <x14:conditionalFormatting xmlns:xm="http://schemas.microsoft.com/office/excel/2006/main">
          <x14:cfRule type="expression" priority="3318" id="{AB2A33AD-928B-4576-A8A9-D1D77992DDC3}">
            <xm:f>AND(IF(X298&gt;'F:\Users\norela.briceno\Documents\Plan de acción\Plan Accion 2018\[Plan Accion Integrado ADRES Vigencia 2018 con Cuadro de Mando V6..xlsx]Plan de Accion 2018'!#REF!,X298&lt;&gt;¨N/A¨))</xm:f>
            <x14:dxf>
              <fill>
                <patternFill>
                  <bgColor theme="1" tint="0.499984740745262"/>
                </patternFill>
              </fill>
            </x14:dxf>
          </x14:cfRule>
          <x14:cfRule type="expression" priority="3319" stopIfTrue="1" id="{EC33804B-662D-4D3B-9811-259CC76631F5}">
            <xm:f>AND(IF(X298='F:\Users\norela.briceno\Documents\Plan de acción\Plan Accion 2018\[Plan Accion Integrado ADRES Vigencia 2018 con Cuadro de Mando V6..xlsx]Plan de Accion 2018'!#REF!,X298&lt;&gt;"N/A"))</xm:f>
            <x14:dxf>
              <fill>
                <patternFill>
                  <bgColor rgb="FF00B050"/>
                </patternFill>
              </fill>
            </x14:dxf>
          </x14:cfRule>
          <x14:cfRule type="expression" priority="3320" stopIfTrue="1" id="{922FCFF6-43CF-404C-B555-06B7C490CE8F}">
            <xm:f>AND(IF(X298&lt;'F:\Users\norela.briceno\Documents\Plan de acción\Plan Accion 2018\[Plan Accion Integrado ADRES Vigencia 2018 con Cuadro de Mando V6..xlsx]Plan de Accion 2018'!#REF!,X298&lt;&gt;"N/A"))</xm:f>
            <x14:dxf>
              <fill>
                <patternFill>
                  <bgColor indexed="10"/>
                </patternFill>
              </fill>
            </x14:dxf>
          </x14:cfRule>
          <xm:sqref>X298</xm:sqref>
        </x14:conditionalFormatting>
        <x14:conditionalFormatting xmlns:xm="http://schemas.microsoft.com/office/excel/2006/main">
          <x14:cfRule type="expression" priority="3315" id="{1B3C8E23-4F86-480D-BC2A-C455B2DC2EED}">
            <xm:f>AND(IF(X299&gt;'F:\Users\norela.briceno\Documents\Plan de acción\Plan Accion 2018\[Plan Accion Integrado ADRES Vigencia 2018 con Cuadro de Mando V6..xlsx]Plan de Accion 2018'!#REF!,X299&lt;&gt;¨N/A¨))</xm:f>
            <x14:dxf>
              <fill>
                <patternFill>
                  <bgColor theme="1" tint="0.499984740745262"/>
                </patternFill>
              </fill>
            </x14:dxf>
          </x14:cfRule>
          <x14:cfRule type="expression" priority="3316" stopIfTrue="1" id="{A66A9588-1F43-4819-AE92-BAED848344A2}">
            <xm:f>AND(IF(X299='F:\Users\norela.briceno\Documents\Plan de acción\Plan Accion 2018\[Plan Accion Integrado ADRES Vigencia 2018 con Cuadro de Mando V6..xlsx]Plan de Accion 2018'!#REF!,X299&lt;&gt;"N/A"))</xm:f>
            <x14:dxf>
              <fill>
                <patternFill>
                  <bgColor rgb="FF00B050"/>
                </patternFill>
              </fill>
            </x14:dxf>
          </x14:cfRule>
          <x14:cfRule type="expression" priority="3317" stopIfTrue="1" id="{38D1E117-5365-4294-AAEE-9CA29BCE779E}">
            <xm:f>AND(IF(X299&lt;'F:\Users\norela.briceno\Documents\Plan de acción\Plan Accion 2018\[Plan Accion Integrado ADRES Vigencia 2018 con Cuadro de Mando V6..xlsx]Plan de Accion 2018'!#REF!,X299&lt;&gt;"N/A"))</xm:f>
            <x14:dxf>
              <fill>
                <patternFill>
                  <bgColor indexed="10"/>
                </patternFill>
              </fill>
            </x14:dxf>
          </x14:cfRule>
          <xm:sqref>X299</xm:sqref>
        </x14:conditionalFormatting>
        <x14:conditionalFormatting xmlns:xm="http://schemas.microsoft.com/office/excel/2006/main">
          <x14:cfRule type="expression" priority="3312" id="{38976A6A-E5E3-41F4-8EB1-3FEC5DB106BF}">
            <xm:f>AND(IF(X300&gt;'F:\Users\norela.briceno\Documents\Plan de acción\Plan Accion 2018\[Plan Accion Integrado ADRES Vigencia 2018 con Cuadro de Mando V6..xlsx]Plan de Accion 2018'!#REF!,X300&lt;&gt;¨N/A¨))</xm:f>
            <x14:dxf>
              <fill>
                <patternFill>
                  <bgColor theme="1" tint="0.499984740745262"/>
                </patternFill>
              </fill>
            </x14:dxf>
          </x14:cfRule>
          <x14:cfRule type="expression" priority="3313" stopIfTrue="1" id="{661755C9-DE22-4721-BC55-A16C11339854}">
            <xm:f>AND(IF(X300='F:\Users\norela.briceno\Documents\Plan de acción\Plan Accion 2018\[Plan Accion Integrado ADRES Vigencia 2018 con Cuadro de Mando V6..xlsx]Plan de Accion 2018'!#REF!,X300&lt;&gt;"N/A"))</xm:f>
            <x14:dxf>
              <fill>
                <patternFill>
                  <bgColor rgb="FF00B050"/>
                </patternFill>
              </fill>
            </x14:dxf>
          </x14:cfRule>
          <x14:cfRule type="expression" priority="3314" stopIfTrue="1" id="{914A13E9-35EF-44BD-A4D9-01E9AAB6CC65}">
            <xm:f>AND(IF(X300&lt;'F:\Users\norela.briceno\Documents\Plan de acción\Plan Accion 2018\[Plan Accion Integrado ADRES Vigencia 2018 con Cuadro de Mando V6..xlsx]Plan de Accion 2018'!#REF!,X300&lt;&gt;"N/A"))</xm:f>
            <x14:dxf>
              <fill>
                <patternFill>
                  <bgColor indexed="10"/>
                </patternFill>
              </fill>
            </x14:dxf>
          </x14:cfRule>
          <xm:sqref>X300</xm:sqref>
        </x14:conditionalFormatting>
        <x14:conditionalFormatting xmlns:xm="http://schemas.microsoft.com/office/excel/2006/main">
          <x14:cfRule type="expression" priority="3309" id="{1BD499C0-39A9-4431-82F4-7FE212F65A03}">
            <xm:f>AND(IF(X301&gt;'F:\Users\norela.briceno\Documents\Plan de acción\Plan Accion 2018\[Plan Accion Integrado ADRES Vigencia 2018 con Cuadro de Mando V6..xlsx]Plan de Accion 2018'!#REF!,X301&lt;&gt;¨N/A¨))</xm:f>
            <x14:dxf>
              <fill>
                <patternFill>
                  <bgColor theme="1" tint="0.499984740745262"/>
                </patternFill>
              </fill>
            </x14:dxf>
          </x14:cfRule>
          <x14:cfRule type="expression" priority="3310" stopIfTrue="1" id="{52B88682-07B6-4C3F-AC00-30B9DE96AA8E}">
            <xm:f>AND(IF(X301='F:\Users\norela.briceno\Documents\Plan de acción\Plan Accion 2018\[Plan Accion Integrado ADRES Vigencia 2018 con Cuadro de Mando V6..xlsx]Plan de Accion 2018'!#REF!,X301&lt;&gt;"N/A"))</xm:f>
            <x14:dxf>
              <fill>
                <patternFill>
                  <bgColor rgb="FF00B050"/>
                </patternFill>
              </fill>
            </x14:dxf>
          </x14:cfRule>
          <x14:cfRule type="expression" priority="3311" stopIfTrue="1" id="{7E21B14F-F19C-4A95-9046-0B6B0F9ABD49}">
            <xm:f>AND(IF(X301&lt;'F:\Users\norela.briceno\Documents\Plan de acción\Plan Accion 2018\[Plan Accion Integrado ADRES Vigencia 2018 con Cuadro de Mando V6..xlsx]Plan de Accion 2018'!#REF!,X301&lt;&gt;"N/A"))</xm:f>
            <x14:dxf>
              <fill>
                <patternFill>
                  <bgColor indexed="10"/>
                </patternFill>
              </fill>
            </x14:dxf>
          </x14:cfRule>
          <xm:sqref>X301</xm:sqref>
        </x14:conditionalFormatting>
        <x14:conditionalFormatting xmlns:xm="http://schemas.microsoft.com/office/excel/2006/main">
          <x14:cfRule type="expression" priority="3306" id="{5E477155-2263-4B50-BF36-FA71103771A1}">
            <xm:f>AND(IF(X302&gt;'F:\Users\norela.briceno\Documents\Plan de acción\Plan Accion 2018\[Plan Accion Integrado ADRES Vigencia 2018 con Cuadro de Mando V6..xlsx]Plan de Accion 2018'!#REF!,X302&lt;&gt;¨N/A¨))</xm:f>
            <x14:dxf>
              <fill>
                <patternFill>
                  <bgColor theme="1" tint="0.499984740745262"/>
                </patternFill>
              </fill>
            </x14:dxf>
          </x14:cfRule>
          <x14:cfRule type="expression" priority="3307" stopIfTrue="1" id="{EAC27F0E-E58F-4BF8-92F3-202D15D8786A}">
            <xm:f>AND(IF(X302='F:\Users\norela.briceno\Documents\Plan de acción\Plan Accion 2018\[Plan Accion Integrado ADRES Vigencia 2018 con Cuadro de Mando V6..xlsx]Plan de Accion 2018'!#REF!,X302&lt;&gt;"N/A"))</xm:f>
            <x14:dxf>
              <fill>
                <patternFill>
                  <bgColor rgb="FF00B050"/>
                </patternFill>
              </fill>
            </x14:dxf>
          </x14:cfRule>
          <x14:cfRule type="expression" priority="3308" stopIfTrue="1" id="{F65C85FC-E025-43D4-9570-4A76FFE81ABB}">
            <xm:f>AND(IF(X302&lt;'F:\Users\norela.briceno\Documents\Plan de acción\Plan Accion 2018\[Plan Accion Integrado ADRES Vigencia 2018 con Cuadro de Mando V6..xlsx]Plan de Accion 2018'!#REF!,X302&lt;&gt;"N/A"))</xm:f>
            <x14:dxf>
              <fill>
                <patternFill>
                  <bgColor indexed="10"/>
                </patternFill>
              </fill>
            </x14:dxf>
          </x14:cfRule>
          <xm:sqref>X302</xm:sqref>
        </x14:conditionalFormatting>
        <x14:conditionalFormatting xmlns:xm="http://schemas.microsoft.com/office/excel/2006/main">
          <x14:cfRule type="expression" priority="3303" id="{A817BF57-BD5A-42C5-9BC5-36700D6DC781}">
            <xm:f>AND(IF(X303&gt;'F:\Users\norela.briceno\Documents\Plan de acción\Plan Accion 2018\[Plan Accion Integrado ADRES Vigencia 2018 con Cuadro de Mando V6..xlsx]Plan de Accion 2018'!#REF!,X303&lt;&gt;¨N/A¨))</xm:f>
            <x14:dxf>
              <fill>
                <patternFill>
                  <bgColor theme="1" tint="0.499984740745262"/>
                </patternFill>
              </fill>
            </x14:dxf>
          </x14:cfRule>
          <x14:cfRule type="expression" priority="3304" stopIfTrue="1" id="{16710965-3D8E-4CBC-B13D-5048FDE833FD}">
            <xm:f>AND(IF(X303='F:\Users\norela.briceno\Documents\Plan de acción\Plan Accion 2018\[Plan Accion Integrado ADRES Vigencia 2018 con Cuadro de Mando V6..xlsx]Plan de Accion 2018'!#REF!,X303&lt;&gt;"N/A"))</xm:f>
            <x14:dxf>
              <fill>
                <patternFill>
                  <bgColor rgb="FF00B050"/>
                </patternFill>
              </fill>
            </x14:dxf>
          </x14:cfRule>
          <x14:cfRule type="expression" priority="3305" stopIfTrue="1" id="{B7A89F77-8363-43E2-858B-7F00394B4C69}">
            <xm:f>AND(IF(X303&lt;'F:\Users\norela.briceno\Documents\Plan de acción\Plan Accion 2018\[Plan Accion Integrado ADRES Vigencia 2018 con Cuadro de Mando V6..xlsx]Plan de Accion 2018'!#REF!,X303&lt;&gt;"N/A"))</xm:f>
            <x14:dxf>
              <fill>
                <patternFill>
                  <bgColor indexed="10"/>
                </patternFill>
              </fill>
            </x14:dxf>
          </x14:cfRule>
          <xm:sqref>X303</xm:sqref>
        </x14:conditionalFormatting>
        <x14:conditionalFormatting xmlns:xm="http://schemas.microsoft.com/office/excel/2006/main">
          <x14:cfRule type="expression" priority="3300" id="{812E80E6-24C5-4400-8F86-C10F9BEE39C1}">
            <xm:f>AND(IF(X304&gt;'F:\Users\norela.briceno\Documents\Plan de acción\Plan Accion 2018\[Plan Accion Integrado ADRES Vigencia 2018 con Cuadro de Mando V6..xlsx]Plan de Accion 2018'!#REF!,X304&lt;&gt;¨N/A¨))</xm:f>
            <x14:dxf>
              <fill>
                <patternFill>
                  <bgColor theme="1" tint="0.499984740745262"/>
                </patternFill>
              </fill>
            </x14:dxf>
          </x14:cfRule>
          <x14:cfRule type="expression" priority="3301" stopIfTrue="1" id="{9CE03A97-7DA2-4E66-B215-73C6FA3603E4}">
            <xm:f>AND(IF(X304='F:\Users\norela.briceno\Documents\Plan de acción\Plan Accion 2018\[Plan Accion Integrado ADRES Vigencia 2018 con Cuadro de Mando V6..xlsx]Plan de Accion 2018'!#REF!,X304&lt;&gt;"N/A"))</xm:f>
            <x14:dxf>
              <fill>
                <patternFill>
                  <bgColor rgb="FF00B050"/>
                </patternFill>
              </fill>
            </x14:dxf>
          </x14:cfRule>
          <x14:cfRule type="expression" priority="3302" stopIfTrue="1" id="{2CE497A0-450E-475F-851C-CAAE0670FE4A}">
            <xm:f>AND(IF(X304&lt;'F:\Users\norela.briceno\Documents\Plan de acción\Plan Accion 2018\[Plan Accion Integrado ADRES Vigencia 2018 con Cuadro de Mando V6..xlsx]Plan de Accion 2018'!#REF!,X304&lt;&gt;"N/A"))</xm:f>
            <x14:dxf>
              <fill>
                <patternFill>
                  <bgColor indexed="10"/>
                </patternFill>
              </fill>
            </x14:dxf>
          </x14:cfRule>
          <xm:sqref>X304</xm:sqref>
        </x14:conditionalFormatting>
        <x14:conditionalFormatting xmlns:xm="http://schemas.microsoft.com/office/excel/2006/main">
          <x14:cfRule type="expression" priority="3297" id="{E98D696D-87A9-4FF9-95CC-A2D715739685}">
            <xm:f>AND(IF(X305&gt;'F:\Users\norela.briceno\Documents\Plan de acción\Plan Accion 2018\[Plan Accion Integrado ADRES Vigencia 2018 con Cuadro de Mando V6..xlsx]Plan de Accion 2018'!#REF!,X305&lt;&gt;¨N/A¨))</xm:f>
            <x14:dxf>
              <fill>
                <patternFill>
                  <bgColor theme="1" tint="0.499984740745262"/>
                </patternFill>
              </fill>
            </x14:dxf>
          </x14:cfRule>
          <x14:cfRule type="expression" priority="3298" stopIfTrue="1" id="{EDC31330-6E1D-49E9-AE18-AF07AAB25462}">
            <xm:f>AND(IF(X305='F:\Users\norela.briceno\Documents\Plan de acción\Plan Accion 2018\[Plan Accion Integrado ADRES Vigencia 2018 con Cuadro de Mando V6..xlsx]Plan de Accion 2018'!#REF!,X305&lt;&gt;"N/A"))</xm:f>
            <x14:dxf>
              <fill>
                <patternFill>
                  <bgColor rgb="FF00B050"/>
                </patternFill>
              </fill>
            </x14:dxf>
          </x14:cfRule>
          <x14:cfRule type="expression" priority="3299" stopIfTrue="1" id="{EB211209-EA16-4697-9766-BB40F3292BE3}">
            <xm:f>AND(IF(X305&lt;'F:\Users\norela.briceno\Documents\Plan de acción\Plan Accion 2018\[Plan Accion Integrado ADRES Vigencia 2018 con Cuadro de Mando V6..xlsx]Plan de Accion 2018'!#REF!,X305&lt;&gt;"N/A"))</xm:f>
            <x14:dxf>
              <fill>
                <patternFill>
                  <bgColor indexed="10"/>
                </patternFill>
              </fill>
            </x14:dxf>
          </x14:cfRule>
          <xm:sqref>X305</xm:sqref>
        </x14:conditionalFormatting>
        <x14:conditionalFormatting xmlns:xm="http://schemas.microsoft.com/office/excel/2006/main">
          <x14:cfRule type="expression" priority="3294" id="{0DFFCCB2-C919-4185-9C1B-A2CC9828282D}">
            <xm:f>AND(IF(X306&gt;'F:\Users\norela.briceno\Documents\Plan de acción\Plan Accion 2018\[Plan Accion Integrado ADRES Vigencia 2018 con Cuadro de Mando V6..xlsx]Plan de Accion 2018'!#REF!,X306&lt;&gt;¨N/A¨))</xm:f>
            <x14:dxf>
              <fill>
                <patternFill>
                  <bgColor theme="1" tint="0.499984740745262"/>
                </patternFill>
              </fill>
            </x14:dxf>
          </x14:cfRule>
          <x14:cfRule type="expression" priority="3295" stopIfTrue="1" id="{B10729DF-5FCC-4F81-8D2B-FC801090D498}">
            <xm:f>AND(IF(X306='F:\Users\norela.briceno\Documents\Plan de acción\Plan Accion 2018\[Plan Accion Integrado ADRES Vigencia 2018 con Cuadro de Mando V6..xlsx]Plan de Accion 2018'!#REF!,X306&lt;&gt;"N/A"))</xm:f>
            <x14:dxf>
              <fill>
                <patternFill>
                  <bgColor rgb="FF00B050"/>
                </patternFill>
              </fill>
            </x14:dxf>
          </x14:cfRule>
          <x14:cfRule type="expression" priority="3296" stopIfTrue="1" id="{D39A42B5-872A-4DC6-8E43-FA2CCEBF7867}">
            <xm:f>AND(IF(X306&lt;'F:\Users\norela.briceno\Documents\Plan de acción\Plan Accion 2018\[Plan Accion Integrado ADRES Vigencia 2018 con Cuadro de Mando V6..xlsx]Plan de Accion 2018'!#REF!,X306&lt;&gt;"N/A"))</xm:f>
            <x14:dxf>
              <fill>
                <patternFill>
                  <bgColor indexed="10"/>
                </patternFill>
              </fill>
            </x14:dxf>
          </x14:cfRule>
          <xm:sqref>X306</xm:sqref>
        </x14:conditionalFormatting>
        <x14:conditionalFormatting xmlns:xm="http://schemas.microsoft.com/office/excel/2006/main">
          <x14:cfRule type="expression" priority="3291" id="{1C1C7FD3-EFBC-47D0-AD6F-18B606125A47}">
            <xm:f>AND(IF(X307&gt;'F:\Users\norela.briceno\Documents\Plan de acción\Plan Accion 2018\[Plan Accion Integrado ADRES Vigencia 2018 con Cuadro de Mando V6..xlsx]Plan de Accion 2018'!#REF!,X307&lt;&gt;¨N/A¨))</xm:f>
            <x14:dxf>
              <fill>
                <patternFill>
                  <bgColor theme="1" tint="0.499984740745262"/>
                </patternFill>
              </fill>
            </x14:dxf>
          </x14:cfRule>
          <x14:cfRule type="expression" priority="3292" stopIfTrue="1" id="{2BD30257-47E2-4F8D-8CEE-CF339D2E30A1}">
            <xm:f>AND(IF(X307='F:\Users\norela.briceno\Documents\Plan de acción\Plan Accion 2018\[Plan Accion Integrado ADRES Vigencia 2018 con Cuadro de Mando V6..xlsx]Plan de Accion 2018'!#REF!,X307&lt;&gt;"N/A"))</xm:f>
            <x14:dxf>
              <fill>
                <patternFill>
                  <bgColor rgb="FF00B050"/>
                </patternFill>
              </fill>
            </x14:dxf>
          </x14:cfRule>
          <x14:cfRule type="expression" priority="3293" stopIfTrue="1" id="{94E647F0-8F5B-4D09-A83A-586ECC67F5E1}">
            <xm:f>AND(IF(X307&lt;'F:\Users\norela.briceno\Documents\Plan de acción\Plan Accion 2018\[Plan Accion Integrado ADRES Vigencia 2018 con Cuadro de Mando V6..xlsx]Plan de Accion 2018'!#REF!,X307&lt;&gt;"N/A"))</xm:f>
            <x14:dxf>
              <fill>
                <patternFill>
                  <bgColor indexed="10"/>
                </patternFill>
              </fill>
            </x14:dxf>
          </x14:cfRule>
          <xm:sqref>X307</xm:sqref>
        </x14:conditionalFormatting>
        <x14:conditionalFormatting xmlns:xm="http://schemas.microsoft.com/office/excel/2006/main">
          <x14:cfRule type="expression" priority="3288" id="{F70F0F38-FC5D-477E-8956-69BFA79D4DFD}">
            <xm:f>AND(IF(X308&gt;'F:\Users\norela.briceno\Documents\Plan de acción\Plan Accion 2018\[Plan Accion Integrado ADRES Vigencia 2018 con Cuadro de Mando V6..xlsx]Plan de Accion 2018'!#REF!,X308&lt;&gt;¨N/A¨))</xm:f>
            <x14:dxf>
              <fill>
                <patternFill>
                  <bgColor theme="1" tint="0.499984740745262"/>
                </patternFill>
              </fill>
            </x14:dxf>
          </x14:cfRule>
          <x14:cfRule type="expression" priority="3289" stopIfTrue="1" id="{A7853F64-932E-4E6E-B874-65BD744C36D0}">
            <xm:f>AND(IF(X308='F:\Users\norela.briceno\Documents\Plan de acción\Plan Accion 2018\[Plan Accion Integrado ADRES Vigencia 2018 con Cuadro de Mando V6..xlsx]Plan de Accion 2018'!#REF!,X308&lt;&gt;"N/A"))</xm:f>
            <x14:dxf>
              <fill>
                <patternFill>
                  <bgColor rgb="FF00B050"/>
                </patternFill>
              </fill>
            </x14:dxf>
          </x14:cfRule>
          <x14:cfRule type="expression" priority="3290" stopIfTrue="1" id="{66C69939-48E8-4076-936B-F5BD2855232D}">
            <xm:f>AND(IF(X308&lt;'F:\Users\norela.briceno\Documents\Plan de acción\Plan Accion 2018\[Plan Accion Integrado ADRES Vigencia 2018 con Cuadro de Mando V6..xlsx]Plan de Accion 2018'!#REF!,X308&lt;&gt;"N/A"))</xm:f>
            <x14:dxf>
              <fill>
                <patternFill>
                  <bgColor indexed="10"/>
                </patternFill>
              </fill>
            </x14:dxf>
          </x14:cfRule>
          <xm:sqref>X308</xm:sqref>
        </x14:conditionalFormatting>
        <x14:conditionalFormatting xmlns:xm="http://schemas.microsoft.com/office/excel/2006/main">
          <x14:cfRule type="expression" priority="3285" id="{E5727483-F55D-4F37-88F4-6E3518AC47BC}">
            <xm:f>AND(IF(X309&gt;'F:\Users\norela.briceno\Documents\Plan de acción\Plan Accion 2018\[Plan Accion Integrado ADRES Vigencia 2018 con Cuadro de Mando V6..xlsx]Plan de Accion 2018'!#REF!,X309&lt;&gt;¨N/A¨))</xm:f>
            <x14:dxf>
              <fill>
                <patternFill>
                  <bgColor theme="1" tint="0.499984740745262"/>
                </patternFill>
              </fill>
            </x14:dxf>
          </x14:cfRule>
          <x14:cfRule type="expression" priority="3286" stopIfTrue="1" id="{7C0FF403-E5F0-4504-8066-BEAC4145F5D4}">
            <xm:f>AND(IF(X309='F:\Users\norela.briceno\Documents\Plan de acción\Plan Accion 2018\[Plan Accion Integrado ADRES Vigencia 2018 con Cuadro de Mando V6..xlsx]Plan de Accion 2018'!#REF!,X309&lt;&gt;"N/A"))</xm:f>
            <x14:dxf>
              <fill>
                <patternFill>
                  <bgColor rgb="FF00B050"/>
                </patternFill>
              </fill>
            </x14:dxf>
          </x14:cfRule>
          <x14:cfRule type="expression" priority="3287" stopIfTrue="1" id="{0984980F-0035-4A71-8420-59237E52955F}">
            <xm:f>AND(IF(X309&lt;'F:\Users\norela.briceno\Documents\Plan de acción\Plan Accion 2018\[Plan Accion Integrado ADRES Vigencia 2018 con Cuadro de Mando V6..xlsx]Plan de Accion 2018'!#REF!,X309&lt;&gt;"N/A"))</xm:f>
            <x14:dxf>
              <fill>
                <patternFill>
                  <bgColor indexed="10"/>
                </patternFill>
              </fill>
            </x14:dxf>
          </x14:cfRule>
          <xm:sqref>X309</xm:sqref>
        </x14:conditionalFormatting>
        <x14:conditionalFormatting xmlns:xm="http://schemas.microsoft.com/office/excel/2006/main">
          <x14:cfRule type="expression" priority="3282" id="{E20B0C65-3E71-4B79-B265-3A0C8BF3970E}">
            <xm:f>AND(IF(X310&gt;'F:\Users\norela.briceno\Documents\Plan de acción\Plan Accion 2018\[Plan Accion Integrado ADRES Vigencia 2018 con Cuadro de Mando V6..xlsx]Plan de Accion 2018'!#REF!,X310&lt;&gt;¨N/A¨))</xm:f>
            <x14:dxf>
              <fill>
                <patternFill>
                  <bgColor theme="1" tint="0.499984740745262"/>
                </patternFill>
              </fill>
            </x14:dxf>
          </x14:cfRule>
          <x14:cfRule type="expression" priority="3283" stopIfTrue="1" id="{0C48D5E8-5CCB-4CBD-8C9D-47EFCCB8AAEA}">
            <xm:f>AND(IF(X310='F:\Users\norela.briceno\Documents\Plan de acción\Plan Accion 2018\[Plan Accion Integrado ADRES Vigencia 2018 con Cuadro de Mando V6..xlsx]Plan de Accion 2018'!#REF!,X310&lt;&gt;"N/A"))</xm:f>
            <x14:dxf>
              <fill>
                <patternFill>
                  <bgColor rgb="FF00B050"/>
                </patternFill>
              </fill>
            </x14:dxf>
          </x14:cfRule>
          <x14:cfRule type="expression" priority="3284" stopIfTrue="1" id="{A995C821-8E23-422E-B493-D8D16B9CD9AC}">
            <xm:f>AND(IF(X310&lt;'F:\Users\norela.briceno\Documents\Plan de acción\Plan Accion 2018\[Plan Accion Integrado ADRES Vigencia 2018 con Cuadro de Mando V6..xlsx]Plan de Accion 2018'!#REF!,X310&lt;&gt;"N/A"))</xm:f>
            <x14:dxf>
              <fill>
                <patternFill>
                  <bgColor indexed="10"/>
                </patternFill>
              </fill>
            </x14:dxf>
          </x14:cfRule>
          <xm:sqref>X310</xm:sqref>
        </x14:conditionalFormatting>
        <x14:conditionalFormatting xmlns:xm="http://schemas.microsoft.com/office/excel/2006/main">
          <x14:cfRule type="expression" priority="3279" id="{D37E1BD4-01D5-4D94-A807-66DEF2848CBF}">
            <xm:f>AND(IF(X311&gt;'F:\Users\norela.briceno\Documents\Plan de acción\Plan Accion 2018\[Plan Accion Integrado ADRES Vigencia 2018 con Cuadro de Mando V6..xlsx]Plan de Accion 2018'!#REF!,X311&lt;&gt;¨N/A¨))</xm:f>
            <x14:dxf>
              <fill>
                <patternFill>
                  <bgColor theme="1" tint="0.499984740745262"/>
                </patternFill>
              </fill>
            </x14:dxf>
          </x14:cfRule>
          <x14:cfRule type="expression" priority="3280" stopIfTrue="1" id="{2C100F58-EDE7-4B02-88FF-2F62683A3EDF}">
            <xm:f>AND(IF(X311='F:\Users\norela.briceno\Documents\Plan de acción\Plan Accion 2018\[Plan Accion Integrado ADRES Vigencia 2018 con Cuadro de Mando V6..xlsx]Plan de Accion 2018'!#REF!,X311&lt;&gt;"N/A"))</xm:f>
            <x14:dxf>
              <fill>
                <patternFill>
                  <bgColor rgb="FF00B050"/>
                </patternFill>
              </fill>
            </x14:dxf>
          </x14:cfRule>
          <x14:cfRule type="expression" priority="3281" stopIfTrue="1" id="{78745610-F766-42AF-8CE5-A0FAE5104EDC}">
            <xm:f>AND(IF(X311&lt;'F:\Users\norela.briceno\Documents\Plan de acción\Plan Accion 2018\[Plan Accion Integrado ADRES Vigencia 2018 con Cuadro de Mando V6..xlsx]Plan de Accion 2018'!#REF!,X311&lt;&gt;"N/A"))</xm:f>
            <x14:dxf>
              <fill>
                <patternFill>
                  <bgColor indexed="10"/>
                </patternFill>
              </fill>
            </x14:dxf>
          </x14:cfRule>
          <xm:sqref>X311</xm:sqref>
        </x14:conditionalFormatting>
        <x14:conditionalFormatting xmlns:xm="http://schemas.microsoft.com/office/excel/2006/main">
          <x14:cfRule type="expression" priority="3276" id="{02D9C7A0-72F0-4F0F-A554-36DD777BE25F}">
            <xm:f>AND(IF(X312&gt;'F:\Users\norela.briceno\Documents\Plan de acción\Plan Accion 2018\[Plan Accion Integrado ADRES Vigencia 2018 con Cuadro de Mando V6..xlsx]Plan de Accion 2018'!#REF!,X312&lt;&gt;¨N/A¨))</xm:f>
            <x14:dxf>
              <fill>
                <patternFill>
                  <bgColor theme="1" tint="0.499984740745262"/>
                </patternFill>
              </fill>
            </x14:dxf>
          </x14:cfRule>
          <x14:cfRule type="expression" priority="3277" stopIfTrue="1" id="{46205728-17EE-49A7-9BBF-8C4BE9B9D021}">
            <xm:f>AND(IF(X312='F:\Users\norela.briceno\Documents\Plan de acción\Plan Accion 2018\[Plan Accion Integrado ADRES Vigencia 2018 con Cuadro de Mando V6..xlsx]Plan de Accion 2018'!#REF!,X312&lt;&gt;"N/A"))</xm:f>
            <x14:dxf>
              <fill>
                <patternFill>
                  <bgColor rgb="FF00B050"/>
                </patternFill>
              </fill>
            </x14:dxf>
          </x14:cfRule>
          <x14:cfRule type="expression" priority="3278" stopIfTrue="1" id="{5540FAD5-C4B9-4738-AB5D-FF684A83CB20}">
            <xm:f>AND(IF(X312&lt;'F:\Users\norela.briceno\Documents\Plan de acción\Plan Accion 2018\[Plan Accion Integrado ADRES Vigencia 2018 con Cuadro de Mando V6..xlsx]Plan de Accion 2018'!#REF!,X312&lt;&gt;"N/A"))</xm:f>
            <x14:dxf>
              <fill>
                <patternFill>
                  <bgColor indexed="10"/>
                </patternFill>
              </fill>
            </x14:dxf>
          </x14:cfRule>
          <xm:sqref>X312</xm:sqref>
        </x14:conditionalFormatting>
        <x14:conditionalFormatting xmlns:xm="http://schemas.microsoft.com/office/excel/2006/main">
          <x14:cfRule type="expression" priority="3273" id="{36C97954-5BA5-4A96-8EA6-D48C07D4E1FE}">
            <xm:f>AND(IF(X313&gt;'F:\Users\norela.briceno\Documents\Plan de acción\Plan Accion 2018\[Plan Accion Integrado ADRES Vigencia 2018 con Cuadro de Mando V6..xlsx]Plan de Accion 2018'!#REF!,X313&lt;&gt;¨N/A¨))</xm:f>
            <x14:dxf>
              <fill>
                <patternFill>
                  <bgColor theme="1" tint="0.499984740745262"/>
                </patternFill>
              </fill>
            </x14:dxf>
          </x14:cfRule>
          <x14:cfRule type="expression" priority="3274" stopIfTrue="1" id="{E0778120-CCCF-46B0-8B2A-E266B6B8B42B}">
            <xm:f>AND(IF(X313='F:\Users\norela.briceno\Documents\Plan de acción\Plan Accion 2018\[Plan Accion Integrado ADRES Vigencia 2018 con Cuadro de Mando V6..xlsx]Plan de Accion 2018'!#REF!,X313&lt;&gt;"N/A"))</xm:f>
            <x14:dxf>
              <fill>
                <patternFill>
                  <bgColor rgb="FF00B050"/>
                </patternFill>
              </fill>
            </x14:dxf>
          </x14:cfRule>
          <x14:cfRule type="expression" priority="3275" stopIfTrue="1" id="{C4F776E4-136D-4357-910A-2B89FAEB3408}">
            <xm:f>AND(IF(X313&lt;'F:\Users\norela.briceno\Documents\Plan de acción\Plan Accion 2018\[Plan Accion Integrado ADRES Vigencia 2018 con Cuadro de Mando V6..xlsx]Plan de Accion 2018'!#REF!,X313&lt;&gt;"N/A"))</xm:f>
            <x14:dxf>
              <fill>
                <patternFill>
                  <bgColor indexed="10"/>
                </patternFill>
              </fill>
            </x14:dxf>
          </x14:cfRule>
          <xm:sqref>X313</xm:sqref>
        </x14:conditionalFormatting>
        <x14:conditionalFormatting xmlns:xm="http://schemas.microsoft.com/office/excel/2006/main">
          <x14:cfRule type="expression" priority="3270" id="{E8D8289C-D9E1-4BB1-8F64-DA2C4E446183}">
            <xm:f>AND(IF(X314&gt;'F:\Users\norela.briceno\Documents\Plan de acción\Plan Accion 2018\[Plan Accion Integrado ADRES Vigencia 2018 con Cuadro de Mando V6..xlsx]Plan de Accion 2018'!#REF!,X314&lt;&gt;¨N/A¨))</xm:f>
            <x14:dxf>
              <fill>
                <patternFill>
                  <bgColor theme="1" tint="0.499984740745262"/>
                </patternFill>
              </fill>
            </x14:dxf>
          </x14:cfRule>
          <x14:cfRule type="expression" priority="3271" stopIfTrue="1" id="{C3A5D4B0-3259-4851-B868-B1FC0D516763}">
            <xm:f>AND(IF(X314='F:\Users\norela.briceno\Documents\Plan de acción\Plan Accion 2018\[Plan Accion Integrado ADRES Vigencia 2018 con Cuadro de Mando V6..xlsx]Plan de Accion 2018'!#REF!,X314&lt;&gt;"N/A"))</xm:f>
            <x14:dxf>
              <fill>
                <patternFill>
                  <bgColor rgb="FF00B050"/>
                </patternFill>
              </fill>
            </x14:dxf>
          </x14:cfRule>
          <x14:cfRule type="expression" priority="3272" stopIfTrue="1" id="{C5DB06C5-C75F-484A-95AF-3FED23344F4E}">
            <xm:f>AND(IF(X314&lt;'F:\Users\norela.briceno\Documents\Plan de acción\Plan Accion 2018\[Plan Accion Integrado ADRES Vigencia 2018 con Cuadro de Mando V6..xlsx]Plan de Accion 2018'!#REF!,X314&lt;&gt;"N/A"))</xm:f>
            <x14:dxf>
              <fill>
                <patternFill>
                  <bgColor indexed="10"/>
                </patternFill>
              </fill>
            </x14:dxf>
          </x14:cfRule>
          <xm:sqref>X314</xm:sqref>
        </x14:conditionalFormatting>
        <x14:conditionalFormatting xmlns:xm="http://schemas.microsoft.com/office/excel/2006/main">
          <x14:cfRule type="expression" priority="3267" id="{AB352DA8-474D-4CAA-8A06-ECD4D4A40590}">
            <xm:f>AND(IF(X315&gt;'F:\Users\norela.briceno\Documents\Plan de acción\Plan Accion 2018\[Plan Accion Integrado ADRES Vigencia 2018 con Cuadro de Mando V6..xlsx]Plan de Accion 2018'!#REF!,X315&lt;&gt;¨N/A¨))</xm:f>
            <x14:dxf>
              <fill>
                <patternFill>
                  <bgColor theme="1" tint="0.499984740745262"/>
                </patternFill>
              </fill>
            </x14:dxf>
          </x14:cfRule>
          <x14:cfRule type="expression" priority="3268" stopIfTrue="1" id="{7E8FABC9-0892-4C27-9DF7-8A505E02D411}">
            <xm:f>AND(IF(X315='F:\Users\norela.briceno\Documents\Plan de acción\Plan Accion 2018\[Plan Accion Integrado ADRES Vigencia 2018 con Cuadro de Mando V6..xlsx]Plan de Accion 2018'!#REF!,X315&lt;&gt;"N/A"))</xm:f>
            <x14:dxf>
              <fill>
                <patternFill>
                  <bgColor rgb="FF00B050"/>
                </patternFill>
              </fill>
            </x14:dxf>
          </x14:cfRule>
          <x14:cfRule type="expression" priority="3269" stopIfTrue="1" id="{1735530E-B5ED-4908-9EA6-37D9F3045649}">
            <xm:f>AND(IF(X315&lt;'F:\Users\norela.briceno\Documents\Plan de acción\Plan Accion 2018\[Plan Accion Integrado ADRES Vigencia 2018 con Cuadro de Mando V6..xlsx]Plan de Accion 2018'!#REF!,X315&lt;&gt;"N/A"))</xm:f>
            <x14:dxf>
              <fill>
                <patternFill>
                  <bgColor indexed="10"/>
                </patternFill>
              </fill>
            </x14:dxf>
          </x14:cfRule>
          <xm:sqref>X315</xm:sqref>
        </x14:conditionalFormatting>
        <x14:conditionalFormatting xmlns:xm="http://schemas.microsoft.com/office/excel/2006/main">
          <x14:cfRule type="expression" priority="3264" id="{B8299264-895C-47CA-A0E2-8088F4992B43}">
            <xm:f>AND(IF(X316&gt;'F:\Users\norela.briceno\Documents\Plan de acción\Plan Accion 2018\[Plan Accion Integrado ADRES Vigencia 2018 con Cuadro de Mando V6..xlsx]Plan de Accion 2018'!#REF!,X316&lt;&gt;¨N/A¨))</xm:f>
            <x14:dxf>
              <fill>
                <patternFill>
                  <bgColor theme="1" tint="0.499984740745262"/>
                </patternFill>
              </fill>
            </x14:dxf>
          </x14:cfRule>
          <x14:cfRule type="expression" priority="3265" stopIfTrue="1" id="{F7D13286-726E-488F-BD05-C45B13006A9D}">
            <xm:f>AND(IF(X316='F:\Users\norela.briceno\Documents\Plan de acción\Plan Accion 2018\[Plan Accion Integrado ADRES Vigencia 2018 con Cuadro de Mando V6..xlsx]Plan de Accion 2018'!#REF!,X316&lt;&gt;"N/A"))</xm:f>
            <x14:dxf>
              <fill>
                <patternFill>
                  <bgColor rgb="FF00B050"/>
                </patternFill>
              </fill>
            </x14:dxf>
          </x14:cfRule>
          <x14:cfRule type="expression" priority="3266" stopIfTrue="1" id="{81CD856F-97B7-4124-BD4A-A51B5F2B6805}">
            <xm:f>AND(IF(X316&lt;'F:\Users\norela.briceno\Documents\Plan de acción\Plan Accion 2018\[Plan Accion Integrado ADRES Vigencia 2018 con Cuadro de Mando V6..xlsx]Plan de Accion 2018'!#REF!,X316&lt;&gt;"N/A"))</xm:f>
            <x14:dxf>
              <fill>
                <patternFill>
                  <bgColor indexed="10"/>
                </patternFill>
              </fill>
            </x14:dxf>
          </x14:cfRule>
          <xm:sqref>X316</xm:sqref>
        </x14:conditionalFormatting>
        <x14:conditionalFormatting xmlns:xm="http://schemas.microsoft.com/office/excel/2006/main">
          <x14:cfRule type="expression" priority="3261" id="{46252144-DA96-4598-8EAA-6A96FDEF0401}">
            <xm:f>AND(IF(X317&gt;'F:\Users\norela.briceno\Documents\Plan de acción\Plan Accion 2018\[Plan Accion Integrado ADRES Vigencia 2018 con Cuadro de Mando V6..xlsx]Plan de Accion 2018'!#REF!,X317&lt;&gt;¨N/A¨))</xm:f>
            <x14:dxf>
              <fill>
                <patternFill>
                  <bgColor theme="1" tint="0.499984740745262"/>
                </patternFill>
              </fill>
            </x14:dxf>
          </x14:cfRule>
          <x14:cfRule type="expression" priority="3262" stopIfTrue="1" id="{0A4B8C28-21D0-42B3-ACDD-BB1FC6664A3F}">
            <xm:f>AND(IF(X317='F:\Users\norela.briceno\Documents\Plan de acción\Plan Accion 2018\[Plan Accion Integrado ADRES Vigencia 2018 con Cuadro de Mando V6..xlsx]Plan de Accion 2018'!#REF!,X317&lt;&gt;"N/A"))</xm:f>
            <x14:dxf>
              <fill>
                <patternFill>
                  <bgColor rgb="FF00B050"/>
                </patternFill>
              </fill>
            </x14:dxf>
          </x14:cfRule>
          <x14:cfRule type="expression" priority="3263" stopIfTrue="1" id="{5C3ECBDE-0D0A-43E4-993E-BB7E76649FBB}">
            <xm:f>AND(IF(X317&lt;'F:\Users\norela.briceno\Documents\Plan de acción\Plan Accion 2018\[Plan Accion Integrado ADRES Vigencia 2018 con Cuadro de Mando V6..xlsx]Plan de Accion 2018'!#REF!,X317&lt;&gt;"N/A"))</xm:f>
            <x14:dxf>
              <fill>
                <patternFill>
                  <bgColor indexed="10"/>
                </patternFill>
              </fill>
            </x14:dxf>
          </x14:cfRule>
          <xm:sqref>X317</xm:sqref>
        </x14:conditionalFormatting>
        <x14:conditionalFormatting xmlns:xm="http://schemas.microsoft.com/office/excel/2006/main">
          <x14:cfRule type="expression" priority="3258" id="{425FD442-475A-4AAB-A87B-995472AB1B69}">
            <xm:f>AND(IF(X318&gt;'F:\Users\norela.briceno\Documents\Plan de acción\Plan Accion 2018\[Plan Accion Integrado ADRES Vigencia 2018 con Cuadro de Mando V6..xlsx]Plan de Accion 2018'!#REF!,X318&lt;&gt;¨N/A¨))</xm:f>
            <x14:dxf>
              <fill>
                <patternFill>
                  <bgColor theme="1" tint="0.499984740745262"/>
                </patternFill>
              </fill>
            </x14:dxf>
          </x14:cfRule>
          <x14:cfRule type="expression" priority="3259" stopIfTrue="1" id="{98DE36A3-EDD8-4791-8CD0-11C75EFCDC8C}">
            <xm:f>AND(IF(X318='F:\Users\norela.briceno\Documents\Plan de acción\Plan Accion 2018\[Plan Accion Integrado ADRES Vigencia 2018 con Cuadro de Mando V6..xlsx]Plan de Accion 2018'!#REF!,X318&lt;&gt;"N/A"))</xm:f>
            <x14:dxf>
              <fill>
                <patternFill>
                  <bgColor rgb="FF00B050"/>
                </patternFill>
              </fill>
            </x14:dxf>
          </x14:cfRule>
          <x14:cfRule type="expression" priority="3260" stopIfTrue="1" id="{0D3DE6DC-AEF4-4575-BD21-E62D1CEAB0D3}">
            <xm:f>AND(IF(X318&lt;'F:\Users\norela.briceno\Documents\Plan de acción\Plan Accion 2018\[Plan Accion Integrado ADRES Vigencia 2018 con Cuadro de Mando V6..xlsx]Plan de Accion 2018'!#REF!,X318&lt;&gt;"N/A"))</xm:f>
            <x14:dxf>
              <fill>
                <patternFill>
                  <bgColor indexed="10"/>
                </patternFill>
              </fill>
            </x14:dxf>
          </x14:cfRule>
          <xm:sqref>X318</xm:sqref>
        </x14:conditionalFormatting>
        <x14:conditionalFormatting xmlns:xm="http://schemas.microsoft.com/office/excel/2006/main">
          <x14:cfRule type="expression" priority="3255" id="{9F4CF530-9DAD-407F-A5BA-517A9FD69755}">
            <xm:f>AND(IF(X319&gt;'F:\Users\norela.briceno\Documents\Plan de acción\Plan Accion 2018\[Plan Accion Integrado ADRES Vigencia 2018 con Cuadro de Mando V6..xlsx]Plan de Accion 2018'!#REF!,X319&lt;&gt;¨N/A¨))</xm:f>
            <x14:dxf>
              <fill>
                <patternFill>
                  <bgColor theme="1" tint="0.499984740745262"/>
                </patternFill>
              </fill>
            </x14:dxf>
          </x14:cfRule>
          <x14:cfRule type="expression" priority="3256" stopIfTrue="1" id="{24273C75-2319-41AF-B192-6775223AD6D3}">
            <xm:f>AND(IF(X319='F:\Users\norela.briceno\Documents\Plan de acción\Plan Accion 2018\[Plan Accion Integrado ADRES Vigencia 2018 con Cuadro de Mando V6..xlsx]Plan de Accion 2018'!#REF!,X319&lt;&gt;"N/A"))</xm:f>
            <x14:dxf>
              <fill>
                <patternFill>
                  <bgColor rgb="FF00B050"/>
                </patternFill>
              </fill>
            </x14:dxf>
          </x14:cfRule>
          <x14:cfRule type="expression" priority="3257" stopIfTrue="1" id="{09535F15-3C9A-4AEB-BE57-23BC5CC5191C}">
            <xm:f>AND(IF(X319&lt;'F:\Users\norela.briceno\Documents\Plan de acción\Plan Accion 2018\[Plan Accion Integrado ADRES Vigencia 2018 con Cuadro de Mando V6..xlsx]Plan de Accion 2018'!#REF!,X319&lt;&gt;"N/A"))</xm:f>
            <x14:dxf>
              <fill>
                <patternFill>
                  <bgColor indexed="10"/>
                </patternFill>
              </fill>
            </x14:dxf>
          </x14:cfRule>
          <xm:sqref>X319</xm:sqref>
        </x14:conditionalFormatting>
        <x14:conditionalFormatting xmlns:xm="http://schemas.microsoft.com/office/excel/2006/main">
          <x14:cfRule type="expression" priority="3252" id="{7904FA34-5BB6-40A5-9833-6A18BB3364A6}">
            <xm:f>AND(IF(X320&gt;'F:\Users\norela.briceno\Documents\Plan de acción\Plan Accion 2018\[Plan Accion Integrado ADRES Vigencia 2018 con Cuadro de Mando V6..xlsx]Plan de Accion 2018'!#REF!,X320&lt;&gt;¨N/A¨))</xm:f>
            <x14:dxf>
              <fill>
                <patternFill>
                  <bgColor theme="1" tint="0.499984740745262"/>
                </patternFill>
              </fill>
            </x14:dxf>
          </x14:cfRule>
          <x14:cfRule type="expression" priority="3253" stopIfTrue="1" id="{3C50230A-260A-4804-99F5-A567FAE93182}">
            <xm:f>AND(IF(X320='F:\Users\norela.briceno\Documents\Plan de acción\Plan Accion 2018\[Plan Accion Integrado ADRES Vigencia 2018 con Cuadro de Mando V6..xlsx]Plan de Accion 2018'!#REF!,X320&lt;&gt;"N/A"))</xm:f>
            <x14:dxf>
              <fill>
                <patternFill>
                  <bgColor rgb="FF00B050"/>
                </patternFill>
              </fill>
            </x14:dxf>
          </x14:cfRule>
          <x14:cfRule type="expression" priority="3254" stopIfTrue="1" id="{A8A871B7-8DAA-4D04-A5FA-1C5CD0A305E4}">
            <xm:f>AND(IF(X320&lt;'F:\Users\norela.briceno\Documents\Plan de acción\Plan Accion 2018\[Plan Accion Integrado ADRES Vigencia 2018 con Cuadro de Mando V6..xlsx]Plan de Accion 2018'!#REF!,X320&lt;&gt;"N/A"))</xm:f>
            <x14:dxf>
              <fill>
                <patternFill>
                  <bgColor indexed="10"/>
                </patternFill>
              </fill>
            </x14:dxf>
          </x14:cfRule>
          <xm:sqref>X320</xm:sqref>
        </x14:conditionalFormatting>
        <x14:conditionalFormatting xmlns:xm="http://schemas.microsoft.com/office/excel/2006/main">
          <x14:cfRule type="expression" priority="3249" id="{7D024C3E-61C8-462E-85E9-68281519574B}">
            <xm:f>AND(IF(X321&gt;'F:\Users\norela.briceno\Documents\Plan de acción\Plan Accion 2018\[Plan Accion Integrado ADRES Vigencia 2018 con Cuadro de Mando V6..xlsx]Plan de Accion 2018'!#REF!,X321&lt;&gt;¨N/A¨))</xm:f>
            <x14:dxf>
              <fill>
                <patternFill>
                  <bgColor theme="1" tint="0.499984740745262"/>
                </patternFill>
              </fill>
            </x14:dxf>
          </x14:cfRule>
          <x14:cfRule type="expression" priority="3250" stopIfTrue="1" id="{A75D4090-AC72-4234-B0A8-D0833D8714E6}">
            <xm:f>AND(IF(X321='F:\Users\norela.briceno\Documents\Plan de acción\Plan Accion 2018\[Plan Accion Integrado ADRES Vigencia 2018 con Cuadro de Mando V6..xlsx]Plan de Accion 2018'!#REF!,X321&lt;&gt;"N/A"))</xm:f>
            <x14:dxf>
              <fill>
                <patternFill>
                  <bgColor rgb="FF00B050"/>
                </patternFill>
              </fill>
            </x14:dxf>
          </x14:cfRule>
          <x14:cfRule type="expression" priority="3251" stopIfTrue="1" id="{0EC4D3F3-43B3-4898-B1C0-B7F7839A2E46}">
            <xm:f>AND(IF(X321&lt;'F:\Users\norela.briceno\Documents\Plan de acción\Plan Accion 2018\[Plan Accion Integrado ADRES Vigencia 2018 con Cuadro de Mando V6..xlsx]Plan de Accion 2018'!#REF!,X321&lt;&gt;"N/A"))</xm:f>
            <x14:dxf>
              <fill>
                <patternFill>
                  <bgColor indexed="10"/>
                </patternFill>
              </fill>
            </x14:dxf>
          </x14:cfRule>
          <xm:sqref>X321</xm:sqref>
        </x14:conditionalFormatting>
        <x14:conditionalFormatting xmlns:xm="http://schemas.microsoft.com/office/excel/2006/main">
          <x14:cfRule type="expression" priority="3246" id="{EDE10E44-6B5C-49A5-B491-EF488575F6CF}">
            <xm:f>AND(IF(X322&gt;'F:\Users\norela.briceno\Documents\Plan de acción\Plan Accion 2018\[Plan Accion Integrado ADRES Vigencia 2018 con Cuadro de Mando V6..xlsx]Plan de Accion 2018'!#REF!,X322&lt;&gt;¨N/A¨))</xm:f>
            <x14:dxf>
              <fill>
                <patternFill>
                  <bgColor theme="1" tint="0.499984740745262"/>
                </patternFill>
              </fill>
            </x14:dxf>
          </x14:cfRule>
          <x14:cfRule type="expression" priority="3247" stopIfTrue="1" id="{F1880156-55DA-4649-BDCB-5366077F4DA6}">
            <xm:f>AND(IF(X322='F:\Users\norela.briceno\Documents\Plan de acción\Plan Accion 2018\[Plan Accion Integrado ADRES Vigencia 2018 con Cuadro de Mando V6..xlsx]Plan de Accion 2018'!#REF!,X322&lt;&gt;"N/A"))</xm:f>
            <x14:dxf>
              <fill>
                <patternFill>
                  <bgColor rgb="FF00B050"/>
                </patternFill>
              </fill>
            </x14:dxf>
          </x14:cfRule>
          <x14:cfRule type="expression" priority="3248" stopIfTrue="1" id="{2CA920ED-02D4-429D-A8CB-771F2C30D945}">
            <xm:f>AND(IF(X322&lt;'F:\Users\norela.briceno\Documents\Plan de acción\Plan Accion 2018\[Plan Accion Integrado ADRES Vigencia 2018 con Cuadro de Mando V6..xlsx]Plan de Accion 2018'!#REF!,X322&lt;&gt;"N/A"))</xm:f>
            <x14:dxf>
              <fill>
                <patternFill>
                  <bgColor indexed="10"/>
                </patternFill>
              </fill>
            </x14:dxf>
          </x14:cfRule>
          <xm:sqref>X322</xm:sqref>
        </x14:conditionalFormatting>
        <x14:conditionalFormatting xmlns:xm="http://schemas.microsoft.com/office/excel/2006/main">
          <x14:cfRule type="expression" priority="3243" id="{2E04B518-9701-4496-8505-BB3268DC90DF}">
            <xm:f>AND(IF(X323&gt;'F:\Users\norela.briceno\Documents\Plan de acción\Plan Accion 2018\[Plan Accion Integrado ADRES Vigencia 2018 con Cuadro de Mando V6..xlsx]Plan de Accion 2018'!#REF!,X323&lt;&gt;¨N/A¨))</xm:f>
            <x14:dxf>
              <fill>
                <patternFill>
                  <bgColor theme="1" tint="0.499984740745262"/>
                </patternFill>
              </fill>
            </x14:dxf>
          </x14:cfRule>
          <x14:cfRule type="expression" priority="3244" stopIfTrue="1" id="{CA71DBB6-E7EE-4A1C-ADD6-4798A37726D3}">
            <xm:f>AND(IF(X323='F:\Users\norela.briceno\Documents\Plan de acción\Plan Accion 2018\[Plan Accion Integrado ADRES Vigencia 2018 con Cuadro de Mando V6..xlsx]Plan de Accion 2018'!#REF!,X323&lt;&gt;"N/A"))</xm:f>
            <x14:dxf>
              <fill>
                <patternFill>
                  <bgColor rgb="FF00B050"/>
                </patternFill>
              </fill>
            </x14:dxf>
          </x14:cfRule>
          <x14:cfRule type="expression" priority="3245" stopIfTrue="1" id="{14D1D81D-8552-4DD0-9B8D-5863B5004213}">
            <xm:f>AND(IF(X323&lt;'F:\Users\norela.briceno\Documents\Plan de acción\Plan Accion 2018\[Plan Accion Integrado ADRES Vigencia 2018 con Cuadro de Mando V6..xlsx]Plan de Accion 2018'!#REF!,X323&lt;&gt;"N/A"))</xm:f>
            <x14:dxf>
              <fill>
                <patternFill>
                  <bgColor indexed="10"/>
                </patternFill>
              </fill>
            </x14:dxf>
          </x14:cfRule>
          <xm:sqref>X323</xm:sqref>
        </x14:conditionalFormatting>
        <x14:conditionalFormatting xmlns:xm="http://schemas.microsoft.com/office/excel/2006/main">
          <x14:cfRule type="expression" priority="3240" id="{6EB1D99C-E907-4EC8-94D4-7AC188E4569F}">
            <xm:f>AND(IF(X324&gt;'F:\Users\norela.briceno\Documents\Plan de acción\Plan Accion 2018\[Plan Accion Integrado ADRES Vigencia 2018 con Cuadro de Mando V6..xlsx]Plan de Accion 2018'!#REF!,X324&lt;&gt;¨N/A¨))</xm:f>
            <x14:dxf>
              <fill>
                <patternFill>
                  <bgColor theme="1" tint="0.499984740745262"/>
                </patternFill>
              </fill>
            </x14:dxf>
          </x14:cfRule>
          <x14:cfRule type="expression" priority="3241" stopIfTrue="1" id="{7809C021-CBB6-407A-8FBE-76182127AA09}">
            <xm:f>AND(IF(X324='F:\Users\norela.briceno\Documents\Plan de acción\Plan Accion 2018\[Plan Accion Integrado ADRES Vigencia 2018 con Cuadro de Mando V6..xlsx]Plan de Accion 2018'!#REF!,X324&lt;&gt;"N/A"))</xm:f>
            <x14:dxf>
              <fill>
                <patternFill>
                  <bgColor rgb="FF00B050"/>
                </patternFill>
              </fill>
            </x14:dxf>
          </x14:cfRule>
          <x14:cfRule type="expression" priority="3242" stopIfTrue="1" id="{A0EDCC96-C09D-4505-A83F-85A8EB18A2AF}">
            <xm:f>AND(IF(X324&lt;'F:\Users\norela.briceno\Documents\Plan de acción\Plan Accion 2018\[Plan Accion Integrado ADRES Vigencia 2018 con Cuadro de Mando V6..xlsx]Plan de Accion 2018'!#REF!,X324&lt;&gt;"N/A"))</xm:f>
            <x14:dxf>
              <fill>
                <patternFill>
                  <bgColor indexed="10"/>
                </patternFill>
              </fill>
            </x14:dxf>
          </x14:cfRule>
          <xm:sqref>X324</xm:sqref>
        </x14:conditionalFormatting>
        <x14:conditionalFormatting xmlns:xm="http://schemas.microsoft.com/office/excel/2006/main">
          <x14:cfRule type="expression" priority="3237" id="{5E8C3497-E671-4EFB-B0E1-4812847F781F}">
            <xm:f>AND(IF(X325&gt;'F:\Users\norela.briceno\Documents\Plan de acción\Plan Accion 2018\[Plan Accion Integrado ADRES Vigencia 2018 con Cuadro de Mando V6..xlsx]Plan de Accion 2018'!#REF!,X325&lt;&gt;¨N/A¨))</xm:f>
            <x14:dxf>
              <fill>
                <patternFill>
                  <bgColor theme="1" tint="0.499984740745262"/>
                </patternFill>
              </fill>
            </x14:dxf>
          </x14:cfRule>
          <x14:cfRule type="expression" priority="3238" stopIfTrue="1" id="{EAFFE5E5-45DB-47A0-A60C-7D9D4CF1603F}">
            <xm:f>AND(IF(X325='F:\Users\norela.briceno\Documents\Plan de acción\Plan Accion 2018\[Plan Accion Integrado ADRES Vigencia 2018 con Cuadro de Mando V6..xlsx]Plan de Accion 2018'!#REF!,X325&lt;&gt;"N/A"))</xm:f>
            <x14:dxf>
              <fill>
                <patternFill>
                  <bgColor rgb="FF00B050"/>
                </patternFill>
              </fill>
            </x14:dxf>
          </x14:cfRule>
          <x14:cfRule type="expression" priority="3239" stopIfTrue="1" id="{525EFF66-FEFC-4689-959A-678656994214}">
            <xm:f>AND(IF(X325&lt;'F:\Users\norela.briceno\Documents\Plan de acción\Plan Accion 2018\[Plan Accion Integrado ADRES Vigencia 2018 con Cuadro de Mando V6..xlsx]Plan de Accion 2018'!#REF!,X325&lt;&gt;"N/A"))</xm:f>
            <x14:dxf>
              <fill>
                <patternFill>
                  <bgColor indexed="10"/>
                </patternFill>
              </fill>
            </x14:dxf>
          </x14:cfRule>
          <xm:sqref>X325</xm:sqref>
        </x14:conditionalFormatting>
        <x14:conditionalFormatting xmlns:xm="http://schemas.microsoft.com/office/excel/2006/main">
          <x14:cfRule type="expression" priority="3234" id="{C30D828D-2B61-46A1-A74C-52496A91A752}">
            <xm:f>AND(IF(X326&gt;'F:\Users\norela.briceno\Documents\Plan de acción\Plan Accion 2018\[Plan Accion Integrado ADRES Vigencia 2018 con Cuadro de Mando V6..xlsx]Plan de Accion 2018'!#REF!,X326&lt;&gt;¨N/A¨))</xm:f>
            <x14:dxf>
              <fill>
                <patternFill>
                  <bgColor theme="1" tint="0.499984740745262"/>
                </patternFill>
              </fill>
            </x14:dxf>
          </x14:cfRule>
          <x14:cfRule type="expression" priority="3235" stopIfTrue="1" id="{0BB08879-C7C5-4E08-81F5-ECDE03469316}">
            <xm:f>AND(IF(X326='F:\Users\norela.briceno\Documents\Plan de acción\Plan Accion 2018\[Plan Accion Integrado ADRES Vigencia 2018 con Cuadro de Mando V6..xlsx]Plan de Accion 2018'!#REF!,X326&lt;&gt;"N/A"))</xm:f>
            <x14:dxf>
              <fill>
                <patternFill>
                  <bgColor rgb="FF00B050"/>
                </patternFill>
              </fill>
            </x14:dxf>
          </x14:cfRule>
          <x14:cfRule type="expression" priority="3236" stopIfTrue="1" id="{8454FC45-FD8A-45A2-BD23-3C324C606DE5}">
            <xm:f>AND(IF(X326&lt;'F:\Users\norela.briceno\Documents\Plan de acción\Plan Accion 2018\[Plan Accion Integrado ADRES Vigencia 2018 con Cuadro de Mando V6..xlsx]Plan de Accion 2018'!#REF!,X326&lt;&gt;"N/A"))</xm:f>
            <x14:dxf>
              <fill>
                <patternFill>
                  <bgColor indexed="10"/>
                </patternFill>
              </fill>
            </x14:dxf>
          </x14:cfRule>
          <xm:sqref>X326</xm:sqref>
        </x14:conditionalFormatting>
        <x14:conditionalFormatting xmlns:xm="http://schemas.microsoft.com/office/excel/2006/main">
          <x14:cfRule type="expression" priority="3231" id="{6216847F-BE76-4509-A556-3E11FC4FFDC7}">
            <xm:f>AND(IF(X327&gt;'F:\Users\norela.briceno\Documents\Plan de acción\Plan Accion 2018\[Plan Accion Integrado ADRES Vigencia 2018 con Cuadro de Mando V6..xlsx]Plan de Accion 2018'!#REF!,X327&lt;&gt;¨N/A¨))</xm:f>
            <x14:dxf>
              <fill>
                <patternFill>
                  <bgColor theme="1" tint="0.499984740745262"/>
                </patternFill>
              </fill>
            </x14:dxf>
          </x14:cfRule>
          <x14:cfRule type="expression" priority="3232" stopIfTrue="1" id="{F1761B13-E32C-43DC-BF51-574EC12BC46D}">
            <xm:f>AND(IF(X327='F:\Users\norela.briceno\Documents\Plan de acción\Plan Accion 2018\[Plan Accion Integrado ADRES Vigencia 2018 con Cuadro de Mando V6..xlsx]Plan de Accion 2018'!#REF!,X327&lt;&gt;"N/A"))</xm:f>
            <x14:dxf>
              <fill>
                <patternFill>
                  <bgColor rgb="FF00B050"/>
                </patternFill>
              </fill>
            </x14:dxf>
          </x14:cfRule>
          <x14:cfRule type="expression" priority="3233" stopIfTrue="1" id="{D6F06D70-140B-4FE4-A057-20800A53E1AA}">
            <xm:f>AND(IF(X327&lt;'F:\Users\norela.briceno\Documents\Plan de acción\Plan Accion 2018\[Plan Accion Integrado ADRES Vigencia 2018 con Cuadro de Mando V6..xlsx]Plan de Accion 2018'!#REF!,X327&lt;&gt;"N/A"))</xm:f>
            <x14:dxf>
              <fill>
                <patternFill>
                  <bgColor indexed="10"/>
                </patternFill>
              </fill>
            </x14:dxf>
          </x14:cfRule>
          <xm:sqref>X327</xm:sqref>
        </x14:conditionalFormatting>
        <x14:conditionalFormatting xmlns:xm="http://schemas.microsoft.com/office/excel/2006/main">
          <x14:cfRule type="expression" priority="3228" id="{35FDCC35-FE07-4F8B-81C1-86B0E429F3EC}">
            <xm:f>AND(IF(X328&gt;'F:\Users\norela.briceno\Documents\Plan de acción\Plan Accion 2018\[Plan Accion Integrado ADRES Vigencia 2018 con Cuadro de Mando V6..xlsx]Plan de Accion 2018'!#REF!,X328&lt;&gt;¨N/A¨))</xm:f>
            <x14:dxf>
              <fill>
                <patternFill>
                  <bgColor theme="1" tint="0.499984740745262"/>
                </patternFill>
              </fill>
            </x14:dxf>
          </x14:cfRule>
          <x14:cfRule type="expression" priority="3229" stopIfTrue="1" id="{1E7CA299-1C36-4E29-A08E-FA1FD13C665A}">
            <xm:f>AND(IF(X328='F:\Users\norela.briceno\Documents\Plan de acción\Plan Accion 2018\[Plan Accion Integrado ADRES Vigencia 2018 con Cuadro de Mando V6..xlsx]Plan de Accion 2018'!#REF!,X328&lt;&gt;"N/A"))</xm:f>
            <x14:dxf>
              <fill>
                <patternFill>
                  <bgColor rgb="FF00B050"/>
                </patternFill>
              </fill>
            </x14:dxf>
          </x14:cfRule>
          <x14:cfRule type="expression" priority="3230" stopIfTrue="1" id="{9BBDDFBB-A559-413D-9ABF-04E5B17BD84D}">
            <xm:f>AND(IF(X328&lt;'F:\Users\norela.briceno\Documents\Plan de acción\Plan Accion 2018\[Plan Accion Integrado ADRES Vigencia 2018 con Cuadro de Mando V6..xlsx]Plan de Accion 2018'!#REF!,X328&lt;&gt;"N/A"))</xm:f>
            <x14:dxf>
              <fill>
                <patternFill>
                  <bgColor indexed="10"/>
                </patternFill>
              </fill>
            </x14:dxf>
          </x14:cfRule>
          <xm:sqref>X328</xm:sqref>
        </x14:conditionalFormatting>
        <x14:conditionalFormatting xmlns:xm="http://schemas.microsoft.com/office/excel/2006/main">
          <x14:cfRule type="expression" priority="3225" id="{271EA67D-BF55-40B9-A7D0-25521190E812}">
            <xm:f>AND(IF(X329&gt;'F:\Users\norela.briceno\Documents\Plan de acción\Plan Accion 2018\[Plan Accion Integrado ADRES Vigencia 2018 con Cuadro de Mando V6..xlsx]Plan de Accion 2018'!#REF!,X329&lt;&gt;¨N/A¨))</xm:f>
            <x14:dxf>
              <fill>
                <patternFill>
                  <bgColor theme="1" tint="0.499984740745262"/>
                </patternFill>
              </fill>
            </x14:dxf>
          </x14:cfRule>
          <x14:cfRule type="expression" priority="3226" stopIfTrue="1" id="{808BA0BE-D4B0-4238-B089-610012F9FF89}">
            <xm:f>AND(IF(X329='F:\Users\norela.briceno\Documents\Plan de acción\Plan Accion 2018\[Plan Accion Integrado ADRES Vigencia 2018 con Cuadro de Mando V6..xlsx]Plan de Accion 2018'!#REF!,X329&lt;&gt;"N/A"))</xm:f>
            <x14:dxf>
              <fill>
                <patternFill>
                  <bgColor rgb="FF00B050"/>
                </patternFill>
              </fill>
            </x14:dxf>
          </x14:cfRule>
          <x14:cfRule type="expression" priority="3227" stopIfTrue="1" id="{3AE8045D-4A64-4C51-A55B-00A0E2A69D5A}">
            <xm:f>AND(IF(X329&lt;'F:\Users\norela.briceno\Documents\Plan de acción\Plan Accion 2018\[Plan Accion Integrado ADRES Vigencia 2018 con Cuadro de Mando V6..xlsx]Plan de Accion 2018'!#REF!,X329&lt;&gt;"N/A"))</xm:f>
            <x14:dxf>
              <fill>
                <patternFill>
                  <bgColor indexed="10"/>
                </patternFill>
              </fill>
            </x14:dxf>
          </x14:cfRule>
          <xm:sqref>X329</xm:sqref>
        </x14:conditionalFormatting>
        <x14:conditionalFormatting xmlns:xm="http://schemas.microsoft.com/office/excel/2006/main">
          <x14:cfRule type="expression" priority="3222" id="{0DF25F5A-DEA0-4BC4-AD4D-C9FB49C6478F}">
            <xm:f>AND(IF(X330&gt;'F:\Users\norela.briceno\Documents\Plan de acción\Plan Accion 2018\[Plan Accion Integrado ADRES Vigencia 2018 con Cuadro de Mando V6..xlsx]Plan de Accion 2018'!#REF!,X330&lt;&gt;¨N/A¨))</xm:f>
            <x14:dxf>
              <fill>
                <patternFill>
                  <bgColor theme="1" tint="0.499984740745262"/>
                </patternFill>
              </fill>
            </x14:dxf>
          </x14:cfRule>
          <x14:cfRule type="expression" priority="3223" stopIfTrue="1" id="{00562C29-4888-4BCD-83CE-DBD18558CA61}">
            <xm:f>AND(IF(X330='F:\Users\norela.briceno\Documents\Plan de acción\Plan Accion 2018\[Plan Accion Integrado ADRES Vigencia 2018 con Cuadro de Mando V6..xlsx]Plan de Accion 2018'!#REF!,X330&lt;&gt;"N/A"))</xm:f>
            <x14:dxf>
              <fill>
                <patternFill>
                  <bgColor rgb="FF00B050"/>
                </patternFill>
              </fill>
            </x14:dxf>
          </x14:cfRule>
          <x14:cfRule type="expression" priority="3224" stopIfTrue="1" id="{10914DB6-ED5B-4046-9FDD-B9FA74AA5E7B}">
            <xm:f>AND(IF(X330&lt;'F:\Users\norela.briceno\Documents\Plan de acción\Plan Accion 2018\[Plan Accion Integrado ADRES Vigencia 2018 con Cuadro de Mando V6..xlsx]Plan de Accion 2018'!#REF!,X330&lt;&gt;"N/A"))</xm:f>
            <x14:dxf>
              <fill>
                <patternFill>
                  <bgColor indexed="10"/>
                </patternFill>
              </fill>
            </x14:dxf>
          </x14:cfRule>
          <xm:sqref>X330</xm:sqref>
        </x14:conditionalFormatting>
        <x14:conditionalFormatting xmlns:xm="http://schemas.microsoft.com/office/excel/2006/main">
          <x14:cfRule type="expression" priority="3219" id="{1692B78E-B907-4B3F-84DF-D8DFADC6649A}">
            <xm:f>AND(IF(X331&gt;'F:\Users\norela.briceno\Documents\Plan de acción\Plan Accion 2018\[Plan Accion Integrado ADRES Vigencia 2018 con Cuadro de Mando V6..xlsx]Plan de Accion 2018'!#REF!,X331&lt;&gt;¨N/A¨))</xm:f>
            <x14:dxf>
              <fill>
                <patternFill>
                  <bgColor theme="1" tint="0.499984740745262"/>
                </patternFill>
              </fill>
            </x14:dxf>
          </x14:cfRule>
          <x14:cfRule type="expression" priority="3220" stopIfTrue="1" id="{B4BD3D88-0236-46A5-AEBE-3E0FA93AF575}">
            <xm:f>AND(IF(X331='F:\Users\norela.briceno\Documents\Plan de acción\Plan Accion 2018\[Plan Accion Integrado ADRES Vigencia 2018 con Cuadro de Mando V6..xlsx]Plan de Accion 2018'!#REF!,X331&lt;&gt;"N/A"))</xm:f>
            <x14:dxf>
              <fill>
                <patternFill>
                  <bgColor rgb="FF00B050"/>
                </patternFill>
              </fill>
            </x14:dxf>
          </x14:cfRule>
          <x14:cfRule type="expression" priority="3221" stopIfTrue="1" id="{DCCF17B2-98E7-4961-A3AF-DB04DA985514}">
            <xm:f>AND(IF(X331&lt;'F:\Users\norela.briceno\Documents\Plan de acción\Plan Accion 2018\[Plan Accion Integrado ADRES Vigencia 2018 con Cuadro de Mando V6..xlsx]Plan de Accion 2018'!#REF!,X331&lt;&gt;"N/A"))</xm:f>
            <x14:dxf>
              <fill>
                <patternFill>
                  <bgColor indexed="10"/>
                </patternFill>
              </fill>
            </x14:dxf>
          </x14:cfRule>
          <xm:sqref>X331</xm:sqref>
        </x14:conditionalFormatting>
        <x14:conditionalFormatting xmlns:xm="http://schemas.microsoft.com/office/excel/2006/main">
          <x14:cfRule type="expression" priority="3216" id="{0E7F20C5-4907-4D1F-BF06-B594FB61DEBF}">
            <xm:f>AND(IF(X332&gt;'F:\Users\norela.briceno\Documents\Plan de acción\Plan Accion 2018\[Plan Accion Integrado ADRES Vigencia 2018 con Cuadro de Mando V6..xlsx]Plan de Accion 2018'!#REF!,X332&lt;&gt;¨N/A¨))</xm:f>
            <x14:dxf>
              <fill>
                <patternFill>
                  <bgColor theme="1" tint="0.499984740745262"/>
                </patternFill>
              </fill>
            </x14:dxf>
          </x14:cfRule>
          <x14:cfRule type="expression" priority="3217" stopIfTrue="1" id="{64244389-1243-44C3-98A7-BCE43EE3936C}">
            <xm:f>AND(IF(X332='F:\Users\norela.briceno\Documents\Plan de acción\Plan Accion 2018\[Plan Accion Integrado ADRES Vigencia 2018 con Cuadro de Mando V6..xlsx]Plan de Accion 2018'!#REF!,X332&lt;&gt;"N/A"))</xm:f>
            <x14:dxf>
              <fill>
                <patternFill>
                  <bgColor rgb="FF00B050"/>
                </patternFill>
              </fill>
            </x14:dxf>
          </x14:cfRule>
          <x14:cfRule type="expression" priority="3218" stopIfTrue="1" id="{B1CAE679-58AC-44AC-9E30-5FD9FC023A9A}">
            <xm:f>AND(IF(X332&lt;'F:\Users\norela.briceno\Documents\Plan de acción\Plan Accion 2018\[Plan Accion Integrado ADRES Vigencia 2018 con Cuadro de Mando V6..xlsx]Plan de Accion 2018'!#REF!,X332&lt;&gt;"N/A"))</xm:f>
            <x14:dxf>
              <fill>
                <patternFill>
                  <bgColor indexed="10"/>
                </patternFill>
              </fill>
            </x14:dxf>
          </x14:cfRule>
          <xm:sqref>X332</xm:sqref>
        </x14:conditionalFormatting>
        <x14:conditionalFormatting xmlns:xm="http://schemas.microsoft.com/office/excel/2006/main">
          <x14:cfRule type="expression" priority="3213" id="{90544891-B1E2-4F59-83B2-BF69AD742CC5}">
            <xm:f>AND(IF(X333&gt;'F:\Users\norela.briceno\Documents\Plan de acción\Plan Accion 2018\[Plan Accion Integrado ADRES Vigencia 2018 con Cuadro de Mando V6..xlsx]Plan de Accion 2018'!#REF!,X333&lt;&gt;¨N/A¨))</xm:f>
            <x14:dxf>
              <fill>
                <patternFill>
                  <bgColor theme="1" tint="0.499984740745262"/>
                </patternFill>
              </fill>
            </x14:dxf>
          </x14:cfRule>
          <x14:cfRule type="expression" priority="3214" stopIfTrue="1" id="{59EA7AD7-FB8D-4DF3-A09E-12CDBDEB4EC5}">
            <xm:f>AND(IF(X333='F:\Users\norela.briceno\Documents\Plan de acción\Plan Accion 2018\[Plan Accion Integrado ADRES Vigencia 2018 con Cuadro de Mando V6..xlsx]Plan de Accion 2018'!#REF!,X333&lt;&gt;"N/A"))</xm:f>
            <x14:dxf>
              <fill>
                <patternFill>
                  <bgColor rgb="FF00B050"/>
                </patternFill>
              </fill>
            </x14:dxf>
          </x14:cfRule>
          <x14:cfRule type="expression" priority="3215" stopIfTrue="1" id="{672D92F0-B2BB-45CE-B756-19EA2FF950AB}">
            <xm:f>AND(IF(X333&lt;'F:\Users\norela.briceno\Documents\Plan de acción\Plan Accion 2018\[Plan Accion Integrado ADRES Vigencia 2018 con Cuadro de Mando V6..xlsx]Plan de Accion 2018'!#REF!,X333&lt;&gt;"N/A"))</xm:f>
            <x14:dxf>
              <fill>
                <patternFill>
                  <bgColor indexed="10"/>
                </patternFill>
              </fill>
            </x14:dxf>
          </x14:cfRule>
          <xm:sqref>X333</xm:sqref>
        </x14:conditionalFormatting>
        <x14:conditionalFormatting xmlns:xm="http://schemas.microsoft.com/office/excel/2006/main">
          <x14:cfRule type="expression" priority="3210" id="{AAFB95E0-116F-44DD-986D-354C6DBA0B06}">
            <xm:f>AND(IF(X334&gt;'F:\Users\norela.briceno\Documents\Plan de acción\Plan Accion 2018\[Plan Accion Integrado ADRES Vigencia 2018 con Cuadro de Mando V6..xlsx]Plan de Accion 2018'!#REF!,X334&lt;&gt;¨N/A¨))</xm:f>
            <x14:dxf>
              <fill>
                <patternFill>
                  <bgColor theme="1" tint="0.499984740745262"/>
                </patternFill>
              </fill>
            </x14:dxf>
          </x14:cfRule>
          <x14:cfRule type="expression" priority="3211" stopIfTrue="1" id="{A916369B-E651-4DDF-82BF-7B8F0603F60B}">
            <xm:f>AND(IF(X334='F:\Users\norela.briceno\Documents\Plan de acción\Plan Accion 2018\[Plan Accion Integrado ADRES Vigencia 2018 con Cuadro de Mando V6..xlsx]Plan de Accion 2018'!#REF!,X334&lt;&gt;"N/A"))</xm:f>
            <x14:dxf>
              <fill>
                <patternFill>
                  <bgColor rgb="FF00B050"/>
                </patternFill>
              </fill>
            </x14:dxf>
          </x14:cfRule>
          <x14:cfRule type="expression" priority="3212" stopIfTrue="1" id="{6C766714-8A06-4557-8FC4-D430DB6B2A7D}">
            <xm:f>AND(IF(X334&lt;'F:\Users\norela.briceno\Documents\Plan de acción\Plan Accion 2018\[Plan Accion Integrado ADRES Vigencia 2018 con Cuadro de Mando V6..xlsx]Plan de Accion 2018'!#REF!,X334&lt;&gt;"N/A"))</xm:f>
            <x14:dxf>
              <fill>
                <patternFill>
                  <bgColor indexed="10"/>
                </patternFill>
              </fill>
            </x14:dxf>
          </x14:cfRule>
          <xm:sqref>X334</xm:sqref>
        </x14:conditionalFormatting>
        <x14:conditionalFormatting xmlns:xm="http://schemas.microsoft.com/office/excel/2006/main">
          <x14:cfRule type="expression" priority="3207" id="{7146B9F2-1FE5-4D4D-8012-E653B4811D37}">
            <xm:f>AND(IF(X335&gt;'F:\Users\norela.briceno\Documents\Plan de acción\Plan Accion 2018\[Plan Accion Integrado ADRES Vigencia 2018 con Cuadro de Mando V6..xlsx]Plan de Accion 2018'!#REF!,X335&lt;&gt;¨N/A¨))</xm:f>
            <x14:dxf>
              <fill>
                <patternFill>
                  <bgColor theme="1" tint="0.499984740745262"/>
                </patternFill>
              </fill>
            </x14:dxf>
          </x14:cfRule>
          <x14:cfRule type="expression" priority="3208" stopIfTrue="1" id="{FFAD7C9B-CC13-452D-89F7-D9D4D322682E}">
            <xm:f>AND(IF(X335='F:\Users\norela.briceno\Documents\Plan de acción\Plan Accion 2018\[Plan Accion Integrado ADRES Vigencia 2018 con Cuadro de Mando V6..xlsx]Plan de Accion 2018'!#REF!,X335&lt;&gt;"N/A"))</xm:f>
            <x14:dxf>
              <fill>
                <patternFill>
                  <bgColor rgb="FF00B050"/>
                </patternFill>
              </fill>
            </x14:dxf>
          </x14:cfRule>
          <x14:cfRule type="expression" priority="3209" stopIfTrue="1" id="{E61CEBF6-997F-44D4-8AFD-893508ED5A3D}">
            <xm:f>AND(IF(X335&lt;'F:\Users\norela.briceno\Documents\Plan de acción\Plan Accion 2018\[Plan Accion Integrado ADRES Vigencia 2018 con Cuadro de Mando V6..xlsx]Plan de Accion 2018'!#REF!,X335&lt;&gt;"N/A"))</xm:f>
            <x14:dxf>
              <fill>
                <patternFill>
                  <bgColor indexed="10"/>
                </patternFill>
              </fill>
            </x14:dxf>
          </x14:cfRule>
          <xm:sqref>X335</xm:sqref>
        </x14:conditionalFormatting>
        <x14:conditionalFormatting xmlns:xm="http://schemas.microsoft.com/office/excel/2006/main">
          <x14:cfRule type="expression" priority="3204" id="{54A175BC-B34C-42E8-BD7B-63E56952BABE}">
            <xm:f>AND(IF(X336&gt;'F:\Users\norela.briceno\Documents\Plan de acción\Plan Accion 2018\[Plan Accion Integrado ADRES Vigencia 2018 con Cuadro de Mando V6..xlsx]Plan de Accion 2018'!#REF!,X336&lt;&gt;¨N/A¨))</xm:f>
            <x14:dxf>
              <fill>
                <patternFill>
                  <bgColor theme="1" tint="0.499984740745262"/>
                </patternFill>
              </fill>
            </x14:dxf>
          </x14:cfRule>
          <x14:cfRule type="expression" priority="3205" stopIfTrue="1" id="{B07FA84E-BA4C-4BB0-82FD-87D80DA5E57F}">
            <xm:f>AND(IF(X336='F:\Users\norela.briceno\Documents\Plan de acción\Plan Accion 2018\[Plan Accion Integrado ADRES Vigencia 2018 con Cuadro de Mando V6..xlsx]Plan de Accion 2018'!#REF!,X336&lt;&gt;"N/A"))</xm:f>
            <x14:dxf>
              <fill>
                <patternFill>
                  <bgColor rgb="FF00B050"/>
                </patternFill>
              </fill>
            </x14:dxf>
          </x14:cfRule>
          <x14:cfRule type="expression" priority="3206" stopIfTrue="1" id="{AC15B1C5-9053-445F-A979-C8DC5AA30B32}">
            <xm:f>AND(IF(X336&lt;'F:\Users\norela.briceno\Documents\Plan de acción\Plan Accion 2018\[Plan Accion Integrado ADRES Vigencia 2018 con Cuadro de Mando V6..xlsx]Plan de Accion 2018'!#REF!,X336&lt;&gt;"N/A"))</xm:f>
            <x14:dxf>
              <fill>
                <patternFill>
                  <bgColor indexed="10"/>
                </patternFill>
              </fill>
            </x14:dxf>
          </x14:cfRule>
          <xm:sqref>X336</xm:sqref>
        </x14:conditionalFormatting>
        <x14:conditionalFormatting xmlns:xm="http://schemas.microsoft.com/office/excel/2006/main">
          <x14:cfRule type="expression" priority="3201" id="{EF6D873B-D3CB-429C-A710-592333092C24}">
            <xm:f>AND(IF(X337&gt;'F:\Users\norela.briceno\Documents\Plan de acción\Plan Accion 2018\[Plan Accion Integrado ADRES Vigencia 2018 con Cuadro de Mando V6..xlsx]Plan de Accion 2018'!#REF!,X337&lt;&gt;¨N/A¨))</xm:f>
            <x14:dxf>
              <fill>
                <patternFill>
                  <bgColor theme="1" tint="0.499984740745262"/>
                </patternFill>
              </fill>
            </x14:dxf>
          </x14:cfRule>
          <x14:cfRule type="expression" priority="3202" stopIfTrue="1" id="{DCB22A1F-DB7A-4EF5-A39A-4D84E6783267}">
            <xm:f>AND(IF(X337='F:\Users\norela.briceno\Documents\Plan de acción\Plan Accion 2018\[Plan Accion Integrado ADRES Vigencia 2018 con Cuadro de Mando V6..xlsx]Plan de Accion 2018'!#REF!,X337&lt;&gt;"N/A"))</xm:f>
            <x14:dxf>
              <fill>
                <patternFill>
                  <bgColor rgb="FF00B050"/>
                </patternFill>
              </fill>
            </x14:dxf>
          </x14:cfRule>
          <x14:cfRule type="expression" priority="3203" stopIfTrue="1" id="{2004CDDD-30F2-48CE-AB9C-BEC8F7A8EFE5}">
            <xm:f>AND(IF(X337&lt;'F:\Users\norela.briceno\Documents\Plan de acción\Plan Accion 2018\[Plan Accion Integrado ADRES Vigencia 2018 con Cuadro de Mando V6..xlsx]Plan de Accion 2018'!#REF!,X337&lt;&gt;"N/A"))</xm:f>
            <x14:dxf>
              <fill>
                <patternFill>
                  <bgColor indexed="10"/>
                </patternFill>
              </fill>
            </x14:dxf>
          </x14:cfRule>
          <xm:sqref>X337 X339</xm:sqref>
        </x14:conditionalFormatting>
        <x14:conditionalFormatting xmlns:xm="http://schemas.microsoft.com/office/excel/2006/main">
          <x14:cfRule type="expression" priority="3198" id="{B27D13C5-E682-434E-95B8-3EE02E81D0FF}">
            <xm:f>AND(IF(X340&gt;'F:\Users\norela.briceno\Documents\Plan de acción\Plan Accion 2018\[Plan Accion Integrado ADRES Vigencia 2018 con Cuadro de Mando V6..xlsx]Plan de Accion 2018'!#REF!,X340&lt;&gt;¨N/A¨))</xm:f>
            <x14:dxf>
              <fill>
                <patternFill>
                  <bgColor theme="1" tint="0.499984740745262"/>
                </patternFill>
              </fill>
            </x14:dxf>
          </x14:cfRule>
          <x14:cfRule type="expression" priority="3199" stopIfTrue="1" id="{64B50708-3B37-452A-A372-06635CFBBA34}">
            <xm:f>AND(IF(X340='F:\Users\norela.briceno\Documents\Plan de acción\Plan Accion 2018\[Plan Accion Integrado ADRES Vigencia 2018 con Cuadro de Mando V6..xlsx]Plan de Accion 2018'!#REF!,X340&lt;&gt;"N/A"))</xm:f>
            <x14:dxf>
              <fill>
                <patternFill>
                  <bgColor rgb="FF00B050"/>
                </patternFill>
              </fill>
            </x14:dxf>
          </x14:cfRule>
          <x14:cfRule type="expression" priority="3200" stopIfTrue="1" id="{5E52F88F-697F-42C2-BB96-D0F699174790}">
            <xm:f>AND(IF(X340&lt;'F:\Users\norela.briceno\Documents\Plan de acción\Plan Accion 2018\[Plan Accion Integrado ADRES Vigencia 2018 con Cuadro de Mando V6..xlsx]Plan de Accion 2018'!#REF!,X340&lt;&gt;"N/A"))</xm:f>
            <x14:dxf>
              <fill>
                <patternFill>
                  <bgColor indexed="10"/>
                </patternFill>
              </fill>
            </x14:dxf>
          </x14:cfRule>
          <xm:sqref>X340</xm:sqref>
        </x14:conditionalFormatting>
        <x14:conditionalFormatting xmlns:xm="http://schemas.microsoft.com/office/excel/2006/main">
          <x14:cfRule type="expression" priority="3195" id="{75565626-94AD-4B9E-B53A-45775C7FC6E3}">
            <xm:f>AND(IF(X341&gt;'F:\Users\norela.briceno\Documents\Plan de acción\Plan Accion 2018\[Plan Accion Integrado ADRES Vigencia 2018 con Cuadro de Mando V6..xlsx]Plan de Accion 2018'!#REF!,X341&lt;&gt;¨N/A¨))</xm:f>
            <x14:dxf>
              <fill>
                <patternFill>
                  <bgColor theme="1" tint="0.499984740745262"/>
                </patternFill>
              </fill>
            </x14:dxf>
          </x14:cfRule>
          <x14:cfRule type="expression" priority="3196" stopIfTrue="1" id="{BC565C92-C1D9-4B74-9B40-9A5BDD60E87D}">
            <xm:f>AND(IF(X341='F:\Users\norela.briceno\Documents\Plan de acción\Plan Accion 2018\[Plan Accion Integrado ADRES Vigencia 2018 con Cuadro de Mando V6..xlsx]Plan de Accion 2018'!#REF!,X341&lt;&gt;"N/A"))</xm:f>
            <x14:dxf>
              <fill>
                <patternFill>
                  <bgColor rgb="FF00B050"/>
                </patternFill>
              </fill>
            </x14:dxf>
          </x14:cfRule>
          <x14:cfRule type="expression" priority="3197" stopIfTrue="1" id="{DC6B3F33-1DD0-4E22-938F-716CA08C5650}">
            <xm:f>AND(IF(X341&lt;'F:\Users\norela.briceno\Documents\Plan de acción\Plan Accion 2018\[Plan Accion Integrado ADRES Vigencia 2018 con Cuadro de Mando V6..xlsx]Plan de Accion 2018'!#REF!,X341&lt;&gt;"N/A"))</xm:f>
            <x14:dxf>
              <fill>
                <patternFill>
                  <bgColor indexed="10"/>
                </patternFill>
              </fill>
            </x14:dxf>
          </x14:cfRule>
          <xm:sqref>X341</xm:sqref>
        </x14:conditionalFormatting>
        <x14:conditionalFormatting xmlns:xm="http://schemas.microsoft.com/office/excel/2006/main">
          <x14:cfRule type="expression" priority="3192" id="{4204F6AF-11C6-4810-A748-572ABC527053}">
            <xm:f>AND(IF(AE341&gt;'F:\Users\norela.briceno\Documents\Plan de acción\Plan Accion 2018\[Plan Accion Integrado ADRES Vigencia 2018 con Cuadro de Mando V6..xlsx]Plan de Accion 2018'!#REF!,AE341&lt;&gt;¨N/A¨))</xm:f>
            <x14:dxf>
              <fill>
                <patternFill>
                  <bgColor theme="1" tint="0.499984740745262"/>
                </patternFill>
              </fill>
            </x14:dxf>
          </x14:cfRule>
          <x14:cfRule type="expression" priority="3193" stopIfTrue="1" id="{09445627-BB75-46E9-B29F-D053B221D519}">
            <xm:f>AND(IF(AE341='F:\Users\norela.briceno\Documents\Plan de acción\Plan Accion 2018\[Plan Accion Integrado ADRES Vigencia 2018 con Cuadro de Mando V6..xlsx]Plan de Accion 2018'!#REF!,AE341&lt;&gt;"N/A"))</xm:f>
            <x14:dxf>
              <fill>
                <patternFill>
                  <bgColor rgb="FF00B050"/>
                </patternFill>
              </fill>
            </x14:dxf>
          </x14:cfRule>
          <x14:cfRule type="expression" priority="3194" stopIfTrue="1" id="{5F41D5C2-4B49-47C6-8C3B-E4EC9B881A68}">
            <xm:f>AND(IF(AE341&lt;'F:\Users\norela.briceno\Documents\Plan de acción\Plan Accion 2018\[Plan Accion Integrado ADRES Vigencia 2018 con Cuadro de Mando V6..xlsx]Plan de Accion 2018'!#REF!,AE341&lt;&gt;"N/A"))</xm:f>
            <x14:dxf>
              <fill>
                <patternFill>
                  <bgColor indexed="10"/>
                </patternFill>
              </fill>
            </x14:dxf>
          </x14:cfRule>
          <xm:sqref>AE341</xm:sqref>
        </x14:conditionalFormatting>
        <x14:conditionalFormatting xmlns:xm="http://schemas.microsoft.com/office/excel/2006/main">
          <x14:cfRule type="expression" priority="3189" id="{969C9820-6EBB-49C4-81EE-70A1CFF3E668}">
            <xm:f>AND(IF(AE340&gt;'F:\Users\norela.briceno\Documents\Plan de acción\Plan Accion 2018\[Plan Accion Integrado ADRES Vigencia 2018 con Cuadro de Mando V6..xlsx]Plan de Accion 2018'!#REF!,AE340&lt;&gt;¨N/A¨))</xm:f>
            <x14:dxf>
              <fill>
                <patternFill>
                  <bgColor theme="1" tint="0.499984740745262"/>
                </patternFill>
              </fill>
            </x14:dxf>
          </x14:cfRule>
          <x14:cfRule type="expression" priority="3190" stopIfTrue="1" id="{E93ACE42-B7F1-4E8B-B622-5A526ACBEF77}">
            <xm:f>AND(IF(AE340='F:\Users\norela.briceno\Documents\Plan de acción\Plan Accion 2018\[Plan Accion Integrado ADRES Vigencia 2018 con Cuadro de Mando V6..xlsx]Plan de Accion 2018'!#REF!,AE340&lt;&gt;"N/A"))</xm:f>
            <x14:dxf>
              <fill>
                <patternFill>
                  <bgColor rgb="FF00B050"/>
                </patternFill>
              </fill>
            </x14:dxf>
          </x14:cfRule>
          <x14:cfRule type="expression" priority="3191" stopIfTrue="1" id="{70A4501E-2360-4693-8A27-4A6E247CC527}">
            <xm:f>AND(IF(AE340&lt;'F:\Users\norela.briceno\Documents\Plan de acción\Plan Accion 2018\[Plan Accion Integrado ADRES Vigencia 2018 con Cuadro de Mando V6..xlsx]Plan de Accion 2018'!#REF!,AE340&lt;&gt;"N/A"))</xm:f>
            <x14:dxf>
              <fill>
                <patternFill>
                  <bgColor indexed="10"/>
                </patternFill>
              </fill>
            </x14:dxf>
          </x14:cfRule>
          <xm:sqref>AE340</xm:sqref>
        </x14:conditionalFormatting>
        <x14:conditionalFormatting xmlns:xm="http://schemas.microsoft.com/office/excel/2006/main">
          <x14:cfRule type="expression" priority="3186" id="{83CDA44E-8E7B-40DA-98EA-CA04276515AF}">
            <xm:f>AND(IF(AE337&gt;'F:\Users\norela.briceno\Documents\Plan de acción\Plan Accion 2018\[Plan Accion Integrado ADRES Vigencia 2018 con Cuadro de Mando V6..xlsx]Plan de Accion 2018'!#REF!,AE337&lt;&gt;¨N/A¨))</xm:f>
            <x14:dxf>
              <fill>
                <patternFill>
                  <bgColor theme="1" tint="0.499984740745262"/>
                </patternFill>
              </fill>
            </x14:dxf>
          </x14:cfRule>
          <x14:cfRule type="expression" priority="3187" stopIfTrue="1" id="{BE5F60B4-C1E8-4B31-A796-487ADC1C7A89}">
            <xm:f>AND(IF(AE337='F:\Users\norela.briceno\Documents\Plan de acción\Plan Accion 2018\[Plan Accion Integrado ADRES Vigencia 2018 con Cuadro de Mando V6..xlsx]Plan de Accion 2018'!#REF!,AE337&lt;&gt;"N/A"))</xm:f>
            <x14:dxf>
              <fill>
                <patternFill>
                  <bgColor rgb="FF00B050"/>
                </patternFill>
              </fill>
            </x14:dxf>
          </x14:cfRule>
          <x14:cfRule type="expression" priority="3188" stopIfTrue="1" id="{DA6C9805-3E5A-4B9A-A482-2652EC132374}">
            <xm:f>AND(IF(AE337&lt;'F:\Users\norela.briceno\Documents\Plan de acción\Plan Accion 2018\[Plan Accion Integrado ADRES Vigencia 2018 con Cuadro de Mando V6..xlsx]Plan de Accion 2018'!#REF!,AE337&lt;&gt;"N/A"))</xm:f>
            <x14:dxf>
              <fill>
                <patternFill>
                  <bgColor indexed="10"/>
                </patternFill>
              </fill>
            </x14:dxf>
          </x14:cfRule>
          <xm:sqref>AE337 AE339</xm:sqref>
        </x14:conditionalFormatting>
        <x14:conditionalFormatting xmlns:xm="http://schemas.microsoft.com/office/excel/2006/main">
          <x14:cfRule type="expression" priority="3183" id="{D8C3C830-1C64-4C32-B28B-3850BBBE7A7E}">
            <xm:f>AND(IF(AE336&gt;'F:\Users\norela.briceno\Documents\Plan de acción\Plan Accion 2018\[Plan Accion Integrado ADRES Vigencia 2018 con Cuadro de Mando V6..xlsx]Plan de Accion 2018'!#REF!,AE336&lt;&gt;¨N/A¨))</xm:f>
            <x14:dxf>
              <fill>
                <patternFill>
                  <bgColor theme="1" tint="0.499984740745262"/>
                </patternFill>
              </fill>
            </x14:dxf>
          </x14:cfRule>
          <x14:cfRule type="expression" priority="3184" stopIfTrue="1" id="{6314D03C-6E39-4B6E-9971-B7DE405A01DC}">
            <xm:f>AND(IF(AE336='F:\Users\norela.briceno\Documents\Plan de acción\Plan Accion 2018\[Plan Accion Integrado ADRES Vigencia 2018 con Cuadro de Mando V6..xlsx]Plan de Accion 2018'!#REF!,AE336&lt;&gt;"N/A"))</xm:f>
            <x14:dxf>
              <fill>
                <patternFill>
                  <bgColor rgb="FF00B050"/>
                </patternFill>
              </fill>
            </x14:dxf>
          </x14:cfRule>
          <x14:cfRule type="expression" priority="3185" stopIfTrue="1" id="{9E4A89B1-54B1-4B60-A6CA-BB6AC4A3BD87}">
            <xm:f>AND(IF(AE336&lt;'F:\Users\norela.briceno\Documents\Plan de acción\Plan Accion 2018\[Plan Accion Integrado ADRES Vigencia 2018 con Cuadro de Mando V6..xlsx]Plan de Accion 2018'!#REF!,AE336&lt;&gt;"N/A"))</xm:f>
            <x14:dxf>
              <fill>
                <patternFill>
                  <bgColor indexed="10"/>
                </patternFill>
              </fill>
            </x14:dxf>
          </x14:cfRule>
          <xm:sqref>AE336</xm:sqref>
        </x14:conditionalFormatting>
        <x14:conditionalFormatting xmlns:xm="http://schemas.microsoft.com/office/excel/2006/main">
          <x14:cfRule type="expression" priority="3180" id="{2E064F73-1034-4E6F-8C04-8A9466DBB7CF}">
            <xm:f>AND(IF(AE335&gt;'F:\Users\norela.briceno\Documents\Plan de acción\Plan Accion 2018\[Plan Accion Integrado ADRES Vigencia 2018 con Cuadro de Mando V6..xlsx]Plan de Accion 2018'!#REF!,AE335&lt;&gt;¨N/A¨))</xm:f>
            <x14:dxf>
              <fill>
                <patternFill>
                  <bgColor theme="1" tint="0.499984740745262"/>
                </patternFill>
              </fill>
            </x14:dxf>
          </x14:cfRule>
          <x14:cfRule type="expression" priority="3181" stopIfTrue="1" id="{0BAF1DAB-B292-4BD9-BA46-EBAA6BC91164}">
            <xm:f>AND(IF(AE335='F:\Users\norela.briceno\Documents\Plan de acción\Plan Accion 2018\[Plan Accion Integrado ADRES Vigencia 2018 con Cuadro de Mando V6..xlsx]Plan de Accion 2018'!#REF!,AE335&lt;&gt;"N/A"))</xm:f>
            <x14:dxf>
              <fill>
                <patternFill>
                  <bgColor rgb="FF00B050"/>
                </patternFill>
              </fill>
            </x14:dxf>
          </x14:cfRule>
          <x14:cfRule type="expression" priority="3182" stopIfTrue="1" id="{B9C0635F-F6FF-4DAC-886C-A3E619DBC32B}">
            <xm:f>AND(IF(AE335&lt;'F:\Users\norela.briceno\Documents\Plan de acción\Plan Accion 2018\[Plan Accion Integrado ADRES Vigencia 2018 con Cuadro de Mando V6..xlsx]Plan de Accion 2018'!#REF!,AE335&lt;&gt;"N/A"))</xm:f>
            <x14:dxf>
              <fill>
                <patternFill>
                  <bgColor indexed="10"/>
                </patternFill>
              </fill>
            </x14:dxf>
          </x14:cfRule>
          <xm:sqref>AE335</xm:sqref>
        </x14:conditionalFormatting>
        <x14:conditionalFormatting xmlns:xm="http://schemas.microsoft.com/office/excel/2006/main">
          <x14:cfRule type="expression" priority="3177" id="{A528082E-746B-4063-8631-4F8222B13B8C}">
            <xm:f>AND(IF(AE334&gt;'F:\Users\norela.briceno\Documents\Plan de acción\Plan Accion 2018\[Plan Accion Integrado ADRES Vigencia 2018 con Cuadro de Mando V6..xlsx]Plan de Accion 2018'!#REF!,AE334&lt;&gt;¨N/A¨))</xm:f>
            <x14:dxf>
              <fill>
                <patternFill>
                  <bgColor theme="1" tint="0.499984740745262"/>
                </patternFill>
              </fill>
            </x14:dxf>
          </x14:cfRule>
          <x14:cfRule type="expression" priority="3178" stopIfTrue="1" id="{0EE2E455-BA53-4AB9-ACDC-A03492D67409}">
            <xm:f>AND(IF(AE334='F:\Users\norela.briceno\Documents\Plan de acción\Plan Accion 2018\[Plan Accion Integrado ADRES Vigencia 2018 con Cuadro de Mando V6..xlsx]Plan de Accion 2018'!#REF!,AE334&lt;&gt;"N/A"))</xm:f>
            <x14:dxf>
              <fill>
                <patternFill>
                  <bgColor rgb="FF00B050"/>
                </patternFill>
              </fill>
            </x14:dxf>
          </x14:cfRule>
          <x14:cfRule type="expression" priority="3179" stopIfTrue="1" id="{82285A43-1C46-43BE-B524-3533C58606BE}">
            <xm:f>AND(IF(AE334&lt;'F:\Users\norela.briceno\Documents\Plan de acción\Plan Accion 2018\[Plan Accion Integrado ADRES Vigencia 2018 con Cuadro de Mando V6..xlsx]Plan de Accion 2018'!#REF!,AE334&lt;&gt;"N/A"))</xm:f>
            <x14:dxf>
              <fill>
                <patternFill>
                  <bgColor indexed="10"/>
                </patternFill>
              </fill>
            </x14:dxf>
          </x14:cfRule>
          <xm:sqref>AE334</xm:sqref>
        </x14:conditionalFormatting>
        <x14:conditionalFormatting xmlns:xm="http://schemas.microsoft.com/office/excel/2006/main">
          <x14:cfRule type="expression" priority="3174" id="{B6CD62C2-D05F-490E-B789-CEEBAF581DF5}">
            <xm:f>AND(IF(AE333&gt;'F:\Users\norela.briceno\Documents\Plan de acción\Plan Accion 2018\[Plan Accion Integrado ADRES Vigencia 2018 con Cuadro de Mando V6..xlsx]Plan de Accion 2018'!#REF!,AE333&lt;&gt;¨N/A¨))</xm:f>
            <x14:dxf>
              <fill>
                <patternFill>
                  <bgColor theme="1" tint="0.499984740745262"/>
                </patternFill>
              </fill>
            </x14:dxf>
          </x14:cfRule>
          <x14:cfRule type="expression" priority="3175" stopIfTrue="1" id="{5643E889-ED97-44F1-B04F-88C2EFD2D564}">
            <xm:f>AND(IF(AE333='F:\Users\norela.briceno\Documents\Plan de acción\Plan Accion 2018\[Plan Accion Integrado ADRES Vigencia 2018 con Cuadro de Mando V6..xlsx]Plan de Accion 2018'!#REF!,AE333&lt;&gt;"N/A"))</xm:f>
            <x14:dxf>
              <fill>
                <patternFill>
                  <bgColor rgb="FF00B050"/>
                </patternFill>
              </fill>
            </x14:dxf>
          </x14:cfRule>
          <x14:cfRule type="expression" priority="3176" stopIfTrue="1" id="{E0FFC621-DB9F-424A-AB4D-CE48DD6C5733}">
            <xm:f>AND(IF(AE333&lt;'F:\Users\norela.briceno\Documents\Plan de acción\Plan Accion 2018\[Plan Accion Integrado ADRES Vigencia 2018 con Cuadro de Mando V6..xlsx]Plan de Accion 2018'!#REF!,AE333&lt;&gt;"N/A"))</xm:f>
            <x14:dxf>
              <fill>
                <patternFill>
                  <bgColor indexed="10"/>
                </patternFill>
              </fill>
            </x14:dxf>
          </x14:cfRule>
          <xm:sqref>AE333</xm:sqref>
        </x14:conditionalFormatting>
        <x14:conditionalFormatting xmlns:xm="http://schemas.microsoft.com/office/excel/2006/main">
          <x14:cfRule type="expression" priority="3171" id="{F1F10B2E-0A8A-4D54-B156-F122224B0337}">
            <xm:f>AND(IF(AE332&gt;'F:\Users\norela.briceno\Documents\Plan de acción\Plan Accion 2018\[Plan Accion Integrado ADRES Vigencia 2018 con Cuadro de Mando V6..xlsx]Plan de Accion 2018'!#REF!,AE332&lt;&gt;¨N/A¨))</xm:f>
            <x14:dxf>
              <fill>
                <patternFill>
                  <bgColor theme="1" tint="0.499984740745262"/>
                </patternFill>
              </fill>
            </x14:dxf>
          </x14:cfRule>
          <x14:cfRule type="expression" priority="3172" stopIfTrue="1" id="{DD507E17-FD8A-46DD-AA72-134C63632A0E}">
            <xm:f>AND(IF(AE332='F:\Users\norela.briceno\Documents\Plan de acción\Plan Accion 2018\[Plan Accion Integrado ADRES Vigencia 2018 con Cuadro de Mando V6..xlsx]Plan de Accion 2018'!#REF!,AE332&lt;&gt;"N/A"))</xm:f>
            <x14:dxf>
              <fill>
                <patternFill>
                  <bgColor rgb="FF00B050"/>
                </patternFill>
              </fill>
            </x14:dxf>
          </x14:cfRule>
          <x14:cfRule type="expression" priority="3173" stopIfTrue="1" id="{A9CA389E-6C4B-4DD5-A26C-B3A0A4713892}">
            <xm:f>AND(IF(AE332&lt;'F:\Users\norela.briceno\Documents\Plan de acción\Plan Accion 2018\[Plan Accion Integrado ADRES Vigencia 2018 con Cuadro de Mando V6..xlsx]Plan de Accion 2018'!#REF!,AE332&lt;&gt;"N/A"))</xm:f>
            <x14:dxf>
              <fill>
                <patternFill>
                  <bgColor indexed="10"/>
                </patternFill>
              </fill>
            </x14:dxf>
          </x14:cfRule>
          <xm:sqref>AE332</xm:sqref>
        </x14:conditionalFormatting>
        <x14:conditionalFormatting xmlns:xm="http://schemas.microsoft.com/office/excel/2006/main">
          <x14:cfRule type="expression" priority="3168" id="{153BD081-E83B-45D6-945A-245457B8C382}">
            <xm:f>AND(IF(AE331&gt;'F:\Users\norela.briceno\Documents\Plan de acción\Plan Accion 2018\[Plan Accion Integrado ADRES Vigencia 2018 con Cuadro de Mando V6..xlsx]Plan de Accion 2018'!#REF!,AE331&lt;&gt;¨N/A¨))</xm:f>
            <x14:dxf>
              <fill>
                <patternFill>
                  <bgColor theme="1" tint="0.499984740745262"/>
                </patternFill>
              </fill>
            </x14:dxf>
          </x14:cfRule>
          <x14:cfRule type="expression" priority="3169" stopIfTrue="1" id="{A9CAB3AA-8729-40DB-B350-DF0F162CB156}">
            <xm:f>AND(IF(AE331='F:\Users\norela.briceno\Documents\Plan de acción\Plan Accion 2018\[Plan Accion Integrado ADRES Vigencia 2018 con Cuadro de Mando V6..xlsx]Plan de Accion 2018'!#REF!,AE331&lt;&gt;"N/A"))</xm:f>
            <x14:dxf>
              <fill>
                <patternFill>
                  <bgColor rgb="FF00B050"/>
                </patternFill>
              </fill>
            </x14:dxf>
          </x14:cfRule>
          <x14:cfRule type="expression" priority="3170" stopIfTrue="1" id="{6292F841-0687-477B-B698-D31FDD645A1C}">
            <xm:f>AND(IF(AE331&lt;'F:\Users\norela.briceno\Documents\Plan de acción\Plan Accion 2018\[Plan Accion Integrado ADRES Vigencia 2018 con Cuadro de Mando V6..xlsx]Plan de Accion 2018'!#REF!,AE331&lt;&gt;"N/A"))</xm:f>
            <x14:dxf>
              <fill>
                <patternFill>
                  <bgColor indexed="10"/>
                </patternFill>
              </fill>
            </x14:dxf>
          </x14:cfRule>
          <xm:sqref>AE331</xm:sqref>
        </x14:conditionalFormatting>
        <x14:conditionalFormatting xmlns:xm="http://schemas.microsoft.com/office/excel/2006/main">
          <x14:cfRule type="expression" priority="3165" id="{6211C9AA-87DD-49EA-A216-B8C3407079BA}">
            <xm:f>AND(IF(AE330&gt;'F:\Users\norela.briceno\Documents\Plan de acción\Plan Accion 2018\[Plan Accion Integrado ADRES Vigencia 2018 con Cuadro de Mando V6..xlsx]Plan de Accion 2018'!#REF!,AE330&lt;&gt;¨N/A¨))</xm:f>
            <x14:dxf>
              <fill>
                <patternFill>
                  <bgColor theme="1" tint="0.499984740745262"/>
                </patternFill>
              </fill>
            </x14:dxf>
          </x14:cfRule>
          <x14:cfRule type="expression" priority="3166" stopIfTrue="1" id="{3AFCDD48-7291-49D4-B8D4-3CE06818C60B}">
            <xm:f>AND(IF(AE330='F:\Users\norela.briceno\Documents\Plan de acción\Plan Accion 2018\[Plan Accion Integrado ADRES Vigencia 2018 con Cuadro de Mando V6..xlsx]Plan de Accion 2018'!#REF!,AE330&lt;&gt;"N/A"))</xm:f>
            <x14:dxf>
              <fill>
                <patternFill>
                  <bgColor rgb="FF00B050"/>
                </patternFill>
              </fill>
            </x14:dxf>
          </x14:cfRule>
          <x14:cfRule type="expression" priority="3167" stopIfTrue="1" id="{D4616222-9C5D-4101-BB4E-9AABBF363D11}">
            <xm:f>AND(IF(AE330&lt;'F:\Users\norela.briceno\Documents\Plan de acción\Plan Accion 2018\[Plan Accion Integrado ADRES Vigencia 2018 con Cuadro de Mando V6..xlsx]Plan de Accion 2018'!#REF!,AE330&lt;&gt;"N/A"))</xm:f>
            <x14:dxf>
              <fill>
                <patternFill>
                  <bgColor indexed="10"/>
                </patternFill>
              </fill>
            </x14:dxf>
          </x14:cfRule>
          <xm:sqref>AE330</xm:sqref>
        </x14:conditionalFormatting>
        <x14:conditionalFormatting xmlns:xm="http://schemas.microsoft.com/office/excel/2006/main">
          <x14:cfRule type="expression" priority="3162" id="{5F5D98AC-C32A-450F-B6B8-A0A872056EA9}">
            <xm:f>AND(IF(AE329&gt;'F:\Users\norela.briceno\Documents\Plan de acción\Plan Accion 2018\[Plan Accion Integrado ADRES Vigencia 2018 con Cuadro de Mando V6..xlsx]Plan de Accion 2018'!#REF!,AE329&lt;&gt;¨N/A¨))</xm:f>
            <x14:dxf>
              <fill>
                <patternFill>
                  <bgColor theme="1" tint="0.499984740745262"/>
                </patternFill>
              </fill>
            </x14:dxf>
          </x14:cfRule>
          <x14:cfRule type="expression" priority="3163" stopIfTrue="1" id="{936B407D-8B75-4C3A-99B3-1C9328883214}">
            <xm:f>AND(IF(AE329='F:\Users\norela.briceno\Documents\Plan de acción\Plan Accion 2018\[Plan Accion Integrado ADRES Vigencia 2018 con Cuadro de Mando V6..xlsx]Plan de Accion 2018'!#REF!,AE329&lt;&gt;"N/A"))</xm:f>
            <x14:dxf>
              <fill>
                <patternFill>
                  <bgColor rgb="FF00B050"/>
                </patternFill>
              </fill>
            </x14:dxf>
          </x14:cfRule>
          <x14:cfRule type="expression" priority="3164" stopIfTrue="1" id="{8D88FFA1-FCF8-41A8-9ED6-456079D67690}">
            <xm:f>AND(IF(AE329&lt;'F:\Users\norela.briceno\Documents\Plan de acción\Plan Accion 2018\[Plan Accion Integrado ADRES Vigencia 2018 con Cuadro de Mando V6..xlsx]Plan de Accion 2018'!#REF!,AE329&lt;&gt;"N/A"))</xm:f>
            <x14:dxf>
              <fill>
                <patternFill>
                  <bgColor indexed="10"/>
                </patternFill>
              </fill>
            </x14:dxf>
          </x14:cfRule>
          <xm:sqref>AE329</xm:sqref>
        </x14:conditionalFormatting>
        <x14:conditionalFormatting xmlns:xm="http://schemas.microsoft.com/office/excel/2006/main">
          <x14:cfRule type="expression" priority="3159" id="{CCAABCF4-0520-453C-A706-6510A2044002}">
            <xm:f>AND(IF(AE328&gt;'F:\Users\norela.briceno\Documents\Plan de acción\Plan Accion 2018\[Plan Accion Integrado ADRES Vigencia 2018 con Cuadro de Mando V6..xlsx]Plan de Accion 2018'!#REF!,AE328&lt;&gt;¨N/A¨))</xm:f>
            <x14:dxf>
              <fill>
                <patternFill>
                  <bgColor theme="1" tint="0.499984740745262"/>
                </patternFill>
              </fill>
            </x14:dxf>
          </x14:cfRule>
          <x14:cfRule type="expression" priority="3160" stopIfTrue="1" id="{1D8D2EA6-BFA0-4654-AFA0-9E3FB8FF14A1}">
            <xm:f>AND(IF(AE328='F:\Users\norela.briceno\Documents\Plan de acción\Plan Accion 2018\[Plan Accion Integrado ADRES Vigencia 2018 con Cuadro de Mando V6..xlsx]Plan de Accion 2018'!#REF!,AE328&lt;&gt;"N/A"))</xm:f>
            <x14:dxf>
              <fill>
                <patternFill>
                  <bgColor rgb="FF00B050"/>
                </patternFill>
              </fill>
            </x14:dxf>
          </x14:cfRule>
          <x14:cfRule type="expression" priority="3161" stopIfTrue="1" id="{2C673A35-EA31-4423-84CC-DF58A2F8A9EC}">
            <xm:f>AND(IF(AE328&lt;'F:\Users\norela.briceno\Documents\Plan de acción\Plan Accion 2018\[Plan Accion Integrado ADRES Vigencia 2018 con Cuadro de Mando V6..xlsx]Plan de Accion 2018'!#REF!,AE328&lt;&gt;"N/A"))</xm:f>
            <x14:dxf>
              <fill>
                <patternFill>
                  <bgColor indexed="10"/>
                </patternFill>
              </fill>
            </x14:dxf>
          </x14:cfRule>
          <xm:sqref>AE328</xm:sqref>
        </x14:conditionalFormatting>
        <x14:conditionalFormatting xmlns:xm="http://schemas.microsoft.com/office/excel/2006/main">
          <x14:cfRule type="expression" priority="3156" id="{0C22B0BA-7BFA-45F0-B91C-510BC7CA9BA4}">
            <xm:f>AND(IF(AE327&gt;'F:\Users\norela.briceno\Documents\Plan de acción\Plan Accion 2018\[Plan Accion Integrado ADRES Vigencia 2018 con Cuadro de Mando V6..xlsx]Plan de Accion 2018'!#REF!,AE327&lt;&gt;¨N/A¨))</xm:f>
            <x14:dxf>
              <fill>
                <patternFill>
                  <bgColor theme="1" tint="0.499984740745262"/>
                </patternFill>
              </fill>
            </x14:dxf>
          </x14:cfRule>
          <x14:cfRule type="expression" priority="3157" stopIfTrue="1" id="{6C98027C-1D91-4AB3-81C4-E9DA344BED11}">
            <xm:f>AND(IF(AE327='F:\Users\norela.briceno\Documents\Plan de acción\Plan Accion 2018\[Plan Accion Integrado ADRES Vigencia 2018 con Cuadro de Mando V6..xlsx]Plan de Accion 2018'!#REF!,AE327&lt;&gt;"N/A"))</xm:f>
            <x14:dxf>
              <fill>
                <patternFill>
                  <bgColor rgb="FF00B050"/>
                </patternFill>
              </fill>
            </x14:dxf>
          </x14:cfRule>
          <x14:cfRule type="expression" priority="3158" stopIfTrue="1" id="{2A164961-5CC9-47E5-971B-D4FBAC20EEDF}">
            <xm:f>AND(IF(AE327&lt;'F:\Users\norela.briceno\Documents\Plan de acción\Plan Accion 2018\[Plan Accion Integrado ADRES Vigencia 2018 con Cuadro de Mando V6..xlsx]Plan de Accion 2018'!#REF!,AE327&lt;&gt;"N/A"))</xm:f>
            <x14:dxf>
              <fill>
                <patternFill>
                  <bgColor indexed="10"/>
                </patternFill>
              </fill>
            </x14:dxf>
          </x14:cfRule>
          <xm:sqref>AE327</xm:sqref>
        </x14:conditionalFormatting>
        <x14:conditionalFormatting xmlns:xm="http://schemas.microsoft.com/office/excel/2006/main">
          <x14:cfRule type="expression" priority="3153" id="{DA234CE6-604F-44D9-9DE9-C5967646ECF5}">
            <xm:f>AND(IF(AE326&gt;'F:\Users\norela.briceno\Documents\Plan de acción\Plan Accion 2018\[Plan Accion Integrado ADRES Vigencia 2018 con Cuadro de Mando V6..xlsx]Plan de Accion 2018'!#REF!,AE326&lt;&gt;¨N/A¨))</xm:f>
            <x14:dxf>
              <fill>
                <patternFill>
                  <bgColor theme="1" tint="0.499984740745262"/>
                </patternFill>
              </fill>
            </x14:dxf>
          </x14:cfRule>
          <x14:cfRule type="expression" priority="3154" stopIfTrue="1" id="{0FB09515-B60A-4B19-9B7B-FB13AB59A576}">
            <xm:f>AND(IF(AE326='F:\Users\norela.briceno\Documents\Plan de acción\Plan Accion 2018\[Plan Accion Integrado ADRES Vigencia 2018 con Cuadro de Mando V6..xlsx]Plan de Accion 2018'!#REF!,AE326&lt;&gt;"N/A"))</xm:f>
            <x14:dxf>
              <fill>
                <patternFill>
                  <bgColor rgb="FF00B050"/>
                </patternFill>
              </fill>
            </x14:dxf>
          </x14:cfRule>
          <x14:cfRule type="expression" priority="3155" stopIfTrue="1" id="{7591B0D2-372E-49FF-BF09-18BB2012727F}">
            <xm:f>AND(IF(AE326&lt;'F:\Users\norela.briceno\Documents\Plan de acción\Plan Accion 2018\[Plan Accion Integrado ADRES Vigencia 2018 con Cuadro de Mando V6..xlsx]Plan de Accion 2018'!#REF!,AE326&lt;&gt;"N/A"))</xm:f>
            <x14:dxf>
              <fill>
                <patternFill>
                  <bgColor indexed="10"/>
                </patternFill>
              </fill>
            </x14:dxf>
          </x14:cfRule>
          <xm:sqref>AE326</xm:sqref>
        </x14:conditionalFormatting>
        <x14:conditionalFormatting xmlns:xm="http://schemas.microsoft.com/office/excel/2006/main">
          <x14:cfRule type="expression" priority="3150" id="{99488FBD-CC42-4EEE-A585-B14DF8430AC8}">
            <xm:f>AND(IF(AE325&gt;'F:\Users\norela.briceno\Documents\Plan de acción\Plan Accion 2018\[Plan Accion Integrado ADRES Vigencia 2018 con Cuadro de Mando V6..xlsx]Plan de Accion 2018'!#REF!,AE325&lt;&gt;¨N/A¨))</xm:f>
            <x14:dxf>
              <fill>
                <patternFill>
                  <bgColor theme="1" tint="0.499984740745262"/>
                </patternFill>
              </fill>
            </x14:dxf>
          </x14:cfRule>
          <x14:cfRule type="expression" priority="3151" stopIfTrue="1" id="{C02CDA67-1B18-4395-A6FF-2F159A7E77E5}">
            <xm:f>AND(IF(AE325='F:\Users\norela.briceno\Documents\Plan de acción\Plan Accion 2018\[Plan Accion Integrado ADRES Vigencia 2018 con Cuadro de Mando V6..xlsx]Plan de Accion 2018'!#REF!,AE325&lt;&gt;"N/A"))</xm:f>
            <x14:dxf>
              <fill>
                <patternFill>
                  <bgColor rgb="FF00B050"/>
                </patternFill>
              </fill>
            </x14:dxf>
          </x14:cfRule>
          <x14:cfRule type="expression" priority="3152" stopIfTrue="1" id="{21622931-AD49-4A73-89F3-7EB71D34EFAB}">
            <xm:f>AND(IF(AE325&lt;'F:\Users\norela.briceno\Documents\Plan de acción\Plan Accion 2018\[Plan Accion Integrado ADRES Vigencia 2018 con Cuadro de Mando V6..xlsx]Plan de Accion 2018'!#REF!,AE325&lt;&gt;"N/A"))</xm:f>
            <x14:dxf>
              <fill>
                <patternFill>
                  <bgColor indexed="10"/>
                </patternFill>
              </fill>
            </x14:dxf>
          </x14:cfRule>
          <xm:sqref>AE325</xm:sqref>
        </x14:conditionalFormatting>
        <x14:conditionalFormatting xmlns:xm="http://schemas.microsoft.com/office/excel/2006/main">
          <x14:cfRule type="expression" priority="3147" id="{517A372B-7CA3-4D02-AEBB-CB333C99F420}">
            <xm:f>AND(IF(AE324&gt;'F:\Users\norela.briceno\Documents\Plan de acción\Plan Accion 2018\[Plan Accion Integrado ADRES Vigencia 2018 con Cuadro de Mando V6..xlsx]Plan de Accion 2018'!#REF!,AE324&lt;&gt;¨N/A¨))</xm:f>
            <x14:dxf>
              <fill>
                <patternFill>
                  <bgColor theme="1" tint="0.499984740745262"/>
                </patternFill>
              </fill>
            </x14:dxf>
          </x14:cfRule>
          <x14:cfRule type="expression" priority="3148" stopIfTrue="1" id="{B478F803-4B4C-4179-95FC-FB342E8BB06F}">
            <xm:f>AND(IF(AE324='F:\Users\norela.briceno\Documents\Plan de acción\Plan Accion 2018\[Plan Accion Integrado ADRES Vigencia 2018 con Cuadro de Mando V6..xlsx]Plan de Accion 2018'!#REF!,AE324&lt;&gt;"N/A"))</xm:f>
            <x14:dxf>
              <fill>
                <patternFill>
                  <bgColor rgb="FF00B050"/>
                </patternFill>
              </fill>
            </x14:dxf>
          </x14:cfRule>
          <x14:cfRule type="expression" priority="3149" stopIfTrue="1" id="{B0D167BC-D98C-425B-9876-979474837137}">
            <xm:f>AND(IF(AE324&lt;'F:\Users\norela.briceno\Documents\Plan de acción\Plan Accion 2018\[Plan Accion Integrado ADRES Vigencia 2018 con Cuadro de Mando V6..xlsx]Plan de Accion 2018'!#REF!,AE324&lt;&gt;"N/A"))</xm:f>
            <x14:dxf>
              <fill>
                <patternFill>
                  <bgColor indexed="10"/>
                </patternFill>
              </fill>
            </x14:dxf>
          </x14:cfRule>
          <xm:sqref>AE324</xm:sqref>
        </x14:conditionalFormatting>
        <x14:conditionalFormatting xmlns:xm="http://schemas.microsoft.com/office/excel/2006/main">
          <x14:cfRule type="expression" priority="3144" id="{8D1BFBB2-EAC7-4B12-A060-49BD976B8267}">
            <xm:f>AND(IF(AE323&gt;'F:\Users\norela.briceno\Documents\Plan de acción\Plan Accion 2018\[Plan Accion Integrado ADRES Vigencia 2018 con Cuadro de Mando V6..xlsx]Plan de Accion 2018'!#REF!,AE323&lt;&gt;¨N/A¨))</xm:f>
            <x14:dxf>
              <fill>
                <patternFill>
                  <bgColor theme="1" tint="0.499984740745262"/>
                </patternFill>
              </fill>
            </x14:dxf>
          </x14:cfRule>
          <x14:cfRule type="expression" priority="3145" stopIfTrue="1" id="{F3EC3B94-BACE-454C-A31C-2816324D1AB1}">
            <xm:f>AND(IF(AE323='F:\Users\norela.briceno\Documents\Plan de acción\Plan Accion 2018\[Plan Accion Integrado ADRES Vigencia 2018 con Cuadro de Mando V6..xlsx]Plan de Accion 2018'!#REF!,AE323&lt;&gt;"N/A"))</xm:f>
            <x14:dxf>
              <fill>
                <patternFill>
                  <bgColor rgb="FF00B050"/>
                </patternFill>
              </fill>
            </x14:dxf>
          </x14:cfRule>
          <x14:cfRule type="expression" priority="3146" stopIfTrue="1" id="{0771D8EA-4C17-4A67-B605-966B5CC6A35F}">
            <xm:f>AND(IF(AE323&lt;'F:\Users\norela.briceno\Documents\Plan de acción\Plan Accion 2018\[Plan Accion Integrado ADRES Vigencia 2018 con Cuadro de Mando V6..xlsx]Plan de Accion 2018'!#REF!,AE323&lt;&gt;"N/A"))</xm:f>
            <x14:dxf>
              <fill>
                <patternFill>
                  <bgColor indexed="10"/>
                </patternFill>
              </fill>
            </x14:dxf>
          </x14:cfRule>
          <xm:sqref>AE323</xm:sqref>
        </x14:conditionalFormatting>
        <x14:conditionalFormatting xmlns:xm="http://schemas.microsoft.com/office/excel/2006/main">
          <x14:cfRule type="expression" priority="3141" id="{F24A399A-994A-4E32-A870-AD49D7B0EDE2}">
            <xm:f>AND(IF(AE322&gt;'F:\Users\norela.briceno\Documents\Plan de acción\Plan Accion 2018\[Plan Accion Integrado ADRES Vigencia 2018 con Cuadro de Mando V6..xlsx]Plan de Accion 2018'!#REF!,AE322&lt;&gt;¨N/A¨))</xm:f>
            <x14:dxf>
              <fill>
                <patternFill>
                  <bgColor theme="1" tint="0.499984740745262"/>
                </patternFill>
              </fill>
            </x14:dxf>
          </x14:cfRule>
          <x14:cfRule type="expression" priority="3142" stopIfTrue="1" id="{BC45428E-ADA6-468C-915C-418FE19A4D6D}">
            <xm:f>AND(IF(AE322='F:\Users\norela.briceno\Documents\Plan de acción\Plan Accion 2018\[Plan Accion Integrado ADRES Vigencia 2018 con Cuadro de Mando V6..xlsx]Plan de Accion 2018'!#REF!,AE322&lt;&gt;"N/A"))</xm:f>
            <x14:dxf>
              <fill>
                <patternFill>
                  <bgColor rgb="FF00B050"/>
                </patternFill>
              </fill>
            </x14:dxf>
          </x14:cfRule>
          <x14:cfRule type="expression" priority="3143" stopIfTrue="1" id="{95F28BE4-BDA0-4D6D-9454-04AA3FDC3FFE}">
            <xm:f>AND(IF(AE322&lt;'F:\Users\norela.briceno\Documents\Plan de acción\Plan Accion 2018\[Plan Accion Integrado ADRES Vigencia 2018 con Cuadro de Mando V6..xlsx]Plan de Accion 2018'!#REF!,AE322&lt;&gt;"N/A"))</xm:f>
            <x14:dxf>
              <fill>
                <patternFill>
                  <bgColor indexed="10"/>
                </patternFill>
              </fill>
            </x14:dxf>
          </x14:cfRule>
          <xm:sqref>AE322</xm:sqref>
        </x14:conditionalFormatting>
        <x14:conditionalFormatting xmlns:xm="http://schemas.microsoft.com/office/excel/2006/main">
          <x14:cfRule type="expression" priority="3138" id="{1CBF4A81-C705-437F-A30A-1AFA3C69E4DE}">
            <xm:f>AND(IF(AE321&gt;'F:\Users\norela.briceno\Documents\Plan de acción\Plan Accion 2018\[Plan Accion Integrado ADRES Vigencia 2018 con Cuadro de Mando V6..xlsx]Plan de Accion 2018'!#REF!,AE321&lt;&gt;¨N/A¨))</xm:f>
            <x14:dxf>
              <fill>
                <patternFill>
                  <bgColor theme="1" tint="0.499984740745262"/>
                </patternFill>
              </fill>
            </x14:dxf>
          </x14:cfRule>
          <x14:cfRule type="expression" priority="3139" stopIfTrue="1" id="{AF3BCD72-17F9-45B1-9B44-7488348A5553}">
            <xm:f>AND(IF(AE321='F:\Users\norela.briceno\Documents\Plan de acción\Plan Accion 2018\[Plan Accion Integrado ADRES Vigencia 2018 con Cuadro de Mando V6..xlsx]Plan de Accion 2018'!#REF!,AE321&lt;&gt;"N/A"))</xm:f>
            <x14:dxf>
              <fill>
                <patternFill>
                  <bgColor rgb="FF00B050"/>
                </patternFill>
              </fill>
            </x14:dxf>
          </x14:cfRule>
          <x14:cfRule type="expression" priority="3140" stopIfTrue="1" id="{3B556377-00E3-434E-9D0E-02D2073A6CA0}">
            <xm:f>AND(IF(AE321&lt;'F:\Users\norela.briceno\Documents\Plan de acción\Plan Accion 2018\[Plan Accion Integrado ADRES Vigencia 2018 con Cuadro de Mando V6..xlsx]Plan de Accion 2018'!#REF!,AE321&lt;&gt;"N/A"))</xm:f>
            <x14:dxf>
              <fill>
                <patternFill>
                  <bgColor indexed="10"/>
                </patternFill>
              </fill>
            </x14:dxf>
          </x14:cfRule>
          <xm:sqref>AE321</xm:sqref>
        </x14:conditionalFormatting>
        <x14:conditionalFormatting xmlns:xm="http://schemas.microsoft.com/office/excel/2006/main">
          <x14:cfRule type="expression" priority="3135" id="{3CAF7EA3-D922-4B0B-AD6F-BA80341BEA36}">
            <xm:f>AND(IF(AE320&gt;'F:\Users\norela.briceno\Documents\Plan de acción\Plan Accion 2018\[Plan Accion Integrado ADRES Vigencia 2018 con Cuadro de Mando V6..xlsx]Plan de Accion 2018'!#REF!,AE320&lt;&gt;¨N/A¨))</xm:f>
            <x14:dxf>
              <fill>
                <patternFill>
                  <bgColor theme="1" tint="0.499984740745262"/>
                </patternFill>
              </fill>
            </x14:dxf>
          </x14:cfRule>
          <x14:cfRule type="expression" priority="3136" stopIfTrue="1" id="{362CEECA-9BFE-48AC-A335-7EDD760BA3BE}">
            <xm:f>AND(IF(AE320='F:\Users\norela.briceno\Documents\Plan de acción\Plan Accion 2018\[Plan Accion Integrado ADRES Vigencia 2018 con Cuadro de Mando V6..xlsx]Plan de Accion 2018'!#REF!,AE320&lt;&gt;"N/A"))</xm:f>
            <x14:dxf>
              <fill>
                <patternFill>
                  <bgColor rgb="FF00B050"/>
                </patternFill>
              </fill>
            </x14:dxf>
          </x14:cfRule>
          <x14:cfRule type="expression" priority="3137" stopIfTrue="1" id="{85EF02F6-4F3E-4727-A59A-DC7DC6D2B1CA}">
            <xm:f>AND(IF(AE320&lt;'F:\Users\norela.briceno\Documents\Plan de acción\Plan Accion 2018\[Plan Accion Integrado ADRES Vigencia 2018 con Cuadro de Mando V6..xlsx]Plan de Accion 2018'!#REF!,AE320&lt;&gt;"N/A"))</xm:f>
            <x14:dxf>
              <fill>
                <patternFill>
                  <bgColor indexed="10"/>
                </patternFill>
              </fill>
            </x14:dxf>
          </x14:cfRule>
          <xm:sqref>AE320</xm:sqref>
        </x14:conditionalFormatting>
        <x14:conditionalFormatting xmlns:xm="http://schemas.microsoft.com/office/excel/2006/main">
          <x14:cfRule type="expression" priority="3132" id="{795C836C-E0B9-403C-9B14-6AAFC384D67E}">
            <xm:f>AND(IF(AE319&gt;'F:\Users\norela.briceno\Documents\Plan de acción\Plan Accion 2018\[Plan Accion Integrado ADRES Vigencia 2018 con Cuadro de Mando V6..xlsx]Plan de Accion 2018'!#REF!,AE319&lt;&gt;¨N/A¨))</xm:f>
            <x14:dxf>
              <fill>
                <patternFill>
                  <bgColor theme="1" tint="0.499984740745262"/>
                </patternFill>
              </fill>
            </x14:dxf>
          </x14:cfRule>
          <x14:cfRule type="expression" priority="3133" stopIfTrue="1" id="{FAC71A0A-4C7E-4196-B39B-E01A57038AAE}">
            <xm:f>AND(IF(AE319='F:\Users\norela.briceno\Documents\Plan de acción\Plan Accion 2018\[Plan Accion Integrado ADRES Vigencia 2018 con Cuadro de Mando V6..xlsx]Plan de Accion 2018'!#REF!,AE319&lt;&gt;"N/A"))</xm:f>
            <x14:dxf>
              <fill>
                <patternFill>
                  <bgColor rgb="FF00B050"/>
                </patternFill>
              </fill>
            </x14:dxf>
          </x14:cfRule>
          <x14:cfRule type="expression" priority="3134" stopIfTrue="1" id="{4B3331CB-ED6E-42EA-8244-F6D4BC2362D5}">
            <xm:f>AND(IF(AE319&lt;'F:\Users\norela.briceno\Documents\Plan de acción\Plan Accion 2018\[Plan Accion Integrado ADRES Vigencia 2018 con Cuadro de Mando V6..xlsx]Plan de Accion 2018'!#REF!,AE319&lt;&gt;"N/A"))</xm:f>
            <x14:dxf>
              <fill>
                <patternFill>
                  <bgColor indexed="10"/>
                </patternFill>
              </fill>
            </x14:dxf>
          </x14:cfRule>
          <xm:sqref>AE319</xm:sqref>
        </x14:conditionalFormatting>
        <x14:conditionalFormatting xmlns:xm="http://schemas.microsoft.com/office/excel/2006/main">
          <x14:cfRule type="expression" priority="3129" id="{FC9CE600-76B3-4695-8121-5A2B475CCC8D}">
            <xm:f>AND(IF(AE317&gt;'F:\Users\norela.briceno\Documents\Plan de acción\Plan Accion 2018\[Plan Accion Integrado ADRES Vigencia 2018 con Cuadro de Mando V6..xlsx]Plan de Accion 2018'!#REF!,AE317&lt;&gt;¨N/A¨))</xm:f>
            <x14:dxf>
              <fill>
                <patternFill>
                  <bgColor theme="1" tint="0.499984740745262"/>
                </patternFill>
              </fill>
            </x14:dxf>
          </x14:cfRule>
          <x14:cfRule type="expression" priority="3130" stopIfTrue="1" id="{3305EF3F-0D73-4E18-A674-6C6815FB2771}">
            <xm:f>AND(IF(AE317='F:\Users\norela.briceno\Documents\Plan de acción\Plan Accion 2018\[Plan Accion Integrado ADRES Vigencia 2018 con Cuadro de Mando V6..xlsx]Plan de Accion 2018'!#REF!,AE317&lt;&gt;"N/A"))</xm:f>
            <x14:dxf>
              <fill>
                <patternFill>
                  <bgColor rgb="FF00B050"/>
                </patternFill>
              </fill>
            </x14:dxf>
          </x14:cfRule>
          <x14:cfRule type="expression" priority="3131" stopIfTrue="1" id="{53E3FCC7-83BA-4D3F-A8AA-F6F1F6863DD4}">
            <xm:f>AND(IF(AE317&lt;'F:\Users\norela.briceno\Documents\Plan de acción\Plan Accion 2018\[Plan Accion Integrado ADRES Vigencia 2018 con Cuadro de Mando V6..xlsx]Plan de Accion 2018'!#REF!,AE317&lt;&gt;"N/A"))</xm:f>
            <x14:dxf>
              <fill>
                <patternFill>
                  <bgColor indexed="10"/>
                </patternFill>
              </fill>
            </x14:dxf>
          </x14:cfRule>
          <xm:sqref>AE317</xm:sqref>
        </x14:conditionalFormatting>
        <x14:conditionalFormatting xmlns:xm="http://schemas.microsoft.com/office/excel/2006/main">
          <x14:cfRule type="expression" priority="3126" id="{F07CE1B7-0ABE-46F8-BE3F-7D7B55E54A5C}">
            <xm:f>AND(IF(AE318&gt;'F:\Users\norela.briceno\Documents\Plan de acción\Plan Accion 2018\[Plan Accion Integrado ADRES Vigencia 2018 con Cuadro de Mando V6..xlsx]Plan de Accion 2018'!#REF!,AE318&lt;&gt;¨N/A¨))</xm:f>
            <x14:dxf>
              <fill>
                <patternFill>
                  <bgColor theme="1" tint="0.499984740745262"/>
                </patternFill>
              </fill>
            </x14:dxf>
          </x14:cfRule>
          <x14:cfRule type="expression" priority="3127" stopIfTrue="1" id="{E4178383-1D4B-4666-A272-83EFA64404DE}">
            <xm:f>AND(IF(AE318='F:\Users\norela.briceno\Documents\Plan de acción\Plan Accion 2018\[Plan Accion Integrado ADRES Vigencia 2018 con Cuadro de Mando V6..xlsx]Plan de Accion 2018'!#REF!,AE318&lt;&gt;"N/A"))</xm:f>
            <x14:dxf>
              <fill>
                <patternFill>
                  <bgColor rgb="FF00B050"/>
                </patternFill>
              </fill>
            </x14:dxf>
          </x14:cfRule>
          <x14:cfRule type="expression" priority="3128" stopIfTrue="1" id="{B3C23FA3-7379-49C3-AD4D-2F9DC215F228}">
            <xm:f>AND(IF(AE318&lt;'F:\Users\norela.briceno\Documents\Plan de acción\Plan Accion 2018\[Plan Accion Integrado ADRES Vigencia 2018 con Cuadro de Mando V6..xlsx]Plan de Accion 2018'!#REF!,AE318&lt;&gt;"N/A"))</xm:f>
            <x14:dxf>
              <fill>
                <patternFill>
                  <bgColor indexed="10"/>
                </patternFill>
              </fill>
            </x14:dxf>
          </x14:cfRule>
          <xm:sqref>AE318</xm:sqref>
        </x14:conditionalFormatting>
        <x14:conditionalFormatting xmlns:xm="http://schemas.microsoft.com/office/excel/2006/main">
          <x14:cfRule type="expression" priority="3123" id="{813B66E2-629A-42FE-9EBE-9576A8B6FFD7}">
            <xm:f>AND(IF(AE316&gt;'F:\Users\norela.briceno\Documents\Plan de acción\Plan Accion 2018\[Plan Accion Integrado ADRES Vigencia 2018 con Cuadro de Mando V6..xlsx]Plan de Accion 2018'!#REF!,AE316&lt;&gt;¨N/A¨))</xm:f>
            <x14:dxf>
              <fill>
                <patternFill>
                  <bgColor theme="1" tint="0.499984740745262"/>
                </patternFill>
              </fill>
            </x14:dxf>
          </x14:cfRule>
          <x14:cfRule type="expression" priority="3124" stopIfTrue="1" id="{4311EE92-FAC6-4D66-A2AE-FA1A63CC7003}">
            <xm:f>AND(IF(AE316='F:\Users\norela.briceno\Documents\Plan de acción\Plan Accion 2018\[Plan Accion Integrado ADRES Vigencia 2018 con Cuadro de Mando V6..xlsx]Plan de Accion 2018'!#REF!,AE316&lt;&gt;"N/A"))</xm:f>
            <x14:dxf>
              <fill>
                <patternFill>
                  <bgColor rgb="FF00B050"/>
                </patternFill>
              </fill>
            </x14:dxf>
          </x14:cfRule>
          <x14:cfRule type="expression" priority="3125" stopIfTrue="1" id="{F946F6F2-B78E-4C7F-96DA-FEADF6F4C29B}">
            <xm:f>AND(IF(AE316&lt;'F:\Users\norela.briceno\Documents\Plan de acción\Plan Accion 2018\[Plan Accion Integrado ADRES Vigencia 2018 con Cuadro de Mando V6..xlsx]Plan de Accion 2018'!#REF!,AE316&lt;&gt;"N/A"))</xm:f>
            <x14:dxf>
              <fill>
                <patternFill>
                  <bgColor indexed="10"/>
                </patternFill>
              </fill>
            </x14:dxf>
          </x14:cfRule>
          <xm:sqref>AE316</xm:sqref>
        </x14:conditionalFormatting>
        <x14:conditionalFormatting xmlns:xm="http://schemas.microsoft.com/office/excel/2006/main">
          <x14:cfRule type="expression" priority="3120" id="{AF28F8B8-5A70-4338-B090-255FA82B2371}">
            <xm:f>AND(IF(AE315&gt;'F:\Users\norela.briceno\Documents\Plan de acción\Plan Accion 2018\[Plan Accion Integrado ADRES Vigencia 2018 con Cuadro de Mando V6..xlsx]Plan de Accion 2018'!#REF!,AE315&lt;&gt;¨N/A¨))</xm:f>
            <x14:dxf>
              <fill>
                <patternFill>
                  <bgColor theme="1" tint="0.499984740745262"/>
                </patternFill>
              </fill>
            </x14:dxf>
          </x14:cfRule>
          <x14:cfRule type="expression" priority="3121" stopIfTrue="1" id="{D59EF8DA-8C0C-4EA1-A63E-34AEC9A46CCE}">
            <xm:f>AND(IF(AE315='F:\Users\norela.briceno\Documents\Plan de acción\Plan Accion 2018\[Plan Accion Integrado ADRES Vigencia 2018 con Cuadro de Mando V6..xlsx]Plan de Accion 2018'!#REF!,AE315&lt;&gt;"N/A"))</xm:f>
            <x14:dxf>
              <fill>
                <patternFill>
                  <bgColor rgb="FF00B050"/>
                </patternFill>
              </fill>
            </x14:dxf>
          </x14:cfRule>
          <x14:cfRule type="expression" priority="3122" stopIfTrue="1" id="{9A8AE04B-6B08-4183-B208-971F448A5906}">
            <xm:f>AND(IF(AE315&lt;'F:\Users\norela.briceno\Documents\Plan de acción\Plan Accion 2018\[Plan Accion Integrado ADRES Vigencia 2018 con Cuadro de Mando V6..xlsx]Plan de Accion 2018'!#REF!,AE315&lt;&gt;"N/A"))</xm:f>
            <x14:dxf>
              <fill>
                <patternFill>
                  <bgColor indexed="10"/>
                </patternFill>
              </fill>
            </x14:dxf>
          </x14:cfRule>
          <xm:sqref>AE315</xm:sqref>
        </x14:conditionalFormatting>
        <x14:conditionalFormatting xmlns:xm="http://schemas.microsoft.com/office/excel/2006/main">
          <x14:cfRule type="expression" priority="3117" id="{61E0AA00-97F8-4960-9E00-0665DA7433A2}">
            <xm:f>AND(IF(AE314&gt;'F:\Users\norela.briceno\Documents\Plan de acción\Plan Accion 2018\[Plan Accion Integrado ADRES Vigencia 2018 con Cuadro de Mando V6..xlsx]Plan de Accion 2018'!#REF!,AE314&lt;&gt;¨N/A¨))</xm:f>
            <x14:dxf>
              <fill>
                <patternFill>
                  <bgColor theme="1" tint="0.499984740745262"/>
                </patternFill>
              </fill>
            </x14:dxf>
          </x14:cfRule>
          <x14:cfRule type="expression" priority="3118" stopIfTrue="1" id="{0309894B-E0AD-41AB-A3E1-251468646851}">
            <xm:f>AND(IF(AE314='F:\Users\norela.briceno\Documents\Plan de acción\Plan Accion 2018\[Plan Accion Integrado ADRES Vigencia 2018 con Cuadro de Mando V6..xlsx]Plan de Accion 2018'!#REF!,AE314&lt;&gt;"N/A"))</xm:f>
            <x14:dxf>
              <fill>
                <patternFill>
                  <bgColor rgb="FF00B050"/>
                </patternFill>
              </fill>
            </x14:dxf>
          </x14:cfRule>
          <x14:cfRule type="expression" priority="3119" stopIfTrue="1" id="{1D6795DF-FFC6-4322-A5ED-F224D76BE926}">
            <xm:f>AND(IF(AE314&lt;'F:\Users\norela.briceno\Documents\Plan de acción\Plan Accion 2018\[Plan Accion Integrado ADRES Vigencia 2018 con Cuadro de Mando V6..xlsx]Plan de Accion 2018'!#REF!,AE314&lt;&gt;"N/A"))</xm:f>
            <x14:dxf>
              <fill>
                <patternFill>
                  <bgColor indexed="10"/>
                </patternFill>
              </fill>
            </x14:dxf>
          </x14:cfRule>
          <xm:sqref>AE314</xm:sqref>
        </x14:conditionalFormatting>
        <x14:conditionalFormatting xmlns:xm="http://schemas.microsoft.com/office/excel/2006/main">
          <x14:cfRule type="expression" priority="3114" id="{A16CE7D1-C810-44B6-84A1-58E7CF07597E}">
            <xm:f>AND(IF(AE313&gt;'F:\Users\norela.briceno\Documents\Plan de acción\Plan Accion 2018\[Plan Accion Integrado ADRES Vigencia 2018 con Cuadro de Mando V6..xlsx]Plan de Accion 2018'!#REF!,AE313&lt;&gt;¨N/A¨))</xm:f>
            <x14:dxf>
              <fill>
                <patternFill>
                  <bgColor theme="1" tint="0.499984740745262"/>
                </patternFill>
              </fill>
            </x14:dxf>
          </x14:cfRule>
          <x14:cfRule type="expression" priority="3115" stopIfTrue="1" id="{F94BD1C9-CB76-4405-BF28-F8EAB33C1D5B}">
            <xm:f>AND(IF(AE313='F:\Users\norela.briceno\Documents\Plan de acción\Plan Accion 2018\[Plan Accion Integrado ADRES Vigencia 2018 con Cuadro de Mando V6..xlsx]Plan de Accion 2018'!#REF!,AE313&lt;&gt;"N/A"))</xm:f>
            <x14:dxf>
              <fill>
                <patternFill>
                  <bgColor rgb="FF00B050"/>
                </patternFill>
              </fill>
            </x14:dxf>
          </x14:cfRule>
          <x14:cfRule type="expression" priority="3116" stopIfTrue="1" id="{45C1963D-CB3F-4D18-9875-551A83738280}">
            <xm:f>AND(IF(AE313&lt;'F:\Users\norela.briceno\Documents\Plan de acción\Plan Accion 2018\[Plan Accion Integrado ADRES Vigencia 2018 con Cuadro de Mando V6..xlsx]Plan de Accion 2018'!#REF!,AE313&lt;&gt;"N/A"))</xm:f>
            <x14:dxf>
              <fill>
                <patternFill>
                  <bgColor indexed="10"/>
                </patternFill>
              </fill>
            </x14:dxf>
          </x14:cfRule>
          <xm:sqref>AE313</xm:sqref>
        </x14:conditionalFormatting>
        <x14:conditionalFormatting xmlns:xm="http://schemas.microsoft.com/office/excel/2006/main">
          <x14:cfRule type="expression" priority="3111" id="{17FE6717-763C-43CB-B161-7EAAD8DD3F29}">
            <xm:f>AND(IF(AE312&gt;'F:\Users\norela.briceno\Documents\Plan de acción\Plan Accion 2018\[Plan Accion Integrado ADRES Vigencia 2018 con Cuadro de Mando V6..xlsx]Plan de Accion 2018'!#REF!,AE312&lt;&gt;¨N/A¨))</xm:f>
            <x14:dxf>
              <fill>
                <patternFill>
                  <bgColor theme="1" tint="0.499984740745262"/>
                </patternFill>
              </fill>
            </x14:dxf>
          </x14:cfRule>
          <x14:cfRule type="expression" priority="3112" stopIfTrue="1" id="{D6802E2A-18C3-4613-9DDA-C08F2756DEAA}">
            <xm:f>AND(IF(AE312='F:\Users\norela.briceno\Documents\Plan de acción\Plan Accion 2018\[Plan Accion Integrado ADRES Vigencia 2018 con Cuadro de Mando V6..xlsx]Plan de Accion 2018'!#REF!,AE312&lt;&gt;"N/A"))</xm:f>
            <x14:dxf>
              <fill>
                <patternFill>
                  <bgColor rgb="FF00B050"/>
                </patternFill>
              </fill>
            </x14:dxf>
          </x14:cfRule>
          <x14:cfRule type="expression" priority="3113" stopIfTrue="1" id="{E3A05D70-4EF1-45C2-B442-39F210166C20}">
            <xm:f>AND(IF(AE312&lt;'F:\Users\norela.briceno\Documents\Plan de acción\Plan Accion 2018\[Plan Accion Integrado ADRES Vigencia 2018 con Cuadro de Mando V6..xlsx]Plan de Accion 2018'!#REF!,AE312&lt;&gt;"N/A"))</xm:f>
            <x14:dxf>
              <fill>
                <patternFill>
                  <bgColor indexed="10"/>
                </patternFill>
              </fill>
            </x14:dxf>
          </x14:cfRule>
          <xm:sqref>AE312</xm:sqref>
        </x14:conditionalFormatting>
        <x14:conditionalFormatting xmlns:xm="http://schemas.microsoft.com/office/excel/2006/main">
          <x14:cfRule type="expression" priority="3108" id="{626AAE07-CB06-43EC-AF82-4BF3FCED3249}">
            <xm:f>AND(IF(AE311&gt;'F:\Users\norela.briceno\Documents\Plan de acción\Plan Accion 2018\[Plan Accion Integrado ADRES Vigencia 2018 con Cuadro de Mando V6..xlsx]Plan de Accion 2018'!#REF!,AE311&lt;&gt;¨N/A¨))</xm:f>
            <x14:dxf>
              <fill>
                <patternFill>
                  <bgColor theme="1" tint="0.499984740745262"/>
                </patternFill>
              </fill>
            </x14:dxf>
          </x14:cfRule>
          <x14:cfRule type="expression" priority="3109" stopIfTrue="1" id="{1E022B08-BA84-491D-9304-5C8990634B2F}">
            <xm:f>AND(IF(AE311='F:\Users\norela.briceno\Documents\Plan de acción\Plan Accion 2018\[Plan Accion Integrado ADRES Vigencia 2018 con Cuadro de Mando V6..xlsx]Plan de Accion 2018'!#REF!,AE311&lt;&gt;"N/A"))</xm:f>
            <x14:dxf>
              <fill>
                <patternFill>
                  <bgColor rgb="FF00B050"/>
                </patternFill>
              </fill>
            </x14:dxf>
          </x14:cfRule>
          <x14:cfRule type="expression" priority="3110" stopIfTrue="1" id="{47CB32AA-403A-4C04-A64B-A9151F08D50D}">
            <xm:f>AND(IF(AE311&lt;'F:\Users\norela.briceno\Documents\Plan de acción\Plan Accion 2018\[Plan Accion Integrado ADRES Vigencia 2018 con Cuadro de Mando V6..xlsx]Plan de Accion 2018'!#REF!,AE311&lt;&gt;"N/A"))</xm:f>
            <x14:dxf>
              <fill>
                <patternFill>
                  <bgColor indexed="10"/>
                </patternFill>
              </fill>
            </x14:dxf>
          </x14:cfRule>
          <xm:sqref>AE311</xm:sqref>
        </x14:conditionalFormatting>
        <x14:conditionalFormatting xmlns:xm="http://schemas.microsoft.com/office/excel/2006/main">
          <x14:cfRule type="expression" priority="3105" id="{963D16B8-5035-4807-9735-E1478D378BC0}">
            <xm:f>AND(IF(AE310&gt;'F:\Users\norela.briceno\Documents\Plan de acción\Plan Accion 2018\[Plan Accion Integrado ADRES Vigencia 2018 con Cuadro de Mando V6..xlsx]Plan de Accion 2018'!#REF!,AE310&lt;&gt;¨N/A¨))</xm:f>
            <x14:dxf>
              <fill>
                <patternFill>
                  <bgColor theme="1" tint="0.499984740745262"/>
                </patternFill>
              </fill>
            </x14:dxf>
          </x14:cfRule>
          <x14:cfRule type="expression" priority="3106" stopIfTrue="1" id="{3C3BC837-B608-426A-B1EC-AC0F8A7288B2}">
            <xm:f>AND(IF(AE310='F:\Users\norela.briceno\Documents\Plan de acción\Plan Accion 2018\[Plan Accion Integrado ADRES Vigencia 2018 con Cuadro de Mando V6..xlsx]Plan de Accion 2018'!#REF!,AE310&lt;&gt;"N/A"))</xm:f>
            <x14:dxf>
              <fill>
                <patternFill>
                  <bgColor rgb="FF00B050"/>
                </patternFill>
              </fill>
            </x14:dxf>
          </x14:cfRule>
          <x14:cfRule type="expression" priority="3107" stopIfTrue="1" id="{D1DD5DD5-E4CB-44F9-A849-C14DF1BE0045}">
            <xm:f>AND(IF(AE310&lt;'F:\Users\norela.briceno\Documents\Plan de acción\Plan Accion 2018\[Plan Accion Integrado ADRES Vigencia 2018 con Cuadro de Mando V6..xlsx]Plan de Accion 2018'!#REF!,AE310&lt;&gt;"N/A"))</xm:f>
            <x14:dxf>
              <fill>
                <patternFill>
                  <bgColor indexed="10"/>
                </patternFill>
              </fill>
            </x14:dxf>
          </x14:cfRule>
          <xm:sqref>AE310</xm:sqref>
        </x14:conditionalFormatting>
        <x14:conditionalFormatting xmlns:xm="http://schemas.microsoft.com/office/excel/2006/main">
          <x14:cfRule type="expression" priority="3102" id="{D4BBA563-86FD-40E0-858B-F1F535D466BD}">
            <xm:f>AND(IF(AE309&gt;'F:\Users\norela.briceno\Documents\Plan de acción\Plan Accion 2018\[Plan Accion Integrado ADRES Vigencia 2018 con Cuadro de Mando V6..xlsx]Plan de Accion 2018'!#REF!,AE309&lt;&gt;¨N/A¨))</xm:f>
            <x14:dxf>
              <fill>
                <patternFill>
                  <bgColor theme="1" tint="0.499984740745262"/>
                </patternFill>
              </fill>
            </x14:dxf>
          </x14:cfRule>
          <x14:cfRule type="expression" priority="3103" stopIfTrue="1" id="{04EE8B3C-1103-4BE2-B8E3-FFB484A6F15C}">
            <xm:f>AND(IF(AE309='F:\Users\norela.briceno\Documents\Plan de acción\Plan Accion 2018\[Plan Accion Integrado ADRES Vigencia 2018 con Cuadro de Mando V6..xlsx]Plan de Accion 2018'!#REF!,AE309&lt;&gt;"N/A"))</xm:f>
            <x14:dxf>
              <fill>
                <patternFill>
                  <bgColor rgb="FF00B050"/>
                </patternFill>
              </fill>
            </x14:dxf>
          </x14:cfRule>
          <x14:cfRule type="expression" priority="3104" stopIfTrue="1" id="{2A2594B5-15A5-4887-A1A2-43C8EA479D07}">
            <xm:f>AND(IF(AE309&lt;'F:\Users\norela.briceno\Documents\Plan de acción\Plan Accion 2018\[Plan Accion Integrado ADRES Vigencia 2018 con Cuadro de Mando V6..xlsx]Plan de Accion 2018'!#REF!,AE309&lt;&gt;"N/A"))</xm:f>
            <x14:dxf>
              <fill>
                <patternFill>
                  <bgColor indexed="10"/>
                </patternFill>
              </fill>
            </x14:dxf>
          </x14:cfRule>
          <xm:sqref>AE309</xm:sqref>
        </x14:conditionalFormatting>
        <x14:conditionalFormatting xmlns:xm="http://schemas.microsoft.com/office/excel/2006/main">
          <x14:cfRule type="expression" priority="3099" id="{A52FED0A-502D-4D7C-9281-2D4E915F8817}">
            <xm:f>AND(IF(AE308&gt;'F:\Users\norela.briceno\Documents\Plan de acción\Plan Accion 2018\[Plan Accion Integrado ADRES Vigencia 2018 con Cuadro de Mando V6..xlsx]Plan de Accion 2018'!#REF!,AE308&lt;&gt;¨N/A¨))</xm:f>
            <x14:dxf>
              <fill>
                <patternFill>
                  <bgColor theme="1" tint="0.499984740745262"/>
                </patternFill>
              </fill>
            </x14:dxf>
          </x14:cfRule>
          <x14:cfRule type="expression" priority="3100" stopIfTrue="1" id="{B60C6CC4-8FE2-4876-A413-014559352DEE}">
            <xm:f>AND(IF(AE308='F:\Users\norela.briceno\Documents\Plan de acción\Plan Accion 2018\[Plan Accion Integrado ADRES Vigencia 2018 con Cuadro de Mando V6..xlsx]Plan de Accion 2018'!#REF!,AE308&lt;&gt;"N/A"))</xm:f>
            <x14:dxf>
              <fill>
                <patternFill>
                  <bgColor rgb="FF00B050"/>
                </patternFill>
              </fill>
            </x14:dxf>
          </x14:cfRule>
          <x14:cfRule type="expression" priority="3101" stopIfTrue="1" id="{B726E35B-84A0-4740-857D-EF5C0C3BF75C}">
            <xm:f>AND(IF(AE308&lt;'F:\Users\norela.briceno\Documents\Plan de acción\Plan Accion 2018\[Plan Accion Integrado ADRES Vigencia 2018 con Cuadro de Mando V6..xlsx]Plan de Accion 2018'!#REF!,AE308&lt;&gt;"N/A"))</xm:f>
            <x14:dxf>
              <fill>
                <patternFill>
                  <bgColor indexed="10"/>
                </patternFill>
              </fill>
            </x14:dxf>
          </x14:cfRule>
          <xm:sqref>AE308</xm:sqref>
        </x14:conditionalFormatting>
        <x14:conditionalFormatting xmlns:xm="http://schemas.microsoft.com/office/excel/2006/main">
          <x14:cfRule type="expression" priority="3096" id="{CB0EFDC0-C584-4496-BCC2-7B6735AD3657}">
            <xm:f>AND(IF(AE307&gt;'F:\Users\norela.briceno\Documents\Plan de acción\Plan Accion 2018\[Plan Accion Integrado ADRES Vigencia 2018 con Cuadro de Mando V6..xlsx]Plan de Accion 2018'!#REF!,AE307&lt;&gt;¨N/A¨))</xm:f>
            <x14:dxf>
              <fill>
                <patternFill>
                  <bgColor theme="1" tint="0.499984740745262"/>
                </patternFill>
              </fill>
            </x14:dxf>
          </x14:cfRule>
          <x14:cfRule type="expression" priority="3097" stopIfTrue="1" id="{97E54A70-BC6B-4467-9E4C-33D320E336FC}">
            <xm:f>AND(IF(AE307='F:\Users\norela.briceno\Documents\Plan de acción\Plan Accion 2018\[Plan Accion Integrado ADRES Vigencia 2018 con Cuadro de Mando V6..xlsx]Plan de Accion 2018'!#REF!,AE307&lt;&gt;"N/A"))</xm:f>
            <x14:dxf>
              <fill>
                <patternFill>
                  <bgColor rgb="FF00B050"/>
                </patternFill>
              </fill>
            </x14:dxf>
          </x14:cfRule>
          <x14:cfRule type="expression" priority="3098" stopIfTrue="1" id="{3F95311B-D37A-46CD-B961-7C103A490135}">
            <xm:f>AND(IF(AE307&lt;'F:\Users\norela.briceno\Documents\Plan de acción\Plan Accion 2018\[Plan Accion Integrado ADRES Vigencia 2018 con Cuadro de Mando V6..xlsx]Plan de Accion 2018'!#REF!,AE307&lt;&gt;"N/A"))</xm:f>
            <x14:dxf>
              <fill>
                <patternFill>
                  <bgColor indexed="10"/>
                </patternFill>
              </fill>
            </x14:dxf>
          </x14:cfRule>
          <xm:sqref>AE307</xm:sqref>
        </x14:conditionalFormatting>
        <x14:conditionalFormatting xmlns:xm="http://schemas.microsoft.com/office/excel/2006/main">
          <x14:cfRule type="expression" priority="3093" id="{520DAC72-66FD-491D-9BDB-9D31D2531D21}">
            <xm:f>AND(IF(AE306&gt;'F:\Users\norela.briceno\Documents\Plan de acción\Plan Accion 2018\[Plan Accion Integrado ADRES Vigencia 2018 con Cuadro de Mando V6..xlsx]Plan de Accion 2018'!#REF!,AE306&lt;&gt;¨N/A¨))</xm:f>
            <x14:dxf>
              <fill>
                <patternFill>
                  <bgColor theme="1" tint="0.499984740745262"/>
                </patternFill>
              </fill>
            </x14:dxf>
          </x14:cfRule>
          <x14:cfRule type="expression" priority="3094" stopIfTrue="1" id="{84593A07-F0EA-42B9-9684-1091459B31CF}">
            <xm:f>AND(IF(AE306='F:\Users\norela.briceno\Documents\Plan de acción\Plan Accion 2018\[Plan Accion Integrado ADRES Vigencia 2018 con Cuadro de Mando V6..xlsx]Plan de Accion 2018'!#REF!,AE306&lt;&gt;"N/A"))</xm:f>
            <x14:dxf>
              <fill>
                <patternFill>
                  <bgColor rgb="FF00B050"/>
                </patternFill>
              </fill>
            </x14:dxf>
          </x14:cfRule>
          <x14:cfRule type="expression" priority="3095" stopIfTrue="1" id="{42128122-F869-432F-B94F-0B396A0F36EF}">
            <xm:f>AND(IF(AE306&lt;'F:\Users\norela.briceno\Documents\Plan de acción\Plan Accion 2018\[Plan Accion Integrado ADRES Vigencia 2018 con Cuadro de Mando V6..xlsx]Plan de Accion 2018'!#REF!,AE306&lt;&gt;"N/A"))</xm:f>
            <x14:dxf>
              <fill>
                <patternFill>
                  <bgColor indexed="10"/>
                </patternFill>
              </fill>
            </x14:dxf>
          </x14:cfRule>
          <xm:sqref>AE306</xm:sqref>
        </x14:conditionalFormatting>
        <x14:conditionalFormatting xmlns:xm="http://schemas.microsoft.com/office/excel/2006/main">
          <x14:cfRule type="expression" priority="3090" id="{EFC33EAE-E84C-478D-8A2C-555BE6174FC7}">
            <xm:f>AND(IF(AE305&gt;'F:\Users\norela.briceno\Documents\Plan de acción\Plan Accion 2018\[Plan Accion Integrado ADRES Vigencia 2018 con Cuadro de Mando V6..xlsx]Plan de Accion 2018'!#REF!,AE305&lt;&gt;¨N/A¨))</xm:f>
            <x14:dxf>
              <fill>
                <patternFill>
                  <bgColor theme="1" tint="0.499984740745262"/>
                </patternFill>
              </fill>
            </x14:dxf>
          </x14:cfRule>
          <x14:cfRule type="expression" priority="3091" stopIfTrue="1" id="{69E6FB14-D78B-45DA-94EC-1CC33512B363}">
            <xm:f>AND(IF(AE305='F:\Users\norela.briceno\Documents\Plan de acción\Plan Accion 2018\[Plan Accion Integrado ADRES Vigencia 2018 con Cuadro de Mando V6..xlsx]Plan de Accion 2018'!#REF!,AE305&lt;&gt;"N/A"))</xm:f>
            <x14:dxf>
              <fill>
                <patternFill>
                  <bgColor rgb="FF00B050"/>
                </patternFill>
              </fill>
            </x14:dxf>
          </x14:cfRule>
          <x14:cfRule type="expression" priority="3092" stopIfTrue="1" id="{7BA0F772-BF78-489E-A1A5-68C26EDEFCD2}">
            <xm:f>AND(IF(AE305&lt;'F:\Users\norela.briceno\Documents\Plan de acción\Plan Accion 2018\[Plan Accion Integrado ADRES Vigencia 2018 con Cuadro de Mando V6..xlsx]Plan de Accion 2018'!#REF!,AE305&lt;&gt;"N/A"))</xm:f>
            <x14:dxf>
              <fill>
                <patternFill>
                  <bgColor indexed="10"/>
                </patternFill>
              </fill>
            </x14:dxf>
          </x14:cfRule>
          <xm:sqref>AE305</xm:sqref>
        </x14:conditionalFormatting>
        <x14:conditionalFormatting xmlns:xm="http://schemas.microsoft.com/office/excel/2006/main">
          <x14:cfRule type="expression" priority="3087" id="{76D5B2E2-22D2-4403-A67A-BD6D62604301}">
            <xm:f>AND(IF(AE304&gt;'F:\Users\norela.briceno\Documents\Plan de acción\Plan Accion 2018\[Plan Accion Integrado ADRES Vigencia 2018 con Cuadro de Mando V6..xlsx]Plan de Accion 2018'!#REF!,AE304&lt;&gt;¨N/A¨))</xm:f>
            <x14:dxf>
              <fill>
                <patternFill>
                  <bgColor theme="1" tint="0.499984740745262"/>
                </patternFill>
              </fill>
            </x14:dxf>
          </x14:cfRule>
          <x14:cfRule type="expression" priority="3088" stopIfTrue="1" id="{F9A89588-4EB8-44AC-B92E-B4D6F8FF14B0}">
            <xm:f>AND(IF(AE304='F:\Users\norela.briceno\Documents\Plan de acción\Plan Accion 2018\[Plan Accion Integrado ADRES Vigencia 2018 con Cuadro de Mando V6..xlsx]Plan de Accion 2018'!#REF!,AE304&lt;&gt;"N/A"))</xm:f>
            <x14:dxf>
              <fill>
                <patternFill>
                  <bgColor rgb="FF00B050"/>
                </patternFill>
              </fill>
            </x14:dxf>
          </x14:cfRule>
          <x14:cfRule type="expression" priority="3089" stopIfTrue="1" id="{8DD101F1-DAA0-43A5-827E-2953714C3C1A}">
            <xm:f>AND(IF(AE304&lt;'F:\Users\norela.briceno\Documents\Plan de acción\Plan Accion 2018\[Plan Accion Integrado ADRES Vigencia 2018 con Cuadro de Mando V6..xlsx]Plan de Accion 2018'!#REF!,AE304&lt;&gt;"N/A"))</xm:f>
            <x14:dxf>
              <fill>
                <patternFill>
                  <bgColor indexed="10"/>
                </patternFill>
              </fill>
            </x14:dxf>
          </x14:cfRule>
          <xm:sqref>AE304</xm:sqref>
        </x14:conditionalFormatting>
        <x14:conditionalFormatting xmlns:xm="http://schemas.microsoft.com/office/excel/2006/main">
          <x14:cfRule type="expression" priority="3084" id="{DC0B189F-A9E1-4F47-97F2-5019F432700B}">
            <xm:f>AND(IF(AE303&gt;'F:\Users\norela.briceno\Documents\Plan de acción\Plan Accion 2018\[Plan Accion Integrado ADRES Vigencia 2018 con Cuadro de Mando V6..xlsx]Plan de Accion 2018'!#REF!,AE303&lt;&gt;¨N/A¨))</xm:f>
            <x14:dxf>
              <fill>
                <patternFill>
                  <bgColor theme="1" tint="0.499984740745262"/>
                </patternFill>
              </fill>
            </x14:dxf>
          </x14:cfRule>
          <x14:cfRule type="expression" priority="3085" stopIfTrue="1" id="{8066106F-C6D9-4E73-9138-769A7E2F2B8B}">
            <xm:f>AND(IF(AE303='F:\Users\norela.briceno\Documents\Plan de acción\Plan Accion 2018\[Plan Accion Integrado ADRES Vigencia 2018 con Cuadro de Mando V6..xlsx]Plan de Accion 2018'!#REF!,AE303&lt;&gt;"N/A"))</xm:f>
            <x14:dxf>
              <fill>
                <patternFill>
                  <bgColor rgb="FF00B050"/>
                </patternFill>
              </fill>
            </x14:dxf>
          </x14:cfRule>
          <x14:cfRule type="expression" priority="3086" stopIfTrue="1" id="{AEC53E95-91CC-43DB-ACB5-D3C420F0A321}">
            <xm:f>AND(IF(AE303&lt;'F:\Users\norela.briceno\Documents\Plan de acción\Plan Accion 2018\[Plan Accion Integrado ADRES Vigencia 2018 con Cuadro de Mando V6..xlsx]Plan de Accion 2018'!#REF!,AE303&lt;&gt;"N/A"))</xm:f>
            <x14:dxf>
              <fill>
                <patternFill>
                  <bgColor indexed="10"/>
                </patternFill>
              </fill>
            </x14:dxf>
          </x14:cfRule>
          <xm:sqref>AE303</xm:sqref>
        </x14:conditionalFormatting>
        <x14:conditionalFormatting xmlns:xm="http://schemas.microsoft.com/office/excel/2006/main">
          <x14:cfRule type="expression" priority="3081" id="{0A3DC06B-2296-4440-A9E5-85DC55F2471B}">
            <xm:f>AND(IF(AE302&gt;'F:\Users\norela.briceno\Documents\Plan de acción\Plan Accion 2018\[Plan Accion Integrado ADRES Vigencia 2018 con Cuadro de Mando V6..xlsx]Plan de Accion 2018'!#REF!,AE302&lt;&gt;¨N/A¨))</xm:f>
            <x14:dxf>
              <fill>
                <patternFill>
                  <bgColor theme="1" tint="0.499984740745262"/>
                </patternFill>
              </fill>
            </x14:dxf>
          </x14:cfRule>
          <x14:cfRule type="expression" priority="3082" stopIfTrue="1" id="{B5C5953A-E89F-4512-8621-5BB759A2A1C2}">
            <xm:f>AND(IF(AE302='F:\Users\norela.briceno\Documents\Plan de acción\Plan Accion 2018\[Plan Accion Integrado ADRES Vigencia 2018 con Cuadro de Mando V6..xlsx]Plan de Accion 2018'!#REF!,AE302&lt;&gt;"N/A"))</xm:f>
            <x14:dxf>
              <fill>
                <patternFill>
                  <bgColor rgb="FF00B050"/>
                </patternFill>
              </fill>
            </x14:dxf>
          </x14:cfRule>
          <x14:cfRule type="expression" priority="3083" stopIfTrue="1" id="{903F2CD2-EDCD-4909-824A-5BF9B9E98361}">
            <xm:f>AND(IF(AE302&lt;'F:\Users\norela.briceno\Documents\Plan de acción\Plan Accion 2018\[Plan Accion Integrado ADRES Vigencia 2018 con Cuadro de Mando V6..xlsx]Plan de Accion 2018'!#REF!,AE302&lt;&gt;"N/A"))</xm:f>
            <x14:dxf>
              <fill>
                <patternFill>
                  <bgColor indexed="10"/>
                </patternFill>
              </fill>
            </x14:dxf>
          </x14:cfRule>
          <xm:sqref>AE302</xm:sqref>
        </x14:conditionalFormatting>
        <x14:conditionalFormatting xmlns:xm="http://schemas.microsoft.com/office/excel/2006/main">
          <x14:cfRule type="expression" priority="3078" id="{D1FFA7B4-4662-460F-BDFA-6501C8D5FEDF}">
            <xm:f>AND(IF(AE301&gt;'F:\Users\norela.briceno\Documents\Plan de acción\Plan Accion 2018\[Plan Accion Integrado ADRES Vigencia 2018 con Cuadro de Mando V6..xlsx]Plan de Accion 2018'!#REF!,AE301&lt;&gt;¨N/A¨))</xm:f>
            <x14:dxf>
              <fill>
                <patternFill>
                  <bgColor theme="1" tint="0.499984740745262"/>
                </patternFill>
              </fill>
            </x14:dxf>
          </x14:cfRule>
          <x14:cfRule type="expression" priority="3079" stopIfTrue="1" id="{4B04295D-5DC4-4FA9-A454-C8B8E9541095}">
            <xm:f>AND(IF(AE301='F:\Users\norela.briceno\Documents\Plan de acción\Plan Accion 2018\[Plan Accion Integrado ADRES Vigencia 2018 con Cuadro de Mando V6..xlsx]Plan de Accion 2018'!#REF!,AE301&lt;&gt;"N/A"))</xm:f>
            <x14:dxf>
              <fill>
                <patternFill>
                  <bgColor rgb="FF00B050"/>
                </patternFill>
              </fill>
            </x14:dxf>
          </x14:cfRule>
          <x14:cfRule type="expression" priority="3080" stopIfTrue="1" id="{D8BA9EBF-8050-4907-B068-CCA1C5F924B0}">
            <xm:f>AND(IF(AE301&lt;'F:\Users\norela.briceno\Documents\Plan de acción\Plan Accion 2018\[Plan Accion Integrado ADRES Vigencia 2018 con Cuadro de Mando V6..xlsx]Plan de Accion 2018'!#REF!,AE301&lt;&gt;"N/A"))</xm:f>
            <x14:dxf>
              <fill>
                <patternFill>
                  <bgColor indexed="10"/>
                </patternFill>
              </fill>
            </x14:dxf>
          </x14:cfRule>
          <xm:sqref>AE301</xm:sqref>
        </x14:conditionalFormatting>
        <x14:conditionalFormatting xmlns:xm="http://schemas.microsoft.com/office/excel/2006/main">
          <x14:cfRule type="expression" priority="3075" id="{1874F39C-E599-4598-9EF3-525F9F4D5D71}">
            <xm:f>AND(IF(AE300&gt;'F:\Users\norela.briceno\Documents\Plan de acción\Plan Accion 2018\[Plan Accion Integrado ADRES Vigencia 2018 con Cuadro de Mando V6..xlsx]Plan de Accion 2018'!#REF!,AE300&lt;&gt;¨N/A¨))</xm:f>
            <x14:dxf>
              <fill>
                <patternFill>
                  <bgColor theme="1" tint="0.499984740745262"/>
                </patternFill>
              </fill>
            </x14:dxf>
          </x14:cfRule>
          <x14:cfRule type="expression" priority="3076" stopIfTrue="1" id="{E4DC7418-D979-4D1F-9ED2-BF45F9759E11}">
            <xm:f>AND(IF(AE300='F:\Users\norela.briceno\Documents\Plan de acción\Plan Accion 2018\[Plan Accion Integrado ADRES Vigencia 2018 con Cuadro de Mando V6..xlsx]Plan de Accion 2018'!#REF!,AE300&lt;&gt;"N/A"))</xm:f>
            <x14:dxf>
              <fill>
                <patternFill>
                  <bgColor rgb="FF00B050"/>
                </patternFill>
              </fill>
            </x14:dxf>
          </x14:cfRule>
          <x14:cfRule type="expression" priority="3077" stopIfTrue="1" id="{1CB56986-1690-435F-84C0-BDCD6EA00562}">
            <xm:f>AND(IF(AE300&lt;'F:\Users\norela.briceno\Documents\Plan de acción\Plan Accion 2018\[Plan Accion Integrado ADRES Vigencia 2018 con Cuadro de Mando V6..xlsx]Plan de Accion 2018'!#REF!,AE300&lt;&gt;"N/A"))</xm:f>
            <x14:dxf>
              <fill>
                <patternFill>
                  <bgColor indexed="10"/>
                </patternFill>
              </fill>
            </x14:dxf>
          </x14:cfRule>
          <xm:sqref>AE300</xm:sqref>
        </x14:conditionalFormatting>
        <x14:conditionalFormatting xmlns:xm="http://schemas.microsoft.com/office/excel/2006/main">
          <x14:cfRule type="expression" priority="3072" id="{EF6D0DE9-F2D7-4821-9272-21146AA19537}">
            <xm:f>AND(IF(AE299&gt;'F:\Users\norela.briceno\Documents\Plan de acción\Plan Accion 2018\[Plan Accion Integrado ADRES Vigencia 2018 con Cuadro de Mando V6..xlsx]Plan de Accion 2018'!#REF!,AE299&lt;&gt;¨N/A¨))</xm:f>
            <x14:dxf>
              <fill>
                <patternFill>
                  <bgColor theme="1" tint="0.499984740745262"/>
                </patternFill>
              </fill>
            </x14:dxf>
          </x14:cfRule>
          <x14:cfRule type="expression" priority="3073" stopIfTrue="1" id="{1FDE64DD-FF12-49C8-BA98-6FFD2A9DD818}">
            <xm:f>AND(IF(AE299='F:\Users\norela.briceno\Documents\Plan de acción\Plan Accion 2018\[Plan Accion Integrado ADRES Vigencia 2018 con Cuadro de Mando V6..xlsx]Plan de Accion 2018'!#REF!,AE299&lt;&gt;"N/A"))</xm:f>
            <x14:dxf>
              <fill>
                <patternFill>
                  <bgColor rgb="FF00B050"/>
                </patternFill>
              </fill>
            </x14:dxf>
          </x14:cfRule>
          <x14:cfRule type="expression" priority="3074" stopIfTrue="1" id="{A386E4BA-50BA-4CFB-8427-092CF8F998B7}">
            <xm:f>AND(IF(AE299&lt;'F:\Users\norela.briceno\Documents\Plan de acción\Plan Accion 2018\[Plan Accion Integrado ADRES Vigencia 2018 con Cuadro de Mando V6..xlsx]Plan de Accion 2018'!#REF!,AE299&lt;&gt;"N/A"))</xm:f>
            <x14:dxf>
              <fill>
                <patternFill>
                  <bgColor indexed="10"/>
                </patternFill>
              </fill>
            </x14:dxf>
          </x14:cfRule>
          <xm:sqref>AE299</xm:sqref>
        </x14:conditionalFormatting>
        <x14:conditionalFormatting xmlns:xm="http://schemas.microsoft.com/office/excel/2006/main">
          <x14:cfRule type="expression" priority="3069" id="{27961E7E-D2D5-404D-8CC6-8BD71BB79AE4}">
            <xm:f>AND(IF(AE298&gt;'F:\Users\norela.briceno\Documents\Plan de acción\Plan Accion 2018\[Plan Accion Integrado ADRES Vigencia 2018 con Cuadro de Mando V6..xlsx]Plan de Accion 2018'!#REF!,AE298&lt;&gt;¨N/A¨))</xm:f>
            <x14:dxf>
              <fill>
                <patternFill>
                  <bgColor theme="1" tint="0.499984740745262"/>
                </patternFill>
              </fill>
            </x14:dxf>
          </x14:cfRule>
          <x14:cfRule type="expression" priority="3070" stopIfTrue="1" id="{2EA79C29-E0AD-446E-8CB4-456CBC9DDAC0}">
            <xm:f>AND(IF(AE298='F:\Users\norela.briceno\Documents\Plan de acción\Plan Accion 2018\[Plan Accion Integrado ADRES Vigencia 2018 con Cuadro de Mando V6..xlsx]Plan de Accion 2018'!#REF!,AE298&lt;&gt;"N/A"))</xm:f>
            <x14:dxf>
              <fill>
                <patternFill>
                  <bgColor rgb="FF00B050"/>
                </patternFill>
              </fill>
            </x14:dxf>
          </x14:cfRule>
          <x14:cfRule type="expression" priority="3071" stopIfTrue="1" id="{C605A455-EBC7-4201-ADCF-DF0740E9B1D7}">
            <xm:f>AND(IF(AE298&lt;'F:\Users\norela.briceno\Documents\Plan de acción\Plan Accion 2018\[Plan Accion Integrado ADRES Vigencia 2018 con Cuadro de Mando V6..xlsx]Plan de Accion 2018'!#REF!,AE298&lt;&gt;"N/A"))</xm:f>
            <x14:dxf>
              <fill>
                <patternFill>
                  <bgColor indexed="10"/>
                </patternFill>
              </fill>
            </x14:dxf>
          </x14:cfRule>
          <xm:sqref>AE298</xm:sqref>
        </x14:conditionalFormatting>
        <x14:conditionalFormatting xmlns:xm="http://schemas.microsoft.com/office/excel/2006/main">
          <x14:cfRule type="expression" priority="3066" id="{987F5867-1246-4CCE-9796-00D15E4FB2FB}">
            <xm:f>AND(IF(AE297&gt;'F:\Users\norela.briceno\Documents\Plan de acción\Plan Accion 2018\[Plan Accion Integrado ADRES Vigencia 2018 con Cuadro de Mando V6..xlsx]Plan de Accion 2018'!#REF!,AE297&lt;&gt;¨N/A¨))</xm:f>
            <x14:dxf>
              <fill>
                <patternFill>
                  <bgColor theme="1" tint="0.499984740745262"/>
                </patternFill>
              </fill>
            </x14:dxf>
          </x14:cfRule>
          <x14:cfRule type="expression" priority="3067" stopIfTrue="1" id="{2CF06271-85EF-4023-83A6-643284FA7AFD}">
            <xm:f>AND(IF(AE297='F:\Users\norela.briceno\Documents\Plan de acción\Plan Accion 2018\[Plan Accion Integrado ADRES Vigencia 2018 con Cuadro de Mando V6..xlsx]Plan de Accion 2018'!#REF!,AE297&lt;&gt;"N/A"))</xm:f>
            <x14:dxf>
              <fill>
                <patternFill>
                  <bgColor rgb="FF00B050"/>
                </patternFill>
              </fill>
            </x14:dxf>
          </x14:cfRule>
          <x14:cfRule type="expression" priority="3068" stopIfTrue="1" id="{ADE012C2-7247-4757-8CD7-DB0E58E278AF}">
            <xm:f>AND(IF(AE297&lt;'F:\Users\norela.briceno\Documents\Plan de acción\Plan Accion 2018\[Plan Accion Integrado ADRES Vigencia 2018 con Cuadro de Mando V6..xlsx]Plan de Accion 2018'!#REF!,AE297&lt;&gt;"N/A"))</xm:f>
            <x14:dxf>
              <fill>
                <patternFill>
                  <bgColor indexed="10"/>
                </patternFill>
              </fill>
            </x14:dxf>
          </x14:cfRule>
          <xm:sqref>AE297</xm:sqref>
        </x14:conditionalFormatting>
        <x14:conditionalFormatting xmlns:xm="http://schemas.microsoft.com/office/excel/2006/main">
          <x14:cfRule type="expression" priority="3063" id="{3732DAFD-55C8-494F-9A4A-E31DA2E719EF}">
            <xm:f>AND(IF(AE296&gt;'F:\Users\norela.briceno\Documents\Plan de acción\Plan Accion 2018\[Plan Accion Integrado ADRES Vigencia 2018 con Cuadro de Mando V6..xlsx]Plan de Accion 2018'!#REF!,AE296&lt;&gt;¨N/A¨))</xm:f>
            <x14:dxf>
              <fill>
                <patternFill>
                  <bgColor theme="1" tint="0.499984740745262"/>
                </patternFill>
              </fill>
            </x14:dxf>
          </x14:cfRule>
          <x14:cfRule type="expression" priority="3064" stopIfTrue="1" id="{DB8C4A38-E0C9-46FB-881E-A9C74B513D02}">
            <xm:f>AND(IF(AE296='F:\Users\norela.briceno\Documents\Plan de acción\Plan Accion 2018\[Plan Accion Integrado ADRES Vigencia 2018 con Cuadro de Mando V6..xlsx]Plan de Accion 2018'!#REF!,AE296&lt;&gt;"N/A"))</xm:f>
            <x14:dxf>
              <fill>
                <patternFill>
                  <bgColor rgb="FF00B050"/>
                </patternFill>
              </fill>
            </x14:dxf>
          </x14:cfRule>
          <x14:cfRule type="expression" priority="3065" stopIfTrue="1" id="{CB5BBF1F-3605-4822-ABD8-0AB65A5AD4DD}">
            <xm:f>AND(IF(AE296&lt;'F:\Users\norela.briceno\Documents\Plan de acción\Plan Accion 2018\[Plan Accion Integrado ADRES Vigencia 2018 con Cuadro de Mando V6..xlsx]Plan de Accion 2018'!#REF!,AE296&lt;&gt;"N/A"))</xm:f>
            <x14:dxf>
              <fill>
                <patternFill>
                  <bgColor indexed="10"/>
                </patternFill>
              </fill>
            </x14:dxf>
          </x14:cfRule>
          <xm:sqref>AE296</xm:sqref>
        </x14:conditionalFormatting>
        <x14:conditionalFormatting xmlns:xm="http://schemas.microsoft.com/office/excel/2006/main">
          <x14:cfRule type="expression" priority="3060" id="{0E876E9E-605A-473E-88DB-62510B60C1BA}">
            <xm:f>AND(IF(AE295&gt;'F:\Users\norela.briceno\Documents\Plan de acción\Plan Accion 2018\[Plan Accion Integrado ADRES Vigencia 2018 con Cuadro de Mando V6..xlsx]Plan de Accion 2018'!#REF!,AE295&lt;&gt;¨N/A¨))</xm:f>
            <x14:dxf>
              <fill>
                <patternFill>
                  <bgColor theme="1" tint="0.499984740745262"/>
                </patternFill>
              </fill>
            </x14:dxf>
          </x14:cfRule>
          <x14:cfRule type="expression" priority="3061" stopIfTrue="1" id="{95CC18A7-5AF7-4A90-A0E5-D98220DAC070}">
            <xm:f>AND(IF(AE295='F:\Users\norela.briceno\Documents\Plan de acción\Plan Accion 2018\[Plan Accion Integrado ADRES Vigencia 2018 con Cuadro de Mando V6..xlsx]Plan de Accion 2018'!#REF!,AE295&lt;&gt;"N/A"))</xm:f>
            <x14:dxf>
              <fill>
                <patternFill>
                  <bgColor rgb="FF00B050"/>
                </patternFill>
              </fill>
            </x14:dxf>
          </x14:cfRule>
          <x14:cfRule type="expression" priority="3062" stopIfTrue="1" id="{3DF96256-273D-4A99-BDE5-E276D458A1B5}">
            <xm:f>AND(IF(AE295&lt;'F:\Users\norela.briceno\Documents\Plan de acción\Plan Accion 2018\[Plan Accion Integrado ADRES Vigencia 2018 con Cuadro de Mando V6..xlsx]Plan de Accion 2018'!#REF!,AE295&lt;&gt;"N/A"))</xm:f>
            <x14:dxf>
              <fill>
                <patternFill>
                  <bgColor indexed="10"/>
                </patternFill>
              </fill>
            </x14:dxf>
          </x14:cfRule>
          <xm:sqref>AE295</xm:sqref>
        </x14:conditionalFormatting>
        <x14:conditionalFormatting xmlns:xm="http://schemas.microsoft.com/office/excel/2006/main">
          <x14:cfRule type="expression" priority="3057" id="{57453E5B-7009-4E0C-A7E0-540FA281024E}">
            <xm:f>AND(IF(AE294&gt;'F:\Users\norela.briceno\Documents\Plan de acción\Plan Accion 2018\[Plan Accion Integrado ADRES Vigencia 2018 con Cuadro de Mando V6..xlsx]Plan de Accion 2018'!#REF!,AE294&lt;&gt;¨N/A¨))</xm:f>
            <x14:dxf>
              <fill>
                <patternFill>
                  <bgColor theme="1" tint="0.499984740745262"/>
                </patternFill>
              </fill>
            </x14:dxf>
          </x14:cfRule>
          <x14:cfRule type="expression" priority="3058" stopIfTrue="1" id="{C09C1E91-C67D-494D-A67F-5FC6A3DCF572}">
            <xm:f>AND(IF(AE294='F:\Users\norela.briceno\Documents\Plan de acción\Plan Accion 2018\[Plan Accion Integrado ADRES Vigencia 2018 con Cuadro de Mando V6..xlsx]Plan de Accion 2018'!#REF!,AE294&lt;&gt;"N/A"))</xm:f>
            <x14:dxf>
              <fill>
                <patternFill>
                  <bgColor rgb="FF00B050"/>
                </patternFill>
              </fill>
            </x14:dxf>
          </x14:cfRule>
          <x14:cfRule type="expression" priority="3059" stopIfTrue="1" id="{04473938-666F-457C-90E7-EC44DB6D6565}">
            <xm:f>AND(IF(AE294&lt;'F:\Users\norela.briceno\Documents\Plan de acción\Plan Accion 2018\[Plan Accion Integrado ADRES Vigencia 2018 con Cuadro de Mando V6..xlsx]Plan de Accion 2018'!#REF!,AE294&lt;&gt;"N/A"))</xm:f>
            <x14:dxf>
              <fill>
                <patternFill>
                  <bgColor indexed="10"/>
                </patternFill>
              </fill>
            </x14:dxf>
          </x14:cfRule>
          <xm:sqref>AE294</xm:sqref>
        </x14:conditionalFormatting>
        <x14:conditionalFormatting xmlns:xm="http://schemas.microsoft.com/office/excel/2006/main">
          <x14:cfRule type="expression" priority="3054" id="{A76E8C1E-7C24-4A40-A474-D7F88D9E3092}">
            <xm:f>AND(IF(AE293&gt;'F:\Users\norela.briceno\Documents\Plan de acción\Plan Accion 2018\[Plan Accion Integrado ADRES Vigencia 2018 con Cuadro de Mando V6..xlsx]Plan de Accion 2018'!#REF!,AE293&lt;&gt;¨N/A¨))</xm:f>
            <x14:dxf>
              <fill>
                <patternFill>
                  <bgColor theme="1" tint="0.499984740745262"/>
                </patternFill>
              </fill>
            </x14:dxf>
          </x14:cfRule>
          <x14:cfRule type="expression" priority="3055" stopIfTrue="1" id="{5EC4F279-85A0-4694-80BA-70EA9E3300C4}">
            <xm:f>AND(IF(AE293='F:\Users\norela.briceno\Documents\Plan de acción\Plan Accion 2018\[Plan Accion Integrado ADRES Vigencia 2018 con Cuadro de Mando V6..xlsx]Plan de Accion 2018'!#REF!,AE293&lt;&gt;"N/A"))</xm:f>
            <x14:dxf>
              <fill>
                <patternFill>
                  <bgColor rgb="FF00B050"/>
                </patternFill>
              </fill>
            </x14:dxf>
          </x14:cfRule>
          <x14:cfRule type="expression" priority="3056" stopIfTrue="1" id="{E1678F9E-77CA-464F-965E-3F29A84FB46B}">
            <xm:f>AND(IF(AE293&lt;'F:\Users\norela.briceno\Documents\Plan de acción\Plan Accion 2018\[Plan Accion Integrado ADRES Vigencia 2018 con Cuadro de Mando V6..xlsx]Plan de Accion 2018'!#REF!,AE293&lt;&gt;"N/A"))</xm:f>
            <x14:dxf>
              <fill>
                <patternFill>
                  <bgColor indexed="10"/>
                </patternFill>
              </fill>
            </x14:dxf>
          </x14:cfRule>
          <xm:sqref>AE293</xm:sqref>
        </x14:conditionalFormatting>
        <x14:conditionalFormatting xmlns:xm="http://schemas.microsoft.com/office/excel/2006/main">
          <x14:cfRule type="expression" priority="3051" id="{A9EC1B23-32BA-4D26-84B0-0BED98BB2139}">
            <xm:f>AND(IF(AE291&gt;'F:\Users\norela.briceno\Documents\Plan de acción\Plan Accion 2018\[Plan Accion Integrado ADRES Vigencia 2018 con Cuadro de Mando V6..xlsx]Plan de Accion 2018'!#REF!,AE291&lt;&gt;¨N/A¨))</xm:f>
            <x14:dxf>
              <fill>
                <patternFill>
                  <bgColor theme="1" tint="0.499984740745262"/>
                </patternFill>
              </fill>
            </x14:dxf>
          </x14:cfRule>
          <x14:cfRule type="expression" priority="3052" stopIfTrue="1" id="{2F40A9BA-801A-4999-98FC-369B9FA337B5}">
            <xm:f>AND(IF(AE291='F:\Users\norela.briceno\Documents\Plan de acción\Plan Accion 2018\[Plan Accion Integrado ADRES Vigencia 2018 con Cuadro de Mando V6..xlsx]Plan de Accion 2018'!#REF!,AE291&lt;&gt;"N/A"))</xm:f>
            <x14:dxf>
              <fill>
                <patternFill>
                  <bgColor rgb="FF00B050"/>
                </patternFill>
              </fill>
            </x14:dxf>
          </x14:cfRule>
          <x14:cfRule type="expression" priority="3053" stopIfTrue="1" id="{D7EC0176-7790-47A2-8F7D-5EF222803F84}">
            <xm:f>AND(IF(AE291&lt;'F:\Users\norela.briceno\Documents\Plan de acción\Plan Accion 2018\[Plan Accion Integrado ADRES Vigencia 2018 con Cuadro de Mando V6..xlsx]Plan de Accion 2018'!#REF!,AE291&lt;&gt;"N/A"))</xm:f>
            <x14:dxf>
              <fill>
                <patternFill>
                  <bgColor indexed="10"/>
                </patternFill>
              </fill>
            </x14:dxf>
          </x14:cfRule>
          <xm:sqref>AE291</xm:sqref>
        </x14:conditionalFormatting>
        <x14:conditionalFormatting xmlns:xm="http://schemas.microsoft.com/office/excel/2006/main">
          <x14:cfRule type="expression" priority="3048" id="{91CE974F-9B97-4028-A185-7837776309B0}">
            <xm:f>AND(IF(AE290&gt;'F:\Users\norela.briceno\Documents\Plan de acción\Plan Accion 2018\[Plan Accion Integrado ADRES Vigencia 2018 con Cuadro de Mando V6..xlsx]Plan de Accion 2018'!#REF!,AE290&lt;&gt;¨N/A¨))</xm:f>
            <x14:dxf>
              <fill>
                <patternFill>
                  <bgColor theme="1" tint="0.499984740745262"/>
                </patternFill>
              </fill>
            </x14:dxf>
          </x14:cfRule>
          <x14:cfRule type="expression" priority="3049" stopIfTrue="1" id="{287C9726-049F-455D-97E8-715D2DDC0A5B}">
            <xm:f>AND(IF(AE290='F:\Users\norela.briceno\Documents\Plan de acción\Plan Accion 2018\[Plan Accion Integrado ADRES Vigencia 2018 con Cuadro de Mando V6..xlsx]Plan de Accion 2018'!#REF!,AE290&lt;&gt;"N/A"))</xm:f>
            <x14:dxf>
              <fill>
                <patternFill>
                  <bgColor rgb="FF00B050"/>
                </patternFill>
              </fill>
            </x14:dxf>
          </x14:cfRule>
          <x14:cfRule type="expression" priority="3050" stopIfTrue="1" id="{F218F980-F77F-493A-8275-AC32C50CA0A5}">
            <xm:f>AND(IF(AE290&lt;'F:\Users\norela.briceno\Documents\Plan de acción\Plan Accion 2018\[Plan Accion Integrado ADRES Vigencia 2018 con Cuadro de Mando V6..xlsx]Plan de Accion 2018'!#REF!,AE290&lt;&gt;"N/A"))</xm:f>
            <x14:dxf>
              <fill>
                <patternFill>
                  <bgColor indexed="10"/>
                </patternFill>
              </fill>
            </x14:dxf>
          </x14:cfRule>
          <xm:sqref>AE290</xm:sqref>
        </x14:conditionalFormatting>
        <x14:conditionalFormatting xmlns:xm="http://schemas.microsoft.com/office/excel/2006/main">
          <x14:cfRule type="expression" priority="3045" id="{8FAFB3D3-21E8-4C91-9DBA-8064937B575F}">
            <xm:f>AND(IF(AE289&gt;'F:\Users\norela.briceno\Documents\Plan de acción\Plan Accion 2018\[Plan Accion Integrado ADRES Vigencia 2018 con Cuadro de Mando V6..xlsx]Plan de Accion 2018'!#REF!,AE289&lt;&gt;¨N/A¨))</xm:f>
            <x14:dxf>
              <fill>
                <patternFill>
                  <bgColor theme="1" tint="0.499984740745262"/>
                </patternFill>
              </fill>
            </x14:dxf>
          </x14:cfRule>
          <x14:cfRule type="expression" priority="3046" stopIfTrue="1" id="{AE920E4D-374A-4F9E-B529-66FB44CCE722}">
            <xm:f>AND(IF(AE289='F:\Users\norela.briceno\Documents\Plan de acción\Plan Accion 2018\[Plan Accion Integrado ADRES Vigencia 2018 con Cuadro de Mando V6..xlsx]Plan de Accion 2018'!#REF!,AE289&lt;&gt;"N/A"))</xm:f>
            <x14:dxf>
              <fill>
                <patternFill>
                  <bgColor rgb="FF00B050"/>
                </patternFill>
              </fill>
            </x14:dxf>
          </x14:cfRule>
          <x14:cfRule type="expression" priority="3047" stopIfTrue="1" id="{4CC303F4-ECD8-4178-A2B8-317A37F90B90}">
            <xm:f>AND(IF(AE289&lt;'F:\Users\norela.briceno\Documents\Plan de acción\Plan Accion 2018\[Plan Accion Integrado ADRES Vigencia 2018 con Cuadro de Mando V6..xlsx]Plan de Accion 2018'!#REF!,AE289&lt;&gt;"N/A"))</xm:f>
            <x14:dxf>
              <fill>
                <patternFill>
                  <bgColor indexed="10"/>
                </patternFill>
              </fill>
            </x14:dxf>
          </x14:cfRule>
          <xm:sqref>AE289</xm:sqref>
        </x14:conditionalFormatting>
        <x14:conditionalFormatting xmlns:xm="http://schemas.microsoft.com/office/excel/2006/main">
          <x14:cfRule type="expression" priority="3042" id="{09C2ADFB-22E2-49DB-BC6C-AE555D34F05D}">
            <xm:f>AND(IF(AE287&gt;'F:\Users\norela.briceno\Documents\Plan de acción\Plan Accion 2018\[Plan Accion Integrado ADRES Vigencia 2018 con Cuadro de Mando V6..xlsx]Plan de Accion 2018'!#REF!,AE287&lt;&gt;¨N/A¨))</xm:f>
            <x14:dxf>
              <fill>
                <patternFill>
                  <bgColor theme="1" tint="0.499984740745262"/>
                </patternFill>
              </fill>
            </x14:dxf>
          </x14:cfRule>
          <x14:cfRule type="expression" priority="3043" stopIfTrue="1" id="{4C8411B6-CE7D-484A-A72C-A1E94A39835B}">
            <xm:f>AND(IF(AE287='F:\Users\norela.briceno\Documents\Plan de acción\Plan Accion 2018\[Plan Accion Integrado ADRES Vigencia 2018 con Cuadro de Mando V6..xlsx]Plan de Accion 2018'!#REF!,AE287&lt;&gt;"N/A"))</xm:f>
            <x14:dxf>
              <fill>
                <patternFill>
                  <bgColor rgb="FF00B050"/>
                </patternFill>
              </fill>
            </x14:dxf>
          </x14:cfRule>
          <x14:cfRule type="expression" priority="3044" stopIfTrue="1" id="{5018CC45-F89F-4D84-8C4C-943AE96FA55F}">
            <xm:f>AND(IF(AE287&lt;'F:\Users\norela.briceno\Documents\Plan de acción\Plan Accion 2018\[Plan Accion Integrado ADRES Vigencia 2018 con Cuadro de Mando V6..xlsx]Plan de Accion 2018'!#REF!,AE287&lt;&gt;"N/A"))</xm:f>
            <x14:dxf>
              <fill>
                <patternFill>
                  <bgColor indexed="10"/>
                </patternFill>
              </fill>
            </x14:dxf>
          </x14:cfRule>
          <xm:sqref>AE287</xm:sqref>
        </x14:conditionalFormatting>
        <x14:conditionalFormatting xmlns:xm="http://schemas.microsoft.com/office/excel/2006/main">
          <x14:cfRule type="expression" priority="3039" id="{07720643-099B-4FF6-8694-4D979C261F3B}">
            <xm:f>AND(IF(AE286&gt;'F:\Users\norela.briceno\Documents\Plan de acción\Plan Accion 2018\[Plan Accion Integrado ADRES Vigencia 2018 con Cuadro de Mando V6..xlsx]Plan de Accion 2018'!#REF!,AE286&lt;&gt;¨N/A¨))</xm:f>
            <x14:dxf>
              <fill>
                <patternFill>
                  <bgColor theme="1" tint="0.499984740745262"/>
                </patternFill>
              </fill>
            </x14:dxf>
          </x14:cfRule>
          <x14:cfRule type="expression" priority="3040" stopIfTrue="1" id="{17B58746-6670-4EAC-A44B-D6EED0754B22}">
            <xm:f>AND(IF(AE286='F:\Users\norela.briceno\Documents\Plan de acción\Plan Accion 2018\[Plan Accion Integrado ADRES Vigencia 2018 con Cuadro de Mando V6..xlsx]Plan de Accion 2018'!#REF!,AE286&lt;&gt;"N/A"))</xm:f>
            <x14:dxf>
              <fill>
                <patternFill>
                  <bgColor rgb="FF00B050"/>
                </patternFill>
              </fill>
            </x14:dxf>
          </x14:cfRule>
          <x14:cfRule type="expression" priority="3041" stopIfTrue="1" id="{5EC371A8-4971-4C16-9552-8A988D2EB007}">
            <xm:f>AND(IF(AE286&lt;'F:\Users\norela.briceno\Documents\Plan de acción\Plan Accion 2018\[Plan Accion Integrado ADRES Vigencia 2018 con Cuadro de Mando V6..xlsx]Plan de Accion 2018'!#REF!,AE286&lt;&gt;"N/A"))</xm:f>
            <x14:dxf>
              <fill>
                <patternFill>
                  <bgColor indexed="10"/>
                </patternFill>
              </fill>
            </x14:dxf>
          </x14:cfRule>
          <xm:sqref>AE286</xm:sqref>
        </x14:conditionalFormatting>
        <x14:conditionalFormatting xmlns:xm="http://schemas.microsoft.com/office/excel/2006/main">
          <x14:cfRule type="expression" priority="3036" id="{DFDA1C78-DBAA-496A-A02D-CEDFB31BC006}">
            <xm:f>AND(IF(AE285&gt;'F:\Users\norela.briceno\Documents\Plan de acción\Plan Accion 2018\[Plan Accion Integrado ADRES Vigencia 2018 con Cuadro de Mando V6..xlsx]Plan de Accion 2018'!#REF!,AE285&lt;&gt;¨N/A¨))</xm:f>
            <x14:dxf>
              <fill>
                <patternFill>
                  <bgColor theme="1" tint="0.499984740745262"/>
                </patternFill>
              </fill>
            </x14:dxf>
          </x14:cfRule>
          <x14:cfRule type="expression" priority="3037" stopIfTrue="1" id="{CAE3B717-A80C-4658-A496-CC015C0D02CB}">
            <xm:f>AND(IF(AE285='F:\Users\norela.briceno\Documents\Plan de acción\Plan Accion 2018\[Plan Accion Integrado ADRES Vigencia 2018 con Cuadro de Mando V6..xlsx]Plan de Accion 2018'!#REF!,AE285&lt;&gt;"N/A"))</xm:f>
            <x14:dxf>
              <fill>
                <patternFill>
                  <bgColor rgb="FF00B050"/>
                </patternFill>
              </fill>
            </x14:dxf>
          </x14:cfRule>
          <x14:cfRule type="expression" priority="3038" stopIfTrue="1" id="{D662A534-6794-4414-8BB4-847E4E11470E}">
            <xm:f>AND(IF(AE285&lt;'F:\Users\norela.briceno\Documents\Plan de acción\Plan Accion 2018\[Plan Accion Integrado ADRES Vigencia 2018 con Cuadro de Mando V6..xlsx]Plan de Accion 2018'!#REF!,AE285&lt;&gt;"N/A"))</xm:f>
            <x14:dxf>
              <fill>
                <patternFill>
                  <bgColor indexed="10"/>
                </patternFill>
              </fill>
            </x14:dxf>
          </x14:cfRule>
          <xm:sqref>AE285</xm:sqref>
        </x14:conditionalFormatting>
        <x14:conditionalFormatting xmlns:xm="http://schemas.microsoft.com/office/excel/2006/main">
          <x14:cfRule type="expression" priority="3030" id="{DC4F388D-98C9-4C56-AAD0-D2D02864BE76}">
            <xm:f>AND(IF(AE282&gt;'F:\Users\norela.briceno\Documents\Plan de acción\Plan Accion 2018\[Plan Accion Integrado ADRES Vigencia 2018 con Cuadro de Mando V6..xlsx]Plan de Accion 2018'!#REF!,AE282&lt;&gt;¨N/A¨))</xm:f>
            <x14:dxf>
              <fill>
                <patternFill>
                  <bgColor theme="1" tint="0.499984740745262"/>
                </patternFill>
              </fill>
            </x14:dxf>
          </x14:cfRule>
          <x14:cfRule type="expression" priority="3031" stopIfTrue="1" id="{5A940AE0-BF0C-4917-99B8-D0510363A0FF}">
            <xm:f>AND(IF(AE282='F:\Users\norela.briceno\Documents\Plan de acción\Plan Accion 2018\[Plan Accion Integrado ADRES Vigencia 2018 con Cuadro de Mando V6..xlsx]Plan de Accion 2018'!#REF!,AE282&lt;&gt;"N/A"))</xm:f>
            <x14:dxf>
              <fill>
                <patternFill>
                  <bgColor rgb="FF00B050"/>
                </patternFill>
              </fill>
            </x14:dxf>
          </x14:cfRule>
          <x14:cfRule type="expression" priority="3032" stopIfTrue="1" id="{8FDE0A0F-2F18-4BB5-ADFA-FD670070B235}">
            <xm:f>AND(IF(AE282&lt;'F:\Users\norela.briceno\Documents\Plan de acción\Plan Accion 2018\[Plan Accion Integrado ADRES Vigencia 2018 con Cuadro de Mando V6..xlsx]Plan de Accion 2018'!#REF!,AE282&lt;&gt;"N/A"))</xm:f>
            <x14:dxf>
              <fill>
                <patternFill>
                  <bgColor indexed="10"/>
                </patternFill>
              </fill>
            </x14:dxf>
          </x14:cfRule>
          <xm:sqref>AE282</xm:sqref>
        </x14:conditionalFormatting>
        <x14:conditionalFormatting xmlns:xm="http://schemas.microsoft.com/office/excel/2006/main">
          <x14:cfRule type="expression" priority="3027" id="{1740B5C5-9F90-42DB-AAD2-9A764985B544}">
            <xm:f>AND(IF(AE280&gt;'F:\Users\norela.briceno\Documents\Plan de acción\Plan Accion 2018\[Plan Accion Integrado ADRES Vigencia 2018 con Cuadro de Mando V6..xlsx]Plan de Accion 2018'!#REF!,AE280&lt;&gt;¨N/A¨))</xm:f>
            <x14:dxf>
              <fill>
                <patternFill>
                  <bgColor theme="1" tint="0.499984740745262"/>
                </patternFill>
              </fill>
            </x14:dxf>
          </x14:cfRule>
          <x14:cfRule type="expression" priority="3028" stopIfTrue="1" id="{2EC59945-B7EB-4B28-98B4-2D5ADAED94D2}">
            <xm:f>AND(IF(AE280='F:\Users\norela.briceno\Documents\Plan de acción\Plan Accion 2018\[Plan Accion Integrado ADRES Vigencia 2018 con Cuadro de Mando V6..xlsx]Plan de Accion 2018'!#REF!,AE280&lt;&gt;"N/A"))</xm:f>
            <x14:dxf>
              <fill>
                <patternFill>
                  <bgColor rgb="FF00B050"/>
                </patternFill>
              </fill>
            </x14:dxf>
          </x14:cfRule>
          <x14:cfRule type="expression" priority="3029" stopIfTrue="1" id="{EFF70493-3E39-4164-98F2-96FB3E9448DB}">
            <xm:f>AND(IF(AE280&lt;'F:\Users\norela.briceno\Documents\Plan de acción\Plan Accion 2018\[Plan Accion Integrado ADRES Vigencia 2018 con Cuadro de Mando V6..xlsx]Plan de Accion 2018'!#REF!,AE280&lt;&gt;"N/A"))</xm:f>
            <x14:dxf>
              <fill>
                <patternFill>
                  <bgColor indexed="10"/>
                </patternFill>
              </fill>
            </x14:dxf>
          </x14:cfRule>
          <xm:sqref>AE280</xm:sqref>
        </x14:conditionalFormatting>
        <x14:conditionalFormatting xmlns:xm="http://schemas.microsoft.com/office/excel/2006/main">
          <x14:cfRule type="expression" priority="3024" id="{FA9FE018-C915-4292-97F4-55FFB1DE4021}">
            <xm:f>AND(IF(AE279&gt;'F:\Users\norela.briceno\Documents\Plan de acción\Plan Accion 2018\[Plan Accion Integrado ADRES Vigencia 2018 con Cuadro de Mando V6..xlsx]Plan de Accion 2018'!#REF!,AE279&lt;&gt;¨N/A¨))</xm:f>
            <x14:dxf>
              <fill>
                <patternFill>
                  <bgColor theme="1" tint="0.499984740745262"/>
                </patternFill>
              </fill>
            </x14:dxf>
          </x14:cfRule>
          <x14:cfRule type="expression" priority="3025" stopIfTrue="1" id="{94A6F6B2-1687-496A-9C90-ED61BE78C9C3}">
            <xm:f>AND(IF(AE279='F:\Users\norela.briceno\Documents\Plan de acción\Plan Accion 2018\[Plan Accion Integrado ADRES Vigencia 2018 con Cuadro de Mando V6..xlsx]Plan de Accion 2018'!#REF!,AE279&lt;&gt;"N/A"))</xm:f>
            <x14:dxf>
              <fill>
                <patternFill>
                  <bgColor rgb="FF00B050"/>
                </patternFill>
              </fill>
            </x14:dxf>
          </x14:cfRule>
          <x14:cfRule type="expression" priority="3026" stopIfTrue="1" id="{DD6C0072-27FD-4B93-8792-E0A706D8DFCF}">
            <xm:f>AND(IF(AE279&lt;'F:\Users\norela.briceno\Documents\Plan de acción\Plan Accion 2018\[Plan Accion Integrado ADRES Vigencia 2018 con Cuadro de Mando V6..xlsx]Plan de Accion 2018'!#REF!,AE279&lt;&gt;"N/A"))</xm:f>
            <x14:dxf>
              <fill>
                <patternFill>
                  <bgColor indexed="10"/>
                </patternFill>
              </fill>
            </x14:dxf>
          </x14:cfRule>
          <xm:sqref>AE279</xm:sqref>
        </x14:conditionalFormatting>
        <x14:conditionalFormatting xmlns:xm="http://schemas.microsoft.com/office/excel/2006/main">
          <x14:cfRule type="expression" priority="3021" id="{8401464E-B838-4C21-A231-C9BE97E42FA7}">
            <xm:f>AND(IF(AE278&gt;'F:\Users\norela.briceno\Documents\Plan de acción\Plan Accion 2018\[Plan Accion Integrado ADRES Vigencia 2018 con Cuadro de Mando V6..xlsx]Plan de Accion 2018'!#REF!,AE278&lt;&gt;¨N/A¨))</xm:f>
            <x14:dxf>
              <fill>
                <patternFill>
                  <bgColor theme="1" tint="0.499984740745262"/>
                </patternFill>
              </fill>
            </x14:dxf>
          </x14:cfRule>
          <x14:cfRule type="expression" priority="3022" stopIfTrue="1" id="{CA013279-4108-4B52-BB77-5B558F98F56D}">
            <xm:f>AND(IF(AE278='F:\Users\norela.briceno\Documents\Plan de acción\Plan Accion 2018\[Plan Accion Integrado ADRES Vigencia 2018 con Cuadro de Mando V6..xlsx]Plan de Accion 2018'!#REF!,AE278&lt;&gt;"N/A"))</xm:f>
            <x14:dxf>
              <fill>
                <patternFill>
                  <bgColor rgb="FF00B050"/>
                </patternFill>
              </fill>
            </x14:dxf>
          </x14:cfRule>
          <x14:cfRule type="expression" priority="3023" stopIfTrue="1" id="{7B3B5FCB-F61D-4FD6-8AA2-ADF26AC730F2}">
            <xm:f>AND(IF(AE278&lt;'F:\Users\norela.briceno\Documents\Plan de acción\Plan Accion 2018\[Plan Accion Integrado ADRES Vigencia 2018 con Cuadro de Mando V6..xlsx]Plan de Accion 2018'!#REF!,AE278&lt;&gt;"N/A"))</xm:f>
            <x14:dxf>
              <fill>
                <patternFill>
                  <bgColor indexed="10"/>
                </patternFill>
              </fill>
            </x14:dxf>
          </x14:cfRule>
          <xm:sqref>AE278</xm:sqref>
        </x14:conditionalFormatting>
        <x14:conditionalFormatting xmlns:xm="http://schemas.microsoft.com/office/excel/2006/main">
          <x14:cfRule type="expression" priority="3018" id="{31F75AC6-3367-4518-B427-9D01C1E8EFDB}">
            <xm:f>AND(IF(AE275&gt;'F:\Users\norela.briceno\Documents\Plan de acción\Plan Accion 2018\[Plan Accion Integrado ADRES Vigencia 2018 con Cuadro de Mando V6..xlsx]Plan de Accion 2018'!#REF!,AE275&lt;&gt;¨N/A¨))</xm:f>
            <x14:dxf>
              <fill>
                <patternFill>
                  <bgColor theme="1" tint="0.499984740745262"/>
                </patternFill>
              </fill>
            </x14:dxf>
          </x14:cfRule>
          <x14:cfRule type="expression" priority="3019" stopIfTrue="1" id="{4BABB27F-5BFD-423A-9F98-3BF0B63CCF5C}">
            <xm:f>AND(IF(AE275='F:\Users\norela.briceno\Documents\Plan de acción\Plan Accion 2018\[Plan Accion Integrado ADRES Vigencia 2018 con Cuadro de Mando V6..xlsx]Plan de Accion 2018'!#REF!,AE275&lt;&gt;"N/A"))</xm:f>
            <x14:dxf>
              <fill>
                <patternFill>
                  <bgColor rgb="FF00B050"/>
                </patternFill>
              </fill>
            </x14:dxf>
          </x14:cfRule>
          <x14:cfRule type="expression" priority="3020" stopIfTrue="1" id="{DB437727-3216-43D5-B17C-D02A65888FF5}">
            <xm:f>AND(IF(AE275&lt;'F:\Users\norela.briceno\Documents\Plan de acción\Plan Accion 2018\[Plan Accion Integrado ADRES Vigencia 2018 con Cuadro de Mando V6..xlsx]Plan de Accion 2018'!#REF!,AE275&lt;&gt;"N/A"))</xm:f>
            <x14:dxf>
              <fill>
                <patternFill>
                  <bgColor indexed="10"/>
                </patternFill>
              </fill>
            </x14:dxf>
          </x14:cfRule>
          <xm:sqref>AE275</xm:sqref>
        </x14:conditionalFormatting>
        <x14:conditionalFormatting xmlns:xm="http://schemas.microsoft.com/office/excel/2006/main">
          <x14:cfRule type="expression" priority="3015" id="{42E95F42-C894-4C72-9CF5-F61A85D7D510}">
            <xm:f>AND(IF(AE274&gt;'F:\Users\norela.briceno\Documents\Plan de acción\Plan Accion 2018\[Plan Accion Integrado ADRES Vigencia 2018 con Cuadro de Mando V6..xlsx]Plan de Accion 2018'!#REF!,AE274&lt;&gt;¨N/A¨))</xm:f>
            <x14:dxf>
              <fill>
                <patternFill>
                  <bgColor theme="1" tint="0.499984740745262"/>
                </patternFill>
              </fill>
            </x14:dxf>
          </x14:cfRule>
          <x14:cfRule type="expression" priority="3016" stopIfTrue="1" id="{E1EEBB83-DD77-45F1-B1BF-1A121A36EE9F}">
            <xm:f>AND(IF(AE274='F:\Users\norela.briceno\Documents\Plan de acción\Plan Accion 2018\[Plan Accion Integrado ADRES Vigencia 2018 con Cuadro de Mando V6..xlsx]Plan de Accion 2018'!#REF!,AE274&lt;&gt;"N/A"))</xm:f>
            <x14:dxf>
              <fill>
                <patternFill>
                  <bgColor rgb="FF00B050"/>
                </patternFill>
              </fill>
            </x14:dxf>
          </x14:cfRule>
          <x14:cfRule type="expression" priority="3017" stopIfTrue="1" id="{BBC2DAF0-E398-4A86-8968-416E97909E30}">
            <xm:f>AND(IF(AE274&lt;'F:\Users\norela.briceno\Documents\Plan de acción\Plan Accion 2018\[Plan Accion Integrado ADRES Vigencia 2018 con Cuadro de Mando V6..xlsx]Plan de Accion 2018'!#REF!,AE274&lt;&gt;"N/A"))</xm:f>
            <x14:dxf>
              <fill>
                <patternFill>
                  <bgColor indexed="10"/>
                </patternFill>
              </fill>
            </x14:dxf>
          </x14:cfRule>
          <xm:sqref>AE274</xm:sqref>
        </x14:conditionalFormatting>
        <x14:conditionalFormatting xmlns:xm="http://schemas.microsoft.com/office/excel/2006/main">
          <x14:cfRule type="expression" priority="3012" id="{4457E1AC-F74E-479F-A7EF-8B9C32F49426}">
            <xm:f>AND(IF(AE273&gt;'F:\Users\norela.briceno\Documents\Plan de acción\Plan Accion 2018\[Plan Accion Integrado ADRES Vigencia 2018 con Cuadro de Mando V6..xlsx]Plan de Accion 2018'!#REF!,AE273&lt;&gt;¨N/A¨))</xm:f>
            <x14:dxf>
              <fill>
                <patternFill>
                  <bgColor theme="1" tint="0.499984740745262"/>
                </patternFill>
              </fill>
            </x14:dxf>
          </x14:cfRule>
          <x14:cfRule type="expression" priority="3013" stopIfTrue="1" id="{DBF395F6-F36E-4097-87E6-3DCC0E4F6AA7}">
            <xm:f>AND(IF(AE273='F:\Users\norela.briceno\Documents\Plan de acción\Plan Accion 2018\[Plan Accion Integrado ADRES Vigencia 2018 con Cuadro de Mando V6..xlsx]Plan de Accion 2018'!#REF!,AE273&lt;&gt;"N/A"))</xm:f>
            <x14:dxf>
              <fill>
                <patternFill>
                  <bgColor rgb="FF00B050"/>
                </patternFill>
              </fill>
            </x14:dxf>
          </x14:cfRule>
          <x14:cfRule type="expression" priority="3014" stopIfTrue="1" id="{5B272B91-4339-41FA-A447-9D1D8DCC51C2}">
            <xm:f>AND(IF(AE273&lt;'F:\Users\norela.briceno\Documents\Plan de acción\Plan Accion 2018\[Plan Accion Integrado ADRES Vigencia 2018 con Cuadro de Mando V6..xlsx]Plan de Accion 2018'!#REF!,AE273&lt;&gt;"N/A"))</xm:f>
            <x14:dxf>
              <fill>
                <patternFill>
                  <bgColor indexed="10"/>
                </patternFill>
              </fill>
            </x14:dxf>
          </x14:cfRule>
          <xm:sqref>AE273</xm:sqref>
        </x14:conditionalFormatting>
        <x14:conditionalFormatting xmlns:xm="http://schemas.microsoft.com/office/excel/2006/main">
          <x14:cfRule type="expression" priority="3009" id="{F56E2422-C099-4CD6-A9CE-EE1E9A2DC248}">
            <xm:f>AND(IF(AE272&gt;'F:\Users\norela.briceno\Documents\Plan de acción\Plan Accion 2018\[Plan Accion Integrado ADRES Vigencia 2018 con Cuadro de Mando V6..xlsx]Plan de Accion 2018'!#REF!,AE272&lt;&gt;¨N/A¨))</xm:f>
            <x14:dxf>
              <fill>
                <patternFill>
                  <bgColor theme="1" tint="0.499984740745262"/>
                </patternFill>
              </fill>
            </x14:dxf>
          </x14:cfRule>
          <x14:cfRule type="expression" priority="3010" stopIfTrue="1" id="{7038D0B1-95D7-4C3D-AFC3-5EB2A44E3512}">
            <xm:f>AND(IF(AE272='F:\Users\norela.briceno\Documents\Plan de acción\Plan Accion 2018\[Plan Accion Integrado ADRES Vigencia 2018 con Cuadro de Mando V6..xlsx]Plan de Accion 2018'!#REF!,AE272&lt;&gt;"N/A"))</xm:f>
            <x14:dxf>
              <fill>
                <patternFill>
                  <bgColor rgb="FF00B050"/>
                </patternFill>
              </fill>
            </x14:dxf>
          </x14:cfRule>
          <x14:cfRule type="expression" priority="3011" stopIfTrue="1" id="{BB0B57B6-EAFB-4A59-B64E-F7A45F1FBD36}">
            <xm:f>AND(IF(AE272&lt;'F:\Users\norela.briceno\Documents\Plan de acción\Plan Accion 2018\[Plan Accion Integrado ADRES Vigencia 2018 con Cuadro de Mando V6..xlsx]Plan de Accion 2018'!#REF!,AE272&lt;&gt;"N/A"))</xm:f>
            <x14:dxf>
              <fill>
                <patternFill>
                  <bgColor indexed="10"/>
                </patternFill>
              </fill>
            </x14:dxf>
          </x14:cfRule>
          <xm:sqref>AE272</xm:sqref>
        </x14:conditionalFormatting>
        <x14:conditionalFormatting xmlns:xm="http://schemas.microsoft.com/office/excel/2006/main">
          <x14:cfRule type="expression" priority="3006" id="{05AC99D1-A095-4C1E-A976-E1173F5BB00C}">
            <xm:f>AND(IF(AE269&gt;'F:\Users\norela.briceno\Documents\Plan de acción\Plan Accion 2018\[Plan Accion Integrado ADRES Vigencia 2018 con Cuadro de Mando V6..xlsx]Plan de Accion 2018'!#REF!,AE269&lt;&gt;¨N/A¨))</xm:f>
            <x14:dxf>
              <fill>
                <patternFill>
                  <bgColor theme="1" tint="0.499984740745262"/>
                </patternFill>
              </fill>
            </x14:dxf>
          </x14:cfRule>
          <x14:cfRule type="expression" priority="3007" stopIfTrue="1" id="{1CE5408B-0D56-4EDE-BCD9-81952F112522}">
            <xm:f>AND(IF(AE269='F:\Users\norela.briceno\Documents\Plan de acción\Plan Accion 2018\[Plan Accion Integrado ADRES Vigencia 2018 con Cuadro de Mando V6..xlsx]Plan de Accion 2018'!#REF!,AE269&lt;&gt;"N/A"))</xm:f>
            <x14:dxf>
              <fill>
                <patternFill>
                  <bgColor rgb="FF00B050"/>
                </patternFill>
              </fill>
            </x14:dxf>
          </x14:cfRule>
          <x14:cfRule type="expression" priority="3008" stopIfTrue="1" id="{EA0E26B0-54A7-49D3-86CA-0C19E6129362}">
            <xm:f>AND(IF(AE269&lt;'F:\Users\norela.briceno\Documents\Plan de acción\Plan Accion 2018\[Plan Accion Integrado ADRES Vigencia 2018 con Cuadro de Mando V6..xlsx]Plan de Accion 2018'!#REF!,AE269&lt;&gt;"N/A"))</xm:f>
            <x14:dxf>
              <fill>
                <patternFill>
                  <bgColor indexed="10"/>
                </patternFill>
              </fill>
            </x14:dxf>
          </x14:cfRule>
          <xm:sqref>AE269</xm:sqref>
        </x14:conditionalFormatting>
        <x14:conditionalFormatting xmlns:xm="http://schemas.microsoft.com/office/excel/2006/main">
          <x14:cfRule type="expression" priority="3003" id="{BC49D2F4-5D6F-480A-8D0A-29CA9555ACBF}">
            <xm:f>AND(IF(AE263&gt;'F:\Users\norela.briceno\Documents\Plan de acción\Plan Accion 2018\[Plan Accion Integrado ADRES Vigencia 2018 con Cuadro de Mando V6..xlsx]Plan de Accion 2018'!#REF!,AE263&lt;&gt;¨N/A¨))</xm:f>
            <x14:dxf>
              <fill>
                <patternFill>
                  <bgColor theme="1" tint="0.499984740745262"/>
                </patternFill>
              </fill>
            </x14:dxf>
          </x14:cfRule>
          <x14:cfRule type="expression" priority="3004" stopIfTrue="1" id="{41E870BC-AD4A-489D-8C0E-667D58A4200C}">
            <xm:f>AND(IF(AE263='F:\Users\norela.briceno\Documents\Plan de acción\Plan Accion 2018\[Plan Accion Integrado ADRES Vigencia 2018 con Cuadro de Mando V6..xlsx]Plan de Accion 2018'!#REF!,AE263&lt;&gt;"N/A"))</xm:f>
            <x14:dxf>
              <fill>
                <patternFill>
                  <bgColor rgb="FF00B050"/>
                </patternFill>
              </fill>
            </x14:dxf>
          </x14:cfRule>
          <x14:cfRule type="expression" priority="3005" stopIfTrue="1" id="{7454B5D8-3F7E-43E7-B1A5-771CA9D3E280}">
            <xm:f>AND(IF(AE263&lt;'F:\Users\norela.briceno\Documents\Plan de acción\Plan Accion 2018\[Plan Accion Integrado ADRES Vigencia 2018 con Cuadro de Mando V6..xlsx]Plan de Accion 2018'!#REF!,AE263&lt;&gt;"N/A"))</xm:f>
            <x14:dxf>
              <fill>
                <patternFill>
                  <bgColor indexed="10"/>
                </patternFill>
              </fill>
            </x14:dxf>
          </x14:cfRule>
          <xm:sqref>AE263</xm:sqref>
        </x14:conditionalFormatting>
        <x14:conditionalFormatting xmlns:xm="http://schemas.microsoft.com/office/excel/2006/main">
          <x14:cfRule type="expression" priority="3000" id="{BBB6AECA-4271-44FA-AFF6-0A914C6AA4C8}">
            <xm:f>AND(IF(AE262&gt;'F:\Users\norela.briceno\Documents\Plan de acción\Plan Accion 2018\[Plan Accion Integrado ADRES Vigencia 2018 con Cuadro de Mando V6..xlsx]Plan de Accion 2018'!#REF!,AE262&lt;&gt;¨N/A¨))</xm:f>
            <x14:dxf>
              <fill>
                <patternFill>
                  <bgColor theme="1" tint="0.499984740745262"/>
                </patternFill>
              </fill>
            </x14:dxf>
          </x14:cfRule>
          <x14:cfRule type="expression" priority="3001" stopIfTrue="1" id="{86271A0F-CCAA-49E4-9034-1B2A242D6B07}">
            <xm:f>AND(IF(AE262='F:\Users\norela.briceno\Documents\Plan de acción\Plan Accion 2018\[Plan Accion Integrado ADRES Vigencia 2018 con Cuadro de Mando V6..xlsx]Plan de Accion 2018'!#REF!,AE262&lt;&gt;"N/A"))</xm:f>
            <x14:dxf>
              <fill>
                <patternFill>
                  <bgColor rgb="FF00B050"/>
                </patternFill>
              </fill>
            </x14:dxf>
          </x14:cfRule>
          <x14:cfRule type="expression" priority="3002" stopIfTrue="1" id="{8E518EE7-2652-46F5-8A39-46E9BDCBF599}">
            <xm:f>AND(IF(AE262&lt;'F:\Users\norela.briceno\Documents\Plan de acción\Plan Accion 2018\[Plan Accion Integrado ADRES Vigencia 2018 con Cuadro de Mando V6..xlsx]Plan de Accion 2018'!#REF!,AE262&lt;&gt;"N/A"))</xm:f>
            <x14:dxf>
              <fill>
                <patternFill>
                  <bgColor indexed="10"/>
                </patternFill>
              </fill>
            </x14:dxf>
          </x14:cfRule>
          <xm:sqref>AE262</xm:sqref>
        </x14:conditionalFormatting>
        <x14:conditionalFormatting xmlns:xm="http://schemas.microsoft.com/office/excel/2006/main">
          <x14:cfRule type="expression" priority="2997" id="{9E2D4E4F-B718-42CC-9D50-D13AEFD2DCD0}">
            <xm:f>AND(IF(AE261&gt;'F:\Users\norela.briceno\Documents\Plan de acción\Plan Accion 2018\[Plan Accion Integrado ADRES Vigencia 2018 con Cuadro de Mando V6..xlsx]Plan de Accion 2018'!#REF!,AE261&lt;&gt;¨N/A¨))</xm:f>
            <x14:dxf>
              <fill>
                <patternFill>
                  <bgColor theme="1" tint="0.499984740745262"/>
                </patternFill>
              </fill>
            </x14:dxf>
          </x14:cfRule>
          <x14:cfRule type="expression" priority="2998" stopIfTrue="1" id="{3C46F653-A01B-4E2A-A840-8147AFF49C8A}">
            <xm:f>AND(IF(AE261='F:\Users\norela.briceno\Documents\Plan de acción\Plan Accion 2018\[Plan Accion Integrado ADRES Vigencia 2018 con Cuadro de Mando V6..xlsx]Plan de Accion 2018'!#REF!,AE261&lt;&gt;"N/A"))</xm:f>
            <x14:dxf>
              <fill>
                <patternFill>
                  <bgColor rgb="FF00B050"/>
                </patternFill>
              </fill>
            </x14:dxf>
          </x14:cfRule>
          <x14:cfRule type="expression" priority="2999" stopIfTrue="1" id="{C2AB9964-EB24-40A6-9E36-9CCE2CDAB924}">
            <xm:f>AND(IF(AE261&lt;'F:\Users\norela.briceno\Documents\Plan de acción\Plan Accion 2018\[Plan Accion Integrado ADRES Vigencia 2018 con Cuadro de Mando V6..xlsx]Plan de Accion 2018'!#REF!,AE261&lt;&gt;"N/A"))</xm:f>
            <x14:dxf>
              <fill>
                <patternFill>
                  <bgColor indexed="10"/>
                </patternFill>
              </fill>
            </x14:dxf>
          </x14:cfRule>
          <xm:sqref>AE261</xm:sqref>
        </x14:conditionalFormatting>
        <x14:conditionalFormatting xmlns:xm="http://schemas.microsoft.com/office/excel/2006/main">
          <x14:cfRule type="expression" priority="2994" id="{5D410DC7-2499-498D-AF4C-28D2C801D5B7}">
            <xm:f>AND(IF(AE260&gt;'F:\Users\norela.briceno\Documents\Plan de acción\Plan Accion 2018\[Plan Accion Integrado ADRES Vigencia 2018 con Cuadro de Mando V6..xlsx]Plan de Accion 2018'!#REF!,AE260&lt;&gt;¨N/A¨))</xm:f>
            <x14:dxf>
              <fill>
                <patternFill>
                  <bgColor theme="1" tint="0.499984740745262"/>
                </patternFill>
              </fill>
            </x14:dxf>
          </x14:cfRule>
          <x14:cfRule type="expression" priority="2995" stopIfTrue="1" id="{4120FE5E-E26A-4363-9669-43D25D2E588D}">
            <xm:f>AND(IF(AE260='F:\Users\norela.briceno\Documents\Plan de acción\Plan Accion 2018\[Plan Accion Integrado ADRES Vigencia 2018 con Cuadro de Mando V6..xlsx]Plan de Accion 2018'!#REF!,AE260&lt;&gt;"N/A"))</xm:f>
            <x14:dxf>
              <fill>
                <patternFill>
                  <bgColor rgb="FF00B050"/>
                </patternFill>
              </fill>
            </x14:dxf>
          </x14:cfRule>
          <x14:cfRule type="expression" priority="2996" stopIfTrue="1" id="{D440F070-B398-452B-8C2F-F0B4021F6AD2}">
            <xm:f>AND(IF(AE260&lt;'F:\Users\norela.briceno\Documents\Plan de acción\Plan Accion 2018\[Plan Accion Integrado ADRES Vigencia 2018 con Cuadro de Mando V6..xlsx]Plan de Accion 2018'!#REF!,AE260&lt;&gt;"N/A"))</xm:f>
            <x14:dxf>
              <fill>
                <patternFill>
                  <bgColor indexed="10"/>
                </patternFill>
              </fill>
            </x14:dxf>
          </x14:cfRule>
          <xm:sqref>AE260</xm:sqref>
        </x14:conditionalFormatting>
        <x14:conditionalFormatting xmlns:xm="http://schemas.microsoft.com/office/excel/2006/main">
          <x14:cfRule type="expression" priority="2991" id="{45AA729E-DF22-4843-963A-386C7A8B80C3}">
            <xm:f>AND(IF(AE259&gt;'F:\Users\norela.briceno\Documents\Plan de acción\Plan Accion 2018\[Plan Accion Integrado ADRES Vigencia 2018 con Cuadro de Mando V6..xlsx]Plan de Accion 2018'!#REF!,AE259&lt;&gt;¨N/A¨))</xm:f>
            <x14:dxf>
              <fill>
                <patternFill>
                  <bgColor theme="1" tint="0.499984740745262"/>
                </patternFill>
              </fill>
            </x14:dxf>
          </x14:cfRule>
          <x14:cfRule type="expression" priority="2992" stopIfTrue="1" id="{5B4E026F-FF28-4E02-A38F-46A7E5FAC68F}">
            <xm:f>AND(IF(AE259='F:\Users\norela.briceno\Documents\Plan de acción\Plan Accion 2018\[Plan Accion Integrado ADRES Vigencia 2018 con Cuadro de Mando V6..xlsx]Plan de Accion 2018'!#REF!,AE259&lt;&gt;"N/A"))</xm:f>
            <x14:dxf>
              <fill>
                <patternFill>
                  <bgColor rgb="FF00B050"/>
                </patternFill>
              </fill>
            </x14:dxf>
          </x14:cfRule>
          <x14:cfRule type="expression" priority="2993" stopIfTrue="1" id="{6FB16ED5-B027-42BA-A4C5-0145495BFD43}">
            <xm:f>AND(IF(AE259&lt;'F:\Users\norela.briceno\Documents\Plan de acción\Plan Accion 2018\[Plan Accion Integrado ADRES Vigencia 2018 con Cuadro de Mando V6..xlsx]Plan de Accion 2018'!#REF!,AE259&lt;&gt;"N/A"))</xm:f>
            <x14:dxf>
              <fill>
                <patternFill>
                  <bgColor indexed="10"/>
                </patternFill>
              </fill>
            </x14:dxf>
          </x14:cfRule>
          <xm:sqref>AE259</xm:sqref>
        </x14:conditionalFormatting>
        <x14:conditionalFormatting xmlns:xm="http://schemas.microsoft.com/office/excel/2006/main">
          <x14:cfRule type="expression" priority="2988" id="{4DBADC6D-4362-40C6-ABE2-B744343A4CCA}">
            <xm:f>AND(IF(AE258&gt;'F:\Users\norela.briceno\Documents\Plan de acción\Plan Accion 2018\[Plan Accion Integrado ADRES Vigencia 2018 con Cuadro de Mando V6..xlsx]Plan de Accion 2018'!#REF!,AE258&lt;&gt;¨N/A¨))</xm:f>
            <x14:dxf>
              <fill>
                <patternFill>
                  <bgColor theme="1" tint="0.499984740745262"/>
                </patternFill>
              </fill>
            </x14:dxf>
          </x14:cfRule>
          <x14:cfRule type="expression" priority="2989" stopIfTrue="1" id="{37911CE6-D5FB-4118-AEAE-C0439ADADA70}">
            <xm:f>AND(IF(AE258='F:\Users\norela.briceno\Documents\Plan de acción\Plan Accion 2018\[Plan Accion Integrado ADRES Vigencia 2018 con Cuadro de Mando V6..xlsx]Plan de Accion 2018'!#REF!,AE258&lt;&gt;"N/A"))</xm:f>
            <x14:dxf>
              <fill>
                <patternFill>
                  <bgColor rgb="FF00B050"/>
                </patternFill>
              </fill>
            </x14:dxf>
          </x14:cfRule>
          <x14:cfRule type="expression" priority="2990" stopIfTrue="1" id="{417761B7-1A95-4E40-8227-ECC6021B9C46}">
            <xm:f>AND(IF(AE258&lt;'F:\Users\norela.briceno\Documents\Plan de acción\Plan Accion 2018\[Plan Accion Integrado ADRES Vigencia 2018 con Cuadro de Mando V6..xlsx]Plan de Accion 2018'!#REF!,AE258&lt;&gt;"N/A"))</xm:f>
            <x14:dxf>
              <fill>
                <patternFill>
                  <bgColor indexed="10"/>
                </patternFill>
              </fill>
            </x14:dxf>
          </x14:cfRule>
          <xm:sqref>AE258</xm:sqref>
        </x14:conditionalFormatting>
        <x14:conditionalFormatting xmlns:xm="http://schemas.microsoft.com/office/excel/2006/main">
          <x14:cfRule type="expression" priority="2985" id="{FA12B589-978C-4FFD-92CF-DC7EBA705D5F}">
            <xm:f>AND(IF(AE257&gt;'F:\Users\norela.briceno\Documents\Plan de acción\Plan Accion 2018\[Plan Accion Integrado ADRES Vigencia 2018 con Cuadro de Mando V6..xlsx]Plan de Accion 2018'!#REF!,AE257&lt;&gt;¨N/A¨))</xm:f>
            <x14:dxf>
              <fill>
                <patternFill>
                  <bgColor theme="1" tint="0.499984740745262"/>
                </patternFill>
              </fill>
            </x14:dxf>
          </x14:cfRule>
          <x14:cfRule type="expression" priority="2986" stopIfTrue="1" id="{4C5E561A-786A-49C0-8EA7-6ABBED79DD21}">
            <xm:f>AND(IF(AE257='F:\Users\norela.briceno\Documents\Plan de acción\Plan Accion 2018\[Plan Accion Integrado ADRES Vigencia 2018 con Cuadro de Mando V6..xlsx]Plan de Accion 2018'!#REF!,AE257&lt;&gt;"N/A"))</xm:f>
            <x14:dxf>
              <fill>
                <patternFill>
                  <bgColor rgb="FF00B050"/>
                </patternFill>
              </fill>
            </x14:dxf>
          </x14:cfRule>
          <x14:cfRule type="expression" priority="2987" stopIfTrue="1" id="{401C5FB4-D04F-460F-B451-35AE9852EC63}">
            <xm:f>AND(IF(AE257&lt;'F:\Users\norela.briceno\Documents\Plan de acción\Plan Accion 2018\[Plan Accion Integrado ADRES Vigencia 2018 con Cuadro de Mando V6..xlsx]Plan de Accion 2018'!#REF!,AE257&lt;&gt;"N/A"))</xm:f>
            <x14:dxf>
              <fill>
                <patternFill>
                  <bgColor indexed="10"/>
                </patternFill>
              </fill>
            </x14:dxf>
          </x14:cfRule>
          <xm:sqref>AE257</xm:sqref>
        </x14:conditionalFormatting>
        <x14:conditionalFormatting xmlns:xm="http://schemas.microsoft.com/office/excel/2006/main">
          <x14:cfRule type="expression" priority="2982" id="{FED0B0AB-125B-40E0-A624-FDD1892022D8}">
            <xm:f>AND(IF(AE256&gt;'F:\Users\norela.briceno\Documents\Plan de acción\Plan Accion 2018\[Plan Accion Integrado ADRES Vigencia 2018 con Cuadro de Mando V6..xlsx]Plan de Accion 2018'!#REF!,AE256&lt;&gt;¨N/A¨))</xm:f>
            <x14:dxf>
              <fill>
                <patternFill>
                  <bgColor theme="1" tint="0.499984740745262"/>
                </patternFill>
              </fill>
            </x14:dxf>
          </x14:cfRule>
          <x14:cfRule type="expression" priority="2983" stopIfTrue="1" id="{466A001C-EC1A-4572-BA83-3AACCEE3FE60}">
            <xm:f>AND(IF(AE256='F:\Users\norela.briceno\Documents\Plan de acción\Plan Accion 2018\[Plan Accion Integrado ADRES Vigencia 2018 con Cuadro de Mando V6..xlsx]Plan de Accion 2018'!#REF!,AE256&lt;&gt;"N/A"))</xm:f>
            <x14:dxf>
              <fill>
                <patternFill>
                  <bgColor rgb="FF00B050"/>
                </patternFill>
              </fill>
            </x14:dxf>
          </x14:cfRule>
          <x14:cfRule type="expression" priority="2984" stopIfTrue="1" id="{F648779D-FD28-4305-8BE0-1EB418A5031E}">
            <xm:f>AND(IF(AE256&lt;'F:\Users\norela.briceno\Documents\Plan de acción\Plan Accion 2018\[Plan Accion Integrado ADRES Vigencia 2018 con Cuadro de Mando V6..xlsx]Plan de Accion 2018'!#REF!,AE256&lt;&gt;"N/A"))</xm:f>
            <x14:dxf>
              <fill>
                <patternFill>
                  <bgColor indexed="10"/>
                </patternFill>
              </fill>
            </x14:dxf>
          </x14:cfRule>
          <xm:sqref>AE256</xm:sqref>
        </x14:conditionalFormatting>
        <x14:conditionalFormatting xmlns:xm="http://schemas.microsoft.com/office/excel/2006/main">
          <x14:cfRule type="expression" priority="2979" id="{3C3FB487-065B-4A5B-BB7E-BBADEEB778C1}">
            <xm:f>AND(IF(AE255&gt;'F:\Users\norela.briceno\Documents\Plan de acción\Plan Accion 2018\[Plan Accion Integrado ADRES Vigencia 2018 con Cuadro de Mando V6..xlsx]Plan de Accion 2018'!#REF!,AE255&lt;&gt;¨N/A¨))</xm:f>
            <x14:dxf>
              <fill>
                <patternFill>
                  <bgColor theme="1" tint="0.499984740745262"/>
                </patternFill>
              </fill>
            </x14:dxf>
          </x14:cfRule>
          <x14:cfRule type="expression" priority="2980" stopIfTrue="1" id="{4AFC5DED-B564-4D7A-9561-6811EFAA303D}">
            <xm:f>AND(IF(AE255='F:\Users\norela.briceno\Documents\Plan de acción\Plan Accion 2018\[Plan Accion Integrado ADRES Vigencia 2018 con Cuadro de Mando V6..xlsx]Plan de Accion 2018'!#REF!,AE255&lt;&gt;"N/A"))</xm:f>
            <x14:dxf>
              <fill>
                <patternFill>
                  <bgColor rgb="FF00B050"/>
                </patternFill>
              </fill>
            </x14:dxf>
          </x14:cfRule>
          <x14:cfRule type="expression" priority="2981" stopIfTrue="1" id="{963F346B-FDE8-4F08-B3C5-032B4B8347FE}">
            <xm:f>AND(IF(AE255&lt;'F:\Users\norela.briceno\Documents\Plan de acción\Plan Accion 2018\[Plan Accion Integrado ADRES Vigencia 2018 con Cuadro de Mando V6..xlsx]Plan de Accion 2018'!#REF!,AE255&lt;&gt;"N/A"))</xm:f>
            <x14:dxf>
              <fill>
                <patternFill>
                  <bgColor indexed="10"/>
                </patternFill>
              </fill>
            </x14:dxf>
          </x14:cfRule>
          <xm:sqref>AE255</xm:sqref>
        </x14:conditionalFormatting>
        <x14:conditionalFormatting xmlns:xm="http://schemas.microsoft.com/office/excel/2006/main">
          <x14:cfRule type="expression" priority="2976" id="{3C4A4790-8545-4612-BA83-A496DAD3B3C4}">
            <xm:f>AND(IF(AE254&gt;'F:\Users\norela.briceno\Documents\Plan de acción\Plan Accion 2018\[Plan Accion Integrado ADRES Vigencia 2018 con Cuadro de Mando V6..xlsx]Plan de Accion 2018'!#REF!,AE254&lt;&gt;¨N/A¨))</xm:f>
            <x14:dxf>
              <fill>
                <patternFill>
                  <bgColor theme="1" tint="0.499984740745262"/>
                </patternFill>
              </fill>
            </x14:dxf>
          </x14:cfRule>
          <x14:cfRule type="expression" priority="2977" stopIfTrue="1" id="{A671419C-E632-44E6-AC5C-122E4B5691E8}">
            <xm:f>AND(IF(AE254='F:\Users\norela.briceno\Documents\Plan de acción\Plan Accion 2018\[Plan Accion Integrado ADRES Vigencia 2018 con Cuadro de Mando V6..xlsx]Plan de Accion 2018'!#REF!,AE254&lt;&gt;"N/A"))</xm:f>
            <x14:dxf>
              <fill>
                <patternFill>
                  <bgColor rgb="FF00B050"/>
                </patternFill>
              </fill>
            </x14:dxf>
          </x14:cfRule>
          <x14:cfRule type="expression" priority="2978" stopIfTrue="1" id="{304072BF-121F-4F97-92C7-6322C3152EC2}">
            <xm:f>AND(IF(AE254&lt;'F:\Users\norela.briceno\Documents\Plan de acción\Plan Accion 2018\[Plan Accion Integrado ADRES Vigencia 2018 con Cuadro de Mando V6..xlsx]Plan de Accion 2018'!#REF!,AE254&lt;&gt;"N/A"))</xm:f>
            <x14:dxf>
              <fill>
                <patternFill>
                  <bgColor indexed="10"/>
                </patternFill>
              </fill>
            </x14:dxf>
          </x14:cfRule>
          <xm:sqref>AE254</xm:sqref>
        </x14:conditionalFormatting>
        <x14:conditionalFormatting xmlns:xm="http://schemas.microsoft.com/office/excel/2006/main">
          <x14:cfRule type="expression" priority="2973" id="{FBB68EBE-E64C-44E5-B561-D41678B95015}">
            <xm:f>AND(IF(AE253&gt;'F:\Users\norela.briceno\Documents\Plan de acción\Plan Accion 2018\[Plan Accion Integrado ADRES Vigencia 2018 con Cuadro de Mando V6..xlsx]Plan de Accion 2018'!#REF!,AE253&lt;&gt;¨N/A¨))</xm:f>
            <x14:dxf>
              <fill>
                <patternFill>
                  <bgColor theme="1" tint="0.499984740745262"/>
                </patternFill>
              </fill>
            </x14:dxf>
          </x14:cfRule>
          <x14:cfRule type="expression" priority="2974" stopIfTrue="1" id="{238700FA-4FD7-4F84-BD7D-C364FDE73DD8}">
            <xm:f>AND(IF(AE253='F:\Users\norela.briceno\Documents\Plan de acción\Plan Accion 2018\[Plan Accion Integrado ADRES Vigencia 2018 con Cuadro de Mando V6..xlsx]Plan de Accion 2018'!#REF!,AE253&lt;&gt;"N/A"))</xm:f>
            <x14:dxf>
              <fill>
                <patternFill>
                  <bgColor rgb="FF00B050"/>
                </patternFill>
              </fill>
            </x14:dxf>
          </x14:cfRule>
          <x14:cfRule type="expression" priority="2975" stopIfTrue="1" id="{5FEA3D9A-308B-4205-A299-C9A296B49E05}">
            <xm:f>AND(IF(AE253&lt;'F:\Users\norela.briceno\Documents\Plan de acción\Plan Accion 2018\[Plan Accion Integrado ADRES Vigencia 2018 con Cuadro de Mando V6..xlsx]Plan de Accion 2018'!#REF!,AE253&lt;&gt;"N/A"))</xm:f>
            <x14:dxf>
              <fill>
                <patternFill>
                  <bgColor indexed="10"/>
                </patternFill>
              </fill>
            </x14:dxf>
          </x14:cfRule>
          <xm:sqref>AE253</xm:sqref>
        </x14:conditionalFormatting>
        <x14:conditionalFormatting xmlns:xm="http://schemas.microsoft.com/office/excel/2006/main">
          <x14:cfRule type="expression" priority="2970" id="{6EF972A0-5F0A-452B-B1C2-ACAF5CBD36BA}">
            <xm:f>AND(IF(AE252&gt;'F:\Users\norela.briceno\Documents\Plan de acción\Plan Accion 2018\[Plan Accion Integrado ADRES Vigencia 2018 con Cuadro de Mando V6..xlsx]Plan de Accion 2018'!#REF!,AE252&lt;&gt;¨N/A¨))</xm:f>
            <x14:dxf>
              <fill>
                <patternFill>
                  <bgColor theme="1" tint="0.499984740745262"/>
                </patternFill>
              </fill>
            </x14:dxf>
          </x14:cfRule>
          <x14:cfRule type="expression" priority="2971" stopIfTrue="1" id="{944534D5-4040-4284-BECA-0473C1CF0300}">
            <xm:f>AND(IF(AE252='F:\Users\norela.briceno\Documents\Plan de acción\Plan Accion 2018\[Plan Accion Integrado ADRES Vigencia 2018 con Cuadro de Mando V6..xlsx]Plan de Accion 2018'!#REF!,AE252&lt;&gt;"N/A"))</xm:f>
            <x14:dxf>
              <fill>
                <patternFill>
                  <bgColor rgb="FF00B050"/>
                </patternFill>
              </fill>
            </x14:dxf>
          </x14:cfRule>
          <x14:cfRule type="expression" priority="2972" stopIfTrue="1" id="{2285FA45-5B37-466A-92B9-E6964432F059}">
            <xm:f>AND(IF(AE252&lt;'F:\Users\norela.briceno\Documents\Plan de acción\Plan Accion 2018\[Plan Accion Integrado ADRES Vigencia 2018 con Cuadro de Mando V6..xlsx]Plan de Accion 2018'!#REF!,AE252&lt;&gt;"N/A"))</xm:f>
            <x14:dxf>
              <fill>
                <patternFill>
                  <bgColor indexed="10"/>
                </patternFill>
              </fill>
            </x14:dxf>
          </x14:cfRule>
          <xm:sqref>AE252</xm:sqref>
        </x14:conditionalFormatting>
        <x14:conditionalFormatting xmlns:xm="http://schemas.microsoft.com/office/excel/2006/main">
          <x14:cfRule type="expression" priority="2967" id="{7755B08B-E5EE-43A0-AD16-6A8D345271BC}">
            <xm:f>AND(IF(AE250&gt;'F:\Users\norela.briceno\Documents\Plan de acción\Plan Accion 2018\[Plan Accion Integrado ADRES Vigencia 2018 con Cuadro de Mando V6..xlsx]Plan de Accion 2018'!#REF!,AE250&lt;&gt;¨N/A¨))</xm:f>
            <x14:dxf>
              <fill>
                <patternFill>
                  <bgColor theme="1" tint="0.499984740745262"/>
                </patternFill>
              </fill>
            </x14:dxf>
          </x14:cfRule>
          <x14:cfRule type="expression" priority="2968" stopIfTrue="1" id="{F4962D14-BB39-454F-83C9-8A2F45EB7131}">
            <xm:f>AND(IF(AE250='F:\Users\norela.briceno\Documents\Plan de acción\Plan Accion 2018\[Plan Accion Integrado ADRES Vigencia 2018 con Cuadro de Mando V6..xlsx]Plan de Accion 2018'!#REF!,AE250&lt;&gt;"N/A"))</xm:f>
            <x14:dxf>
              <fill>
                <patternFill>
                  <bgColor rgb="FF00B050"/>
                </patternFill>
              </fill>
            </x14:dxf>
          </x14:cfRule>
          <x14:cfRule type="expression" priority="2969" stopIfTrue="1" id="{5847BCF9-4538-4549-BCCC-5379914565B3}">
            <xm:f>AND(IF(AE250&lt;'F:\Users\norela.briceno\Documents\Plan de acción\Plan Accion 2018\[Plan Accion Integrado ADRES Vigencia 2018 con Cuadro de Mando V6..xlsx]Plan de Accion 2018'!#REF!,AE250&lt;&gt;"N/A"))</xm:f>
            <x14:dxf>
              <fill>
                <patternFill>
                  <bgColor indexed="10"/>
                </patternFill>
              </fill>
            </x14:dxf>
          </x14:cfRule>
          <xm:sqref>AE250</xm:sqref>
        </x14:conditionalFormatting>
        <x14:conditionalFormatting xmlns:xm="http://schemas.microsoft.com/office/excel/2006/main">
          <x14:cfRule type="expression" priority="2964" id="{89E45651-21EF-45E0-AE81-39CB6B30C886}">
            <xm:f>AND(IF(AE249&gt;'F:\Users\norela.briceno\Documents\Plan de acción\Plan Accion 2018\[Plan Accion Integrado ADRES Vigencia 2018 con Cuadro de Mando V6..xlsx]Plan de Accion 2018'!#REF!,AE249&lt;&gt;¨N/A¨))</xm:f>
            <x14:dxf>
              <fill>
                <patternFill>
                  <bgColor theme="1" tint="0.499984740745262"/>
                </patternFill>
              </fill>
            </x14:dxf>
          </x14:cfRule>
          <x14:cfRule type="expression" priority="2965" stopIfTrue="1" id="{FF3CB142-1CAB-4F94-BA77-07FCD87CB445}">
            <xm:f>AND(IF(AE249='F:\Users\norela.briceno\Documents\Plan de acción\Plan Accion 2018\[Plan Accion Integrado ADRES Vigencia 2018 con Cuadro de Mando V6..xlsx]Plan de Accion 2018'!#REF!,AE249&lt;&gt;"N/A"))</xm:f>
            <x14:dxf>
              <fill>
                <patternFill>
                  <bgColor rgb="FF00B050"/>
                </patternFill>
              </fill>
            </x14:dxf>
          </x14:cfRule>
          <x14:cfRule type="expression" priority="2966" stopIfTrue="1" id="{10E0EB51-F132-4893-BBCC-83D2A482ACDB}">
            <xm:f>AND(IF(AE249&lt;'F:\Users\norela.briceno\Documents\Plan de acción\Plan Accion 2018\[Plan Accion Integrado ADRES Vigencia 2018 con Cuadro de Mando V6..xlsx]Plan de Accion 2018'!#REF!,AE249&lt;&gt;"N/A"))</xm:f>
            <x14:dxf>
              <fill>
                <patternFill>
                  <bgColor indexed="10"/>
                </patternFill>
              </fill>
            </x14:dxf>
          </x14:cfRule>
          <xm:sqref>AE249</xm:sqref>
        </x14:conditionalFormatting>
        <x14:conditionalFormatting xmlns:xm="http://schemas.microsoft.com/office/excel/2006/main">
          <x14:cfRule type="expression" priority="2961" id="{B6DF4A78-D332-4AC0-9BC5-87F948D25F34}">
            <xm:f>AND(IF(AE248&gt;'F:\Users\norela.briceno\Documents\Plan de acción\Plan Accion 2018\[Plan Accion Integrado ADRES Vigencia 2018 con Cuadro de Mando V6..xlsx]Plan de Accion 2018'!#REF!,AE248&lt;&gt;¨N/A¨))</xm:f>
            <x14:dxf>
              <fill>
                <patternFill>
                  <bgColor theme="1" tint="0.499984740745262"/>
                </patternFill>
              </fill>
            </x14:dxf>
          </x14:cfRule>
          <x14:cfRule type="expression" priority="2962" stopIfTrue="1" id="{66494202-FE49-479A-88BE-8BF471848B7B}">
            <xm:f>AND(IF(AE248='F:\Users\norela.briceno\Documents\Plan de acción\Plan Accion 2018\[Plan Accion Integrado ADRES Vigencia 2018 con Cuadro de Mando V6..xlsx]Plan de Accion 2018'!#REF!,AE248&lt;&gt;"N/A"))</xm:f>
            <x14:dxf>
              <fill>
                <patternFill>
                  <bgColor rgb="FF00B050"/>
                </patternFill>
              </fill>
            </x14:dxf>
          </x14:cfRule>
          <x14:cfRule type="expression" priority="2963" stopIfTrue="1" id="{7F0AAA63-1BA0-476B-B3E7-962E8488B5B1}">
            <xm:f>AND(IF(AE248&lt;'F:\Users\norela.briceno\Documents\Plan de acción\Plan Accion 2018\[Plan Accion Integrado ADRES Vigencia 2018 con Cuadro de Mando V6..xlsx]Plan de Accion 2018'!#REF!,AE248&lt;&gt;"N/A"))</xm:f>
            <x14:dxf>
              <fill>
                <patternFill>
                  <bgColor indexed="10"/>
                </patternFill>
              </fill>
            </x14:dxf>
          </x14:cfRule>
          <xm:sqref>AE248</xm:sqref>
        </x14:conditionalFormatting>
        <x14:conditionalFormatting xmlns:xm="http://schemas.microsoft.com/office/excel/2006/main">
          <x14:cfRule type="expression" priority="2958" id="{CDF46899-A5CB-4DAA-8756-34645A716040}">
            <xm:f>AND(IF(AE247&gt;'F:\Users\norela.briceno\Documents\Plan de acción\Plan Accion 2018\[Plan Accion Integrado ADRES Vigencia 2018 con Cuadro de Mando V6..xlsx]Plan de Accion 2018'!#REF!,AE247&lt;&gt;¨N/A¨))</xm:f>
            <x14:dxf>
              <fill>
                <patternFill>
                  <bgColor theme="1" tint="0.499984740745262"/>
                </patternFill>
              </fill>
            </x14:dxf>
          </x14:cfRule>
          <x14:cfRule type="expression" priority="2959" stopIfTrue="1" id="{4DB3C4D3-6E8B-432F-8220-AF76295C70EF}">
            <xm:f>AND(IF(AE247='F:\Users\norela.briceno\Documents\Plan de acción\Plan Accion 2018\[Plan Accion Integrado ADRES Vigencia 2018 con Cuadro de Mando V6..xlsx]Plan de Accion 2018'!#REF!,AE247&lt;&gt;"N/A"))</xm:f>
            <x14:dxf>
              <fill>
                <patternFill>
                  <bgColor rgb="FF00B050"/>
                </patternFill>
              </fill>
            </x14:dxf>
          </x14:cfRule>
          <x14:cfRule type="expression" priority="2960" stopIfTrue="1" id="{56E2CCF9-6A34-4654-BCEB-4D52FFCF8F5F}">
            <xm:f>AND(IF(AE247&lt;'F:\Users\norela.briceno\Documents\Plan de acción\Plan Accion 2018\[Plan Accion Integrado ADRES Vigencia 2018 con Cuadro de Mando V6..xlsx]Plan de Accion 2018'!#REF!,AE247&lt;&gt;"N/A"))</xm:f>
            <x14:dxf>
              <fill>
                <patternFill>
                  <bgColor indexed="10"/>
                </patternFill>
              </fill>
            </x14:dxf>
          </x14:cfRule>
          <xm:sqref>AE247</xm:sqref>
        </x14:conditionalFormatting>
        <x14:conditionalFormatting xmlns:xm="http://schemas.microsoft.com/office/excel/2006/main">
          <x14:cfRule type="expression" priority="2955" id="{F9AECB66-C646-4138-8242-878A1D7BC661}">
            <xm:f>AND(IF(AE246&gt;'F:\Users\norela.briceno\Documents\Plan de acción\Plan Accion 2018\[Plan Accion Integrado ADRES Vigencia 2018 con Cuadro de Mando V6..xlsx]Plan de Accion 2018'!#REF!,AE246&lt;&gt;¨N/A¨))</xm:f>
            <x14:dxf>
              <fill>
                <patternFill>
                  <bgColor theme="1" tint="0.499984740745262"/>
                </patternFill>
              </fill>
            </x14:dxf>
          </x14:cfRule>
          <x14:cfRule type="expression" priority="2956" stopIfTrue="1" id="{C2A6A467-B74A-4468-8654-370CEF1495D3}">
            <xm:f>AND(IF(AE246='F:\Users\norela.briceno\Documents\Plan de acción\Plan Accion 2018\[Plan Accion Integrado ADRES Vigencia 2018 con Cuadro de Mando V6..xlsx]Plan de Accion 2018'!#REF!,AE246&lt;&gt;"N/A"))</xm:f>
            <x14:dxf>
              <fill>
                <patternFill>
                  <bgColor rgb="FF00B050"/>
                </patternFill>
              </fill>
            </x14:dxf>
          </x14:cfRule>
          <x14:cfRule type="expression" priority="2957" stopIfTrue="1" id="{FDAC4401-28AD-4E3E-8D4C-77E4073EF4A9}">
            <xm:f>AND(IF(AE246&lt;'F:\Users\norela.briceno\Documents\Plan de acción\Plan Accion 2018\[Plan Accion Integrado ADRES Vigencia 2018 con Cuadro de Mando V6..xlsx]Plan de Accion 2018'!#REF!,AE246&lt;&gt;"N/A"))</xm:f>
            <x14:dxf>
              <fill>
                <patternFill>
                  <bgColor indexed="10"/>
                </patternFill>
              </fill>
            </x14:dxf>
          </x14:cfRule>
          <xm:sqref>AE246</xm:sqref>
        </x14:conditionalFormatting>
        <x14:conditionalFormatting xmlns:xm="http://schemas.microsoft.com/office/excel/2006/main">
          <x14:cfRule type="expression" priority="2952" id="{CEA38792-973E-4C19-A9DE-17D7F7C6F6B5}">
            <xm:f>AND(IF(AE245&gt;'F:\Users\norela.briceno\Documents\Plan de acción\Plan Accion 2018\[Plan Accion Integrado ADRES Vigencia 2018 con Cuadro de Mando V6..xlsx]Plan de Accion 2018'!#REF!,AE245&lt;&gt;¨N/A¨))</xm:f>
            <x14:dxf>
              <fill>
                <patternFill>
                  <bgColor theme="1" tint="0.499984740745262"/>
                </patternFill>
              </fill>
            </x14:dxf>
          </x14:cfRule>
          <x14:cfRule type="expression" priority="2953" stopIfTrue="1" id="{05192EC0-EF58-4EA5-8484-E02C2D22FD48}">
            <xm:f>AND(IF(AE245='F:\Users\norela.briceno\Documents\Plan de acción\Plan Accion 2018\[Plan Accion Integrado ADRES Vigencia 2018 con Cuadro de Mando V6..xlsx]Plan de Accion 2018'!#REF!,AE245&lt;&gt;"N/A"))</xm:f>
            <x14:dxf>
              <fill>
                <patternFill>
                  <bgColor rgb="FF00B050"/>
                </patternFill>
              </fill>
            </x14:dxf>
          </x14:cfRule>
          <x14:cfRule type="expression" priority="2954" stopIfTrue="1" id="{93B45478-FE21-4C1C-A438-67CD4DBA6013}">
            <xm:f>AND(IF(AE245&lt;'F:\Users\norela.briceno\Documents\Plan de acción\Plan Accion 2018\[Plan Accion Integrado ADRES Vigencia 2018 con Cuadro de Mando V6..xlsx]Plan de Accion 2018'!#REF!,AE245&lt;&gt;"N/A"))</xm:f>
            <x14:dxf>
              <fill>
                <patternFill>
                  <bgColor indexed="10"/>
                </patternFill>
              </fill>
            </x14:dxf>
          </x14:cfRule>
          <xm:sqref>AE245</xm:sqref>
        </x14:conditionalFormatting>
        <x14:conditionalFormatting xmlns:xm="http://schemas.microsoft.com/office/excel/2006/main">
          <x14:cfRule type="expression" priority="2949" id="{D5FA3996-9EA7-47B8-B496-45C0D97CBB0A}">
            <xm:f>AND(IF(AE244&gt;'F:\Users\norela.briceno\Documents\Plan de acción\Plan Accion 2018\[Plan Accion Integrado ADRES Vigencia 2018 con Cuadro de Mando V6..xlsx]Plan de Accion 2018'!#REF!,AE244&lt;&gt;¨N/A¨))</xm:f>
            <x14:dxf>
              <fill>
                <patternFill>
                  <bgColor theme="1" tint="0.499984740745262"/>
                </patternFill>
              </fill>
            </x14:dxf>
          </x14:cfRule>
          <x14:cfRule type="expression" priority="2950" stopIfTrue="1" id="{273EE5C0-6653-48B6-B333-A31339C8544E}">
            <xm:f>AND(IF(AE244='F:\Users\norela.briceno\Documents\Plan de acción\Plan Accion 2018\[Plan Accion Integrado ADRES Vigencia 2018 con Cuadro de Mando V6..xlsx]Plan de Accion 2018'!#REF!,AE244&lt;&gt;"N/A"))</xm:f>
            <x14:dxf>
              <fill>
                <patternFill>
                  <bgColor rgb="FF00B050"/>
                </patternFill>
              </fill>
            </x14:dxf>
          </x14:cfRule>
          <x14:cfRule type="expression" priority="2951" stopIfTrue="1" id="{88BA4C8C-DC28-4FAB-9422-1DFFA5C101F5}">
            <xm:f>AND(IF(AE244&lt;'F:\Users\norela.briceno\Documents\Plan de acción\Plan Accion 2018\[Plan Accion Integrado ADRES Vigencia 2018 con Cuadro de Mando V6..xlsx]Plan de Accion 2018'!#REF!,AE244&lt;&gt;"N/A"))</xm:f>
            <x14:dxf>
              <fill>
                <patternFill>
                  <bgColor indexed="10"/>
                </patternFill>
              </fill>
            </x14:dxf>
          </x14:cfRule>
          <xm:sqref>AE244</xm:sqref>
        </x14:conditionalFormatting>
        <x14:conditionalFormatting xmlns:xm="http://schemas.microsoft.com/office/excel/2006/main">
          <x14:cfRule type="expression" priority="2946" id="{E83CF4FB-7795-4664-94A0-FBD7E8783C04}">
            <xm:f>AND(IF(AE243&gt;'F:\Users\norela.briceno\Documents\Plan de acción\Plan Accion 2018\[Plan Accion Integrado ADRES Vigencia 2018 con Cuadro de Mando V6..xlsx]Plan de Accion 2018'!#REF!,AE243&lt;&gt;¨N/A¨))</xm:f>
            <x14:dxf>
              <fill>
                <patternFill>
                  <bgColor theme="1" tint="0.499984740745262"/>
                </patternFill>
              </fill>
            </x14:dxf>
          </x14:cfRule>
          <x14:cfRule type="expression" priority="2947" stopIfTrue="1" id="{B79319A3-FC71-4174-85DF-73571E5BDB6C}">
            <xm:f>AND(IF(AE243='F:\Users\norela.briceno\Documents\Plan de acción\Plan Accion 2018\[Plan Accion Integrado ADRES Vigencia 2018 con Cuadro de Mando V6..xlsx]Plan de Accion 2018'!#REF!,AE243&lt;&gt;"N/A"))</xm:f>
            <x14:dxf>
              <fill>
                <patternFill>
                  <bgColor rgb="FF00B050"/>
                </patternFill>
              </fill>
            </x14:dxf>
          </x14:cfRule>
          <x14:cfRule type="expression" priority="2948" stopIfTrue="1" id="{42E89E8B-7FA2-4DBE-8D82-26B2FD8F5D4A}">
            <xm:f>AND(IF(AE243&lt;'F:\Users\norela.briceno\Documents\Plan de acción\Plan Accion 2018\[Plan Accion Integrado ADRES Vigencia 2018 con Cuadro de Mando V6..xlsx]Plan de Accion 2018'!#REF!,AE243&lt;&gt;"N/A"))</xm:f>
            <x14:dxf>
              <fill>
                <patternFill>
                  <bgColor indexed="10"/>
                </patternFill>
              </fill>
            </x14:dxf>
          </x14:cfRule>
          <xm:sqref>AE243</xm:sqref>
        </x14:conditionalFormatting>
        <x14:conditionalFormatting xmlns:xm="http://schemas.microsoft.com/office/excel/2006/main">
          <x14:cfRule type="expression" priority="2943" id="{4560FE77-623F-484C-9D87-B791618579B0}">
            <xm:f>AND(IF(AE242&gt;'F:\Users\norela.briceno\Documents\Plan de acción\Plan Accion 2018\[Plan Accion Integrado ADRES Vigencia 2018 con Cuadro de Mando V6..xlsx]Plan de Accion 2018'!#REF!,AE242&lt;&gt;¨N/A¨))</xm:f>
            <x14:dxf>
              <fill>
                <patternFill>
                  <bgColor theme="1" tint="0.499984740745262"/>
                </patternFill>
              </fill>
            </x14:dxf>
          </x14:cfRule>
          <x14:cfRule type="expression" priority="2944" stopIfTrue="1" id="{9A5CDBD2-8807-49EE-9316-5DD3F69AB74C}">
            <xm:f>AND(IF(AE242='F:\Users\norela.briceno\Documents\Plan de acción\Plan Accion 2018\[Plan Accion Integrado ADRES Vigencia 2018 con Cuadro de Mando V6..xlsx]Plan de Accion 2018'!#REF!,AE242&lt;&gt;"N/A"))</xm:f>
            <x14:dxf>
              <fill>
                <patternFill>
                  <bgColor rgb="FF00B050"/>
                </patternFill>
              </fill>
            </x14:dxf>
          </x14:cfRule>
          <x14:cfRule type="expression" priority="2945" stopIfTrue="1" id="{27A9D06A-D187-4C48-BDB2-6A3F2CADBD75}">
            <xm:f>AND(IF(AE242&lt;'F:\Users\norela.briceno\Documents\Plan de acción\Plan Accion 2018\[Plan Accion Integrado ADRES Vigencia 2018 con Cuadro de Mando V6..xlsx]Plan de Accion 2018'!#REF!,AE242&lt;&gt;"N/A"))</xm:f>
            <x14:dxf>
              <fill>
                <patternFill>
                  <bgColor indexed="10"/>
                </patternFill>
              </fill>
            </x14:dxf>
          </x14:cfRule>
          <xm:sqref>AE242</xm:sqref>
        </x14:conditionalFormatting>
        <x14:conditionalFormatting xmlns:xm="http://schemas.microsoft.com/office/excel/2006/main">
          <x14:cfRule type="expression" priority="2940" id="{207D2BA8-853D-471F-97A8-42005B1916D8}">
            <xm:f>AND(IF(AE241&gt;'F:\Users\norela.briceno\Documents\Plan de acción\Plan Accion 2018\[Plan Accion Integrado ADRES Vigencia 2018 con Cuadro de Mando V6..xlsx]Plan de Accion 2018'!#REF!,AE241&lt;&gt;¨N/A¨))</xm:f>
            <x14:dxf>
              <fill>
                <patternFill>
                  <bgColor theme="1" tint="0.499984740745262"/>
                </patternFill>
              </fill>
            </x14:dxf>
          </x14:cfRule>
          <x14:cfRule type="expression" priority="2941" stopIfTrue="1" id="{B95EF6C6-AB34-4E71-B866-A5F76D88AFA8}">
            <xm:f>AND(IF(AE241='F:\Users\norela.briceno\Documents\Plan de acción\Plan Accion 2018\[Plan Accion Integrado ADRES Vigencia 2018 con Cuadro de Mando V6..xlsx]Plan de Accion 2018'!#REF!,AE241&lt;&gt;"N/A"))</xm:f>
            <x14:dxf>
              <fill>
                <patternFill>
                  <bgColor rgb="FF00B050"/>
                </patternFill>
              </fill>
            </x14:dxf>
          </x14:cfRule>
          <x14:cfRule type="expression" priority="2942" stopIfTrue="1" id="{56892E97-DAED-421D-ADDA-D0843B504E8C}">
            <xm:f>AND(IF(AE241&lt;'F:\Users\norela.briceno\Documents\Plan de acción\Plan Accion 2018\[Plan Accion Integrado ADRES Vigencia 2018 con Cuadro de Mando V6..xlsx]Plan de Accion 2018'!#REF!,AE241&lt;&gt;"N/A"))</xm:f>
            <x14:dxf>
              <fill>
                <patternFill>
                  <bgColor indexed="10"/>
                </patternFill>
              </fill>
            </x14:dxf>
          </x14:cfRule>
          <xm:sqref>AE241</xm:sqref>
        </x14:conditionalFormatting>
        <x14:conditionalFormatting xmlns:xm="http://schemas.microsoft.com/office/excel/2006/main">
          <x14:cfRule type="expression" priority="2937" id="{6E297D7D-AF77-420E-99D0-ACB9CF2363B6}">
            <xm:f>AND(IF(AE240&gt;'F:\Users\norela.briceno\Documents\Plan de acción\Plan Accion 2018\[Plan Accion Integrado ADRES Vigencia 2018 con Cuadro de Mando V6..xlsx]Plan de Accion 2018'!#REF!,AE240&lt;&gt;¨N/A¨))</xm:f>
            <x14:dxf>
              <fill>
                <patternFill>
                  <bgColor theme="1" tint="0.499984740745262"/>
                </patternFill>
              </fill>
            </x14:dxf>
          </x14:cfRule>
          <x14:cfRule type="expression" priority="2938" stopIfTrue="1" id="{8271F085-3B8B-4CAC-8270-69B56C6BB7B7}">
            <xm:f>AND(IF(AE240='F:\Users\norela.briceno\Documents\Plan de acción\Plan Accion 2018\[Plan Accion Integrado ADRES Vigencia 2018 con Cuadro de Mando V6..xlsx]Plan de Accion 2018'!#REF!,AE240&lt;&gt;"N/A"))</xm:f>
            <x14:dxf>
              <fill>
                <patternFill>
                  <bgColor rgb="FF00B050"/>
                </patternFill>
              </fill>
            </x14:dxf>
          </x14:cfRule>
          <x14:cfRule type="expression" priority="2939" stopIfTrue="1" id="{F0BDD80B-ADCD-4B6F-A82F-811D0F2037A7}">
            <xm:f>AND(IF(AE240&lt;'F:\Users\norela.briceno\Documents\Plan de acción\Plan Accion 2018\[Plan Accion Integrado ADRES Vigencia 2018 con Cuadro de Mando V6..xlsx]Plan de Accion 2018'!#REF!,AE240&lt;&gt;"N/A"))</xm:f>
            <x14:dxf>
              <fill>
                <patternFill>
                  <bgColor indexed="10"/>
                </patternFill>
              </fill>
            </x14:dxf>
          </x14:cfRule>
          <xm:sqref>AE240</xm:sqref>
        </x14:conditionalFormatting>
        <x14:conditionalFormatting xmlns:xm="http://schemas.microsoft.com/office/excel/2006/main">
          <x14:cfRule type="expression" priority="2934" id="{CF5FE116-DDA8-456C-A0D9-38FBD056D933}">
            <xm:f>AND(IF(AE239&gt;'F:\Users\norela.briceno\Documents\Plan de acción\Plan Accion 2018\[Plan Accion Integrado ADRES Vigencia 2018 con Cuadro de Mando V6..xlsx]Plan de Accion 2018'!#REF!,AE239&lt;&gt;¨N/A¨))</xm:f>
            <x14:dxf>
              <fill>
                <patternFill>
                  <bgColor theme="1" tint="0.499984740745262"/>
                </patternFill>
              </fill>
            </x14:dxf>
          </x14:cfRule>
          <x14:cfRule type="expression" priority="2935" stopIfTrue="1" id="{37F8B177-95C7-41F7-94B7-AB3F2A8B8FEA}">
            <xm:f>AND(IF(AE239='F:\Users\norela.briceno\Documents\Plan de acción\Plan Accion 2018\[Plan Accion Integrado ADRES Vigencia 2018 con Cuadro de Mando V6..xlsx]Plan de Accion 2018'!#REF!,AE239&lt;&gt;"N/A"))</xm:f>
            <x14:dxf>
              <fill>
                <patternFill>
                  <bgColor rgb="FF00B050"/>
                </patternFill>
              </fill>
            </x14:dxf>
          </x14:cfRule>
          <x14:cfRule type="expression" priority="2936" stopIfTrue="1" id="{8DB44372-2C6B-446C-920E-109E41A23F3E}">
            <xm:f>AND(IF(AE239&lt;'F:\Users\norela.briceno\Documents\Plan de acción\Plan Accion 2018\[Plan Accion Integrado ADRES Vigencia 2018 con Cuadro de Mando V6..xlsx]Plan de Accion 2018'!#REF!,AE239&lt;&gt;"N/A"))</xm:f>
            <x14:dxf>
              <fill>
                <patternFill>
                  <bgColor indexed="10"/>
                </patternFill>
              </fill>
            </x14:dxf>
          </x14:cfRule>
          <xm:sqref>AE239</xm:sqref>
        </x14:conditionalFormatting>
        <x14:conditionalFormatting xmlns:xm="http://schemas.microsoft.com/office/excel/2006/main">
          <x14:cfRule type="expression" priority="2931" id="{6726961C-EF11-46D4-A55E-E9146480BC11}">
            <xm:f>AND(IF(AE237&gt;'F:\Users\norela.briceno\Documents\Plan de acción\Plan Accion 2018\[Plan Accion Integrado ADRES Vigencia 2018 con Cuadro de Mando V6..xlsx]Plan de Accion 2018'!#REF!,AE237&lt;&gt;¨N/A¨))</xm:f>
            <x14:dxf>
              <fill>
                <patternFill>
                  <bgColor theme="1" tint="0.499984740745262"/>
                </patternFill>
              </fill>
            </x14:dxf>
          </x14:cfRule>
          <x14:cfRule type="expression" priority="2932" stopIfTrue="1" id="{10BE95E2-2EA9-4141-A538-C272910DDDC3}">
            <xm:f>AND(IF(AE237='F:\Users\norela.briceno\Documents\Plan de acción\Plan Accion 2018\[Plan Accion Integrado ADRES Vigencia 2018 con Cuadro de Mando V6..xlsx]Plan de Accion 2018'!#REF!,AE237&lt;&gt;"N/A"))</xm:f>
            <x14:dxf>
              <fill>
                <patternFill>
                  <bgColor rgb="FF00B050"/>
                </patternFill>
              </fill>
            </x14:dxf>
          </x14:cfRule>
          <x14:cfRule type="expression" priority="2933" stopIfTrue="1" id="{B165C795-CEAE-4017-9F47-4DF4781B7284}">
            <xm:f>AND(IF(AE237&lt;'F:\Users\norela.briceno\Documents\Plan de acción\Plan Accion 2018\[Plan Accion Integrado ADRES Vigencia 2018 con Cuadro de Mando V6..xlsx]Plan de Accion 2018'!#REF!,AE237&lt;&gt;"N/A"))</xm:f>
            <x14:dxf>
              <fill>
                <patternFill>
                  <bgColor indexed="10"/>
                </patternFill>
              </fill>
            </x14:dxf>
          </x14:cfRule>
          <xm:sqref>AE237</xm:sqref>
        </x14:conditionalFormatting>
        <x14:conditionalFormatting xmlns:xm="http://schemas.microsoft.com/office/excel/2006/main">
          <x14:cfRule type="expression" priority="2928" id="{EC27C881-E5E1-4A28-9343-E45FA10DD06A}">
            <xm:f>AND(IF(AE236&gt;'F:\Users\norela.briceno\Documents\Plan de acción\Plan Accion 2018\[Plan Accion Integrado ADRES Vigencia 2018 con Cuadro de Mando V6..xlsx]Plan de Accion 2018'!#REF!,AE236&lt;&gt;¨N/A¨))</xm:f>
            <x14:dxf>
              <fill>
                <patternFill>
                  <bgColor theme="1" tint="0.499984740745262"/>
                </patternFill>
              </fill>
            </x14:dxf>
          </x14:cfRule>
          <x14:cfRule type="expression" priority="2929" stopIfTrue="1" id="{61197B7D-895C-4CC6-BDD4-8E748F18F5E4}">
            <xm:f>AND(IF(AE236='F:\Users\norela.briceno\Documents\Plan de acción\Plan Accion 2018\[Plan Accion Integrado ADRES Vigencia 2018 con Cuadro de Mando V6..xlsx]Plan de Accion 2018'!#REF!,AE236&lt;&gt;"N/A"))</xm:f>
            <x14:dxf>
              <fill>
                <patternFill>
                  <bgColor rgb="FF00B050"/>
                </patternFill>
              </fill>
            </x14:dxf>
          </x14:cfRule>
          <x14:cfRule type="expression" priority="2930" stopIfTrue="1" id="{705AFF47-C74B-4408-A3F8-B59853825C44}">
            <xm:f>AND(IF(AE236&lt;'F:\Users\norela.briceno\Documents\Plan de acción\Plan Accion 2018\[Plan Accion Integrado ADRES Vigencia 2018 con Cuadro de Mando V6..xlsx]Plan de Accion 2018'!#REF!,AE236&lt;&gt;"N/A"))</xm:f>
            <x14:dxf>
              <fill>
                <patternFill>
                  <bgColor indexed="10"/>
                </patternFill>
              </fill>
            </x14:dxf>
          </x14:cfRule>
          <xm:sqref>AE236</xm:sqref>
        </x14:conditionalFormatting>
        <x14:conditionalFormatting xmlns:xm="http://schemas.microsoft.com/office/excel/2006/main">
          <x14:cfRule type="expression" priority="2925" id="{217E64F8-B037-4D15-AE4C-1B03887FD515}">
            <xm:f>AND(IF(AE235&gt;'F:\Users\norela.briceno\Documents\Plan de acción\Plan Accion 2018\[Plan Accion Integrado ADRES Vigencia 2018 con Cuadro de Mando V6..xlsx]Plan de Accion 2018'!#REF!,AE235&lt;&gt;¨N/A¨))</xm:f>
            <x14:dxf>
              <fill>
                <patternFill>
                  <bgColor theme="1" tint="0.499984740745262"/>
                </patternFill>
              </fill>
            </x14:dxf>
          </x14:cfRule>
          <x14:cfRule type="expression" priority="2926" stopIfTrue="1" id="{64A72658-D323-4E96-998E-0E9FD7A0FCF8}">
            <xm:f>AND(IF(AE235='F:\Users\norela.briceno\Documents\Plan de acción\Plan Accion 2018\[Plan Accion Integrado ADRES Vigencia 2018 con Cuadro de Mando V6..xlsx]Plan de Accion 2018'!#REF!,AE235&lt;&gt;"N/A"))</xm:f>
            <x14:dxf>
              <fill>
                <patternFill>
                  <bgColor rgb="FF00B050"/>
                </patternFill>
              </fill>
            </x14:dxf>
          </x14:cfRule>
          <x14:cfRule type="expression" priority="2927" stopIfTrue="1" id="{181BD79A-872A-490A-B2B3-CABF79B44264}">
            <xm:f>AND(IF(AE235&lt;'F:\Users\norela.briceno\Documents\Plan de acción\Plan Accion 2018\[Plan Accion Integrado ADRES Vigencia 2018 con Cuadro de Mando V6..xlsx]Plan de Accion 2018'!#REF!,AE235&lt;&gt;"N/A"))</xm:f>
            <x14:dxf>
              <fill>
                <patternFill>
                  <bgColor indexed="10"/>
                </patternFill>
              </fill>
            </x14:dxf>
          </x14:cfRule>
          <xm:sqref>AE235</xm:sqref>
        </x14:conditionalFormatting>
        <x14:conditionalFormatting xmlns:xm="http://schemas.microsoft.com/office/excel/2006/main">
          <x14:cfRule type="expression" priority="2922" id="{7FF33C8E-D19F-4585-96EB-4550FD8AB3E3}">
            <xm:f>AND(IF(AE339&gt;'F:\Users\norela.briceno\Documents\Plan de acción\Plan Accion 2018\[Plan Accion Integrado ADRES Vigencia 2018 con Cuadro de Mando V6..xlsx]Plan de Accion 2018'!#REF!,AE339&lt;&gt;¨N/A¨))</xm:f>
            <x14:dxf>
              <fill>
                <patternFill>
                  <bgColor theme="1" tint="0.499984740745262"/>
                </patternFill>
              </fill>
            </x14:dxf>
          </x14:cfRule>
          <x14:cfRule type="expression" priority="2923" stopIfTrue="1" id="{A82C20F8-4218-418A-8B6C-4F613D21C380}">
            <xm:f>AND(IF(AE339='F:\Users\norela.briceno\Documents\Plan de acción\Plan Accion 2018\[Plan Accion Integrado ADRES Vigencia 2018 con Cuadro de Mando V6..xlsx]Plan de Accion 2018'!#REF!,AE339&lt;&gt;"N/A"))</xm:f>
            <x14:dxf>
              <fill>
                <patternFill>
                  <bgColor rgb="FF00B050"/>
                </patternFill>
              </fill>
            </x14:dxf>
          </x14:cfRule>
          <x14:cfRule type="expression" priority="2924" stopIfTrue="1" id="{D1FF7C73-FFC9-4F42-AD3D-A90777D1DF7B}">
            <xm:f>AND(IF(AE339&lt;'F:\Users\norela.briceno\Documents\Plan de acción\Plan Accion 2018\[Plan Accion Integrado ADRES Vigencia 2018 con Cuadro de Mando V6..xlsx]Plan de Accion 2018'!#REF!,AE339&lt;&gt;"N/A"))</xm:f>
            <x14:dxf>
              <fill>
                <patternFill>
                  <bgColor indexed="10"/>
                </patternFill>
              </fill>
            </x14:dxf>
          </x14:cfRule>
          <xm:sqref>AE339</xm:sqref>
        </x14:conditionalFormatting>
        <x14:conditionalFormatting xmlns:xm="http://schemas.microsoft.com/office/excel/2006/main">
          <x14:cfRule type="expression" priority="2919" id="{4323F5CA-DEF8-4D4C-9F13-3D9B505138F8}">
            <xm:f>AND(IF(AE234&gt;'F:\Users\norela.briceno\Documents\Plan de acción\Plan Accion 2018\[Plan Accion Integrado ADRES Vigencia 2018 con Cuadro de Mando V6..xlsx]Plan de Accion 2018'!#REF!,AE234&lt;&gt;¨N/A¨))</xm:f>
            <x14:dxf>
              <fill>
                <patternFill>
                  <bgColor theme="1" tint="0.499984740745262"/>
                </patternFill>
              </fill>
            </x14:dxf>
          </x14:cfRule>
          <x14:cfRule type="expression" priority="2920" stopIfTrue="1" id="{D7659B76-4554-4007-A82E-B26540C77A8B}">
            <xm:f>AND(IF(AE234='F:\Users\norela.briceno\Documents\Plan de acción\Plan Accion 2018\[Plan Accion Integrado ADRES Vigencia 2018 con Cuadro de Mando V6..xlsx]Plan de Accion 2018'!#REF!,AE234&lt;&gt;"N/A"))</xm:f>
            <x14:dxf>
              <fill>
                <patternFill>
                  <bgColor rgb="FF00B050"/>
                </patternFill>
              </fill>
            </x14:dxf>
          </x14:cfRule>
          <x14:cfRule type="expression" priority="2921" stopIfTrue="1" id="{BA4BF1D3-7F94-4AD4-8544-76825FE1FC7E}">
            <xm:f>AND(IF(AE234&lt;'F:\Users\norela.briceno\Documents\Plan de acción\Plan Accion 2018\[Plan Accion Integrado ADRES Vigencia 2018 con Cuadro de Mando V6..xlsx]Plan de Accion 2018'!#REF!,AE234&lt;&gt;"N/A"))</xm:f>
            <x14:dxf>
              <fill>
                <patternFill>
                  <bgColor indexed="10"/>
                </patternFill>
              </fill>
            </x14:dxf>
          </x14:cfRule>
          <xm:sqref>AE234</xm:sqref>
        </x14:conditionalFormatting>
        <x14:conditionalFormatting xmlns:xm="http://schemas.microsoft.com/office/excel/2006/main">
          <x14:cfRule type="expression" priority="2916" id="{20E4CAD4-C053-4496-BF86-B12317E42BF2}">
            <xm:f>AND(IF(AE233&gt;'F:\Users\norela.briceno\Documents\Plan de acción\Plan Accion 2018\[Plan Accion Integrado ADRES Vigencia 2018 con Cuadro de Mando V6..xlsx]Plan de Accion 2018'!#REF!,AE233&lt;&gt;¨N/A¨))</xm:f>
            <x14:dxf>
              <fill>
                <patternFill>
                  <bgColor theme="1" tint="0.499984740745262"/>
                </patternFill>
              </fill>
            </x14:dxf>
          </x14:cfRule>
          <x14:cfRule type="expression" priority="2917" stopIfTrue="1" id="{926492E0-4416-4DAD-AB39-4F5361BB5D37}">
            <xm:f>AND(IF(AE233='F:\Users\norela.briceno\Documents\Plan de acción\Plan Accion 2018\[Plan Accion Integrado ADRES Vigencia 2018 con Cuadro de Mando V6..xlsx]Plan de Accion 2018'!#REF!,AE233&lt;&gt;"N/A"))</xm:f>
            <x14:dxf>
              <fill>
                <patternFill>
                  <bgColor rgb="FF00B050"/>
                </patternFill>
              </fill>
            </x14:dxf>
          </x14:cfRule>
          <x14:cfRule type="expression" priority="2918" stopIfTrue="1" id="{33C58DE4-AC86-47E6-8343-55C72EA70CFF}">
            <xm:f>AND(IF(AE233&lt;'F:\Users\norela.briceno\Documents\Plan de acción\Plan Accion 2018\[Plan Accion Integrado ADRES Vigencia 2018 con Cuadro de Mando V6..xlsx]Plan de Accion 2018'!#REF!,AE233&lt;&gt;"N/A"))</xm:f>
            <x14:dxf>
              <fill>
                <patternFill>
                  <bgColor indexed="10"/>
                </patternFill>
              </fill>
            </x14:dxf>
          </x14:cfRule>
          <xm:sqref>AE233</xm:sqref>
        </x14:conditionalFormatting>
        <x14:conditionalFormatting xmlns:xm="http://schemas.microsoft.com/office/excel/2006/main">
          <x14:cfRule type="expression" priority="2913" id="{1F1CB742-4140-4232-8E2B-6B0DFB7228E3}">
            <xm:f>AND(IF(AE232&gt;'F:\Users\norela.briceno\Documents\Plan de acción\Plan Accion 2018\[Plan Accion Integrado ADRES Vigencia 2018 con Cuadro de Mando V6..xlsx]Plan de Accion 2018'!#REF!,AE232&lt;&gt;¨N/A¨))</xm:f>
            <x14:dxf>
              <fill>
                <patternFill>
                  <bgColor theme="1" tint="0.499984740745262"/>
                </patternFill>
              </fill>
            </x14:dxf>
          </x14:cfRule>
          <x14:cfRule type="expression" priority="2914" stopIfTrue="1" id="{05A79FE2-3AB3-4D1D-B422-3CB91E5BCC5A}">
            <xm:f>AND(IF(AE232='F:\Users\norela.briceno\Documents\Plan de acción\Plan Accion 2018\[Plan Accion Integrado ADRES Vigencia 2018 con Cuadro de Mando V6..xlsx]Plan de Accion 2018'!#REF!,AE232&lt;&gt;"N/A"))</xm:f>
            <x14:dxf>
              <fill>
                <patternFill>
                  <bgColor rgb="FF00B050"/>
                </patternFill>
              </fill>
            </x14:dxf>
          </x14:cfRule>
          <x14:cfRule type="expression" priority="2915" stopIfTrue="1" id="{C72C1A87-4EE4-4EB2-A654-329055FAC2CB}">
            <xm:f>AND(IF(AE232&lt;'F:\Users\norela.briceno\Documents\Plan de acción\Plan Accion 2018\[Plan Accion Integrado ADRES Vigencia 2018 con Cuadro de Mando V6..xlsx]Plan de Accion 2018'!#REF!,AE232&lt;&gt;"N/A"))</xm:f>
            <x14:dxf>
              <fill>
                <patternFill>
                  <bgColor indexed="10"/>
                </patternFill>
              </fill>
            </x14:dxf>
          </x14:cfRule>
          <xm:sqref>AE232</xm:sqref>
        </x14:conditionalFormatting>
        <x14:conditionalFormatting xmlns:xm="http://schemas.microsoft.com/office/excel/2006/main">
          <x14:cfRule type="expression" priority="2910" id="{82A73363-96EA-4CA1-8066-0244DBACC05D}">
            <xm:f>AND(IF(AE231&gt;'F:\Users\norela.briceno\Documents\Plan de acción\Plan Accion 2018\[Plan Accion Integrado ADRES Vigencia 2018 con Cuadro de Mando V6..xlsx]Plan de Accion 2018'!#REF!,AE231&lt;&gt;¨N/A¨))</xm:f>
            <x14:dxf>
              <fill>
                <patternFill>
                  <bgColor theme="1" tint="0.499984740745262"/>
                </patternFill>
              </fill>
            </x14:dxf>
          </x14:cfRule>
          <x14:cfRule type="expression" priority="2911" stopIfTrue="1" id="{48DB90EF-EF97-4E5B-AAB4-1D407EE05FF8}">
            <xm:f>AND(IF(AE231='F:\Users\norela.briceno\Documents\Plan de acción\Plan Accion 2018\[Plan Accion Integrado ADRES Vigencia 2018 con Cuadro de Mando V6..xlsx]Plan de Accion 2018'!#REF!,AE231&lt;&gt;"N/A"))</xm:f>
            <x14:dxf>
              <fill>
                <patternFill>
                  <bgColor rgb="FF00B050"/>
                </patternFill>
              </fill>
            </x14:dxf>
          </x14:cfRule>
          <x14:cfRule type="expression" priority="2912" stopIfTrue="1" id="{C091C791-E6ED-4A5D-A191-2ACCA4BBE6FA}">
            <xm:f>AND(IF(AE231&lt;'F:\Users\norela.briceno\Documents\Plan de acción\Plan Accion 2018\[Plan Accion Integrado ADRES Vigencia 2018 con Cuadro de Mando V6..xlsx]Plan de Accion 2018'!#REF!,AE231&lt;&gt;"N/A"))</xm:f>
            <x14:dxf>
              <fill>
                <patternFill>
                  <bgColor indexed="10"/>
                </patternFill>
              </fill>
            </x14:dxf>
          </x14:cfRule>
          <xm:sqref>AE231</xm:sqref>
        </x14:conditionalFormatting>
        <x14:conditionalFormatting xmlns:xm="http://schemas.microsoft.com/office/excel/2006/main">
          <x14:cfRule type="expression" priority="2907" id="{B638FDF5-0744-497F-A374-1B52E4538CF3}">
            <xm:f>AND(IF(AE230&gt;'F:\Users\norela.briceno\Documents\Plan de acción\Plan Accion 2018\[Plan Accion Integrado ADRES Vigencia 2018 con Cuadro de Mando V6..xlsx]Plan de Accion 2018'!#REF!,AE230&lt;&gt;¨N/A¨))</xm:f>
            <x14:dxf>
              <fill>
                <patternFill>
                  <bgColor theme="1" tint="0.499984740745262"/>
                </patternFill>
              </fill>
            </x14:dxf>
          </x14:cfRule>
          <x14:cfRule type="expression" priority="2908" stopIfTrue="1" id="{E7441A8F-142B-4E46-8D88-45576A984517}">
            <xm:f>AND(IF(AE230='F:\Users\norela.briceno\Documents\Plan de acción\Plan Accion 2018\[Plan Accion Integrado ADRES Vigencia 2018 con Cuadro de Mando V6..xlsx]Plan de Accion 2018'!#REF!,AE230&lt;&gt;"N/A"))</xm:f>
            <x14:dxf>
              <fill>
                <patternFill>
                  <bgColor rgb="FF00B050"/>
                </patternFill>
              </fill>
            </x14:dxf>
          </x14:cfRule>
          <x14:cfRule type="expression" priority="2909" stopIfTrue="1" id="{2DF0BF7C-9CC6-457E-90C4-09F13796A330}">
            <xm:f>AND(IF(AE230&lt;'F:\Users\norela.briceno\Documents\Plan de acción\Plan Accion 2018\[Plan Accion Integrado ADRES Vigencia 2018 con Cuadro de Mando V6..xlsx]Plan de Accion 2018'!#REF!,AE230&lt;&gt;"N/A"))</xm:f>
            <x14:dxf>
              <fill>
                <patternFill>
                  <bgColor indexed="10"/>
                </patternFill>
              </fill>
            </x14:dxf>
          </x14:cfRule>
          <xm:sqref>AE230</xm:sqref>
        </x14:conditionalFormatting>
        <x14:conditionalFormatting xmlns:xm="http://schemas.microsoft.com/office/excel/2006/main">
          <x14:cfRule type="expression" priority="2904" id="{1F15BEA9-7C62-496F-9133-0755713FCC21}">
            <xm:f>AND(IF(AE229&gt;'F:\Users\norela.briceno\Documents\Plan de acción\Plan Accion 2018\[Plan Accion Integrado ADRES Vigencia 2018 con Cuadro de Mando V6..xlsx]Plan de Accion 2018'!#REF!,AE229&lt;&gt;¨N/A¨))</xm:f>
            <x14:dxf>
              <fill>
                <patternFill>
                  <bgColor theme="1" tint="0.499984740745262"/>
                </patternFill>
              </fill>
            </x14:dxf>
          </x14:cfRule>
          <x14:cfRule type="expression" priority="2905" stopIfTrue="1" id="{B6C3D5A0-AD1E-4BAA-9E39-161EFADA369F}">
            <xm:f>AND(IF(AE229='F:\Users\norela.briceno\Documents\Plan de acción\Plan Accion 2018\[Plan Accion Integrado ADRES Vigencia 2018 con Cuadro de Mando V6..xlsx]Plan de Accion 2018'!#REF!,AE229&lt;&gt;"N/A"))</xm:f>
            <x14:dxf>
              <fill>
                <patternFill>
                  <bgColor rgb="FF00B050"/>
                </patternFill>
              </fill>
            </x14:dxf>
          </x14:cfRule>
          <x14:cfRule type="expression" priority="2906" stopIfTrue="1" id="{CEE7C26B-0A74-4223-9D7B-D6E05989DDB2}">
            <xm:f>AND(IF(AE229&lt;'F:\Users\norela.briceno\Documents\Plan de acción\Plan Accion 2018\[Plan Accion Integrado ADRES Vigencia 2018 con Cuadro de Mando V6..xlsx]Plan de Accion 2018'!#REF!,AE229&lt;&gt;"N/A"))</xm:f>
            <x14:dxf>
              <fill>
                <patternFill>
                  <bgColor indexed="10"/>
                </patternFill>
              </fill>
            </x14:dxf>
          </x14:cfRule>
          <xm:sqref>AE229</xm:sqref>
        </x14:conditionalFormatting>
        <x14:conditionalFormatting xmlns:xm="http://schemas.microsoft.com/office/excel/2006/main">
          <x14:cfRule type="expression" priority="2901" id="{6FA0EB37-DF2E-423B-BB58-9A2F2E0BA366}">
            <xm:f>AND(IF(AE225&gt;'F:\Users\norela.briceno\Documents\Plan de acción\Plan Accion 2018\[Plan Accion Integrado ADRES Vigencia 2018 con Cuadro de Mando V6..xlsx]Plan de Accion 2018'!#REF!,AE225&lt;&gt;¨N/A¨))</xm:f>
            <x14:dxf>
              <fill>
                <patternFill>
                  <bgColor theme="1" tint="0.499984740745262"/>
                </patternFill>
              </fill>
            </x14:dxf>
          </x14:cfRule>
          <x14:cfRule type="expression" priority="2902" stopIfTrue="1" id="{A448216A-2B7D-4A98-BEA4-CA99B9C1B8BB}">
            <xm:f>AND(IF(AE225='F:\Users\norela.briceno\Documents\Plan de acción\Plan Accion 2018\[Plan Accion Integrado ADRES Vigencia 2018 con Cuadro de Mando V6..xlsx]Plan de Accion 2018'!#REF!,AE225&lt;&gt;"N/A"))</xm:f>
            <x14:dxf>
              <fill>
                <patternFill>
                  <bgColor rgb="FF00B050"/>
                </patternFill>
              </fill>
            </x14:dxf>
          </x14:cfRule>
          <x14:cfRule type="expression" priority="2903" stopIfTrue="1" id="{2A810AC1-1620-4074-87C9-EA5339A47004}">
            <xm:f>AND(IF(AE225&lt;'F:\Users\norela.briceno\Documents\Plan de acción\Plan Accion 2018\[Plan Accion Integrado ADRES Vigencia 2018 con Cuadro de Mando V6..xlsx]Plan de Accion 2018'!#REF!,AE225&lt;&gt;"N/A"))</xm:f>
            <x14:dxf>
              <fill>
                <patternFill>
                  <bgColor indexed="10"/>
                </patternFill>
              </fill>
            </x14:dxf>
          </x14:cfRule>
          <xm:sqref>AE225</xm:sqref>
        </x14:conditionalFormatting>
        <x14:conditionalFormatting xmlns:xm="http://schemas.microsoft.com/office/excel/2006/main">
          <x14:cfRule type="expression" priority="2898" id="{70A7D77D-2DD5-417A-9A95-8703B589779B}">
            <xm:f>AND(IF(AE224&gt;'F:\Users\norela.briceno\Documents\Plan de acción\Plan Accion 2018\[Plan Accion Integrado ADRES Vigencia 2018 con Cuadro de Mando V6..xlsx]Plan de Accion 2018'!#REF!,AE224&lt;&gt;¨N/A¨))</xm:f>
            <x14:dxf>
              <fill>
                <patternFill>
                  <bgColor theme="1" tint="0.499984740745262"/>
                </patternFill>
              </fill>
            </x14:dxf>
          </x14:cfRule>
          <x14:cfRule type="expression" priority="2899" stopIfTrue="1" id="{EEF49855-D1AE-42C4-A0AF-0184693D12BF}">
            <xm:f>AND(IF(AE224='F:\Users\norela.briceno\Documents\Plan de acción\Plan Accion 2018\[Plan Accion Integrado ADRES Vigencia 2018 con Cuadro de Mando V6..xlsx]Plan de Accion 2018'!#REF!,AE224&lt;&gt;"N/A"))</xm:f>
            <x14:dxf>
              <fill>
                <patternFill>
                  <bgColor rgb="FF00B050"/>
                </patternFill>
              </fill>
            </x14:dxf>
          </x14:cfRule>
          <x14:cfRule type="expression" priority="2900" stopIfTrue="1" id="{924F2235-897E-4CB1-AFBF-EC4CC86E6F7E}">
            <xm:f>AND(IF(AE224&lt;'F:\Users\norela.briceno\Documents\Plan de acción\Plan Accion 2018\[Plan Accion Integrado ADRES Vigencia 2018 con Cuadro de Mando V6..xlsx]Plan de Accion 2018'!#REF!,AE224&lt;&gt;"N/A"))</xm:f>
            <x14:dxf>
              <fill>
                <patternFill>
                  <bgColor indexed="10"/>
                </patternFill>
              </fill>
            </x14:dxf>
          </x14:cfRule>
          <xm:sqref>AE224</xm:sqref>
        </x14:conditionalFormatting>
        <x14:conditionalFormatting xmlns:xm="http://schemas.microsoft.com/office/excel/2006/main">
          <x14:cfRule type="expression" priority="2895" id="{A01D895A-D7CC-4551-A6E3-5025F8E39FA6}">
            <xm:f>AND(IF(AE221&gt;'F:\Users\norela.briceno\Documents\Plan de acción\Plan Accion 2018\[Plan Accion Integrado ADRES Vigencia 2018 con Cuadro de Mando V6..xlsx]Plan de Accion 2018'!#REF!,AE221&lt;&gt;¨N/A¨))</xm:f>
            <x14:dxf>
              <fill>
                <patternFill>
                  <bgColor theme="1" tint="0.499984740745262"/>
                </patternFill>
              </fill>
            </x14:dxf>
          </x14:cfRule>
          <x14:cfRule type="expression" priority="2896" stopIfTrue="1" id="{A8E87ABA-245D-407C-9C25-140CA9CC7F25}">
            <xm:f>AND(IF(AE221='F:\Users\norela.briceno\Documents\Plan de acción\Plan Accion 2018\[Plan Accion Integrado ADRES Vigencia 2018 con Cuadro de Mando V6..xlsx]Plan de Accion 2018'!#REF!,AE221&lt;&gt;"N/A"))</xm:f>
            <x14:dxf>
              <fill>
                <patternFill>
                  <bgColor rgb="FF00B050"/>
                </patternFill>
              </fill>
            </x14:dxf>
          </x14:cfRule>
          <x14:cfRule type="expression" priority="2897" stopIfTrue="1" id="{A83FA5A6-49C4-4B64-B15F-B27B08CE5ED2}">
            <xm:f>AND(IF(AE221&lt;'F:\Users\norela.briceno\Documents\Plan de acción\Plan Accion 2018\[Plan Accion Integrado ADRES Vigencia 2018 con Cuadro de Mando V6..xlsx]Plan de Accion 2018'!#REF!,AE221&lt;&gt;"N/A"))</xm:f>
            <x14:dxf>
              <fill>
                <patternFill>
                  <bgColor indexed="10"/>
                </patternFill>
              </fill>
            </x14:dxf>
          </x14:cfRule>
          <xm:sqref>AE221</xm:sqref>
        </x14:conditionalFormatting>
        <x14:conditionalFormatting xmlns:xm="http://schemas.microsoft.com/office/excel/2006/main">
          <x14:cfRule type="expression" priority="2892" id="{F9A06B9C-E4E1-44F4-9F01-41E0F7970D01}">
            <xm:f>AND(IF(AE204&gt;'F:\Users\norela.briceno\Documents\Plan de acción\Plan Accion 2018\[Plan Accion Integrado ADRES Vigencia 2018 con Cuadro de Mando V6..xlsx]Plan de Accion 2018'!#REF!,AE204&lt;&gt;¨N/A¨))</xm:f>
            <x14:dxf>
              <fill>
                <patternFill>
                  <bgColor theme="1" tint="0.499984740745262"/>
                </patternFill>
              </fill>
            </x14:dxf>
          </x14:cfRule>
          <x14:cfRule type="expression" priority="2893" stopIfTrue="1" id="{0C132A0C-1F7A-4C86-A2D0-9BF600D4FF49}">
            <xm:f>AND(IF(AE204='F:\Users\norela.briceno\Documents\Plan de acción\Plan Accion 2018\[Plan Accion Integrado ADRES Vigencia 2018 con Cuadro de Mando V6..xlsx]Plan de Accion 2018'!#REF!,AE204&lt;&gt;"N/A"))</xm:f>
            <x14:dxf>
              <fill>
                <patternFill>
                  <bgColor rgb="FF00B050"/>
                </patternFill>
              </fill>
            </x14:dxf>
          </x14:cfRule>
          <x14:cfRule type="expression" priority="2894" stopIfTrue="1" id="{7E214820-7F5E-469C-910F-EF480B020705}">
            <xm:f>AND(IF(AE204&lt;'F:\Users\norela.briceno\Documents\Plan de acción\Plan Accion 2018\[Plan Accion Integrado ADRES Vigencia 2018 con Cuadro de Mando V6..xlsx]Plan de Accion 2018'!#REF!,AE204&lt;&gt;"N/A"))</xm:f>
            <x14:dxf>
              <fill>
                <patternFill>
                  <bgColor indexed="10"/>
                </patternFill>
              </fill>
            </x14:dxf>
          </x14:cfRule>
          <xm:sqref>AE204</xm:sqref>
        </x14:conditionalFormatting>
        <x14:conditionalFormatting xmlns:xm="http://schemas.microsoft.com/office/excel/2006/main">
          <x14:cfRule type="expression" priority="2889" id="{4DBB7594-B223-485E-8070-76102B48A6AF}">
            <xm:f>AND(IF(AE201&gt;'F:\Users\norela.briceno\Documents\Plan de acción\Plan Accion 2018\[Plan Accion Integrado ADRES Vigencia 2018 con Cuadro de Mando V6..xlsx]Plan de Accion 2018'!#REF!,AE201&lt;&gt;¨N/A¨))</xm:f>
            <x14:dxf>
              <fill>
                <patternFill>
                  <bgColor theme="1" tint="0.499984740745262"/>
                </patternFill>
              </fill>
            </x14:dxf>
          </x14:cfRule>
          <x14:cfRule type="expression" priority="2890" stopIfTrue="1" id="{8F6D598B-CA15-48D3-B8FA-B3D9CB0CB9FB}">
            <xm:f>AND(IF(AE201='F:\Users\norela.briceno\Documents\Plan de acción\Plan Accion 2018\[Plan Accion Integrado ADRES Vigencia 2018 con Cuadro de Mando V6..xlsx]Plan de Accion 2018'!#REF!,AE201&lt;&gt;"N/A"))</xm:f>
            <x14:dxf>
              <fill>
                <patternFill>
                  <bgColor rgb="FF00B050"/>
                </patternFill>
              </fill>
            </x14:dxf>
          </x14:cfRule>
          <x14:cfRule type="expression" priority="2891" stopIfTrue="1" id="{38361D06-769C-42F4-B320-97F80606370D}">
            <xm:f>AND(IF(AE201&lt;'F:\Users\norela.briceno\Documents\Plan de acción\Plan Accion 2018\[Plan Accion Integrado ADRES Vigencia 2018 con Cuadro de Mando V6..xlsx]Plan de Accion 2018'!#REF!,AE201&lt;&gt;"N/A"))</xm:f>
            <x14:dxf>
              <fill>
                <patternFill>
                  <bgColor indexed="10"/>
                </patternFill>
              </fill>
            </x14:dxf>
          </x14:cfRule>
          <xm:sqref>AE201</xm:sqref>
        </x14:conditionalFormatting>
        <x14:conditionalFormatting xmlns:xm="http://schemas.microsoft.com/office/excel/2006/main">
          <x14:cfRule type="expression" priority="2886" id="{700A556B-2BBC-410C-B914-B5D7BFF18F1C}">
            <xm:f>AND(IF(AE200&gt;'F:\Users\norela.briceno\Documents\Plan de acción\Plan Accion 2018\[Plan Accion Integrado ADRES Vigencia 2018 con Cuadro de Mando V6..xlsx]Plan de Accion 2018'!#REF!,AE200&lt;&gt;¨N/A¨))</xm:f>
            <x14:dxf>
              <fill>
                <patternFill>
                  <bgColor theme="1" tint="0.499984740745262"/>
                </patternFill>
              </fill>
            </x14:dxf>
          </x14:cfRule>
          <x14:cfRule type="expression" priority="2887" stopIfTrue="1" id="{8216BCBD-51DA-4B49-B228-7866BEE0E994}">
            <xm:f>AND(IF(AE200='F:\Users\norela.briceno\Documents\Plan de acción\Plan Accion 2018\[Plan Accion Integrado ADRES Vigencia 2018 con Cuadro de Mando V6..xlsx]Plan de Accion 2018'!#REF!,AE200&lt;&gt;"N/A"))</xm:f>
            <x14:dxf>
              <fill>
                <patternFill>
                  <bgColor rgb="FF00B050"/>
                </patternFill>
              </fill>
            </x14:dxf>
          </x14:cfRule>
          <x14:cfRule type="expression" priority="2888" stopIfTrue="1" id="{D72216E0-27CB-4FE3-8437-EBCCD28CCABD}">
            <xm:f>AND(IF(AE200&lt;'F:\Users\norela.briceno\Documents\Plan de acción\Plan Accion 2018\[Plan Accion Integrado ADRES Vigencia 2018 con Cuadro de Mando V6..xlsx]Plan de Accion 2018'!#REF!,AE200&lt;&gt;"N/A"))</xm:f>
            <x14:dxf>
              <fill>
                <patternFill>
                  <bgColor indexed="10"/>
                </patternFill>
              </fill>
            </x14:dxf>
          </x14:cfRule>
          <xm:sqref>AE200</xm:sqref>
        </x14:conditionalFormatting>
        <x14:conditionalFormatting xmlns:xm="http://schemas.microsoft.com/office/excel/2006/main">
          <x14:cfRule type="expression" priority="2883" id="{D6E909DA-5D99-41B1-89BC-BA5C3EF422E4}">
            <xm:f>AND(IF(AE199&gt;'F:\Users\norela.briceno\Documents\Plan de acción\Plan Accion 2018\[Plan Accion Integrado ADRES Vigencia 2018 con Cuadro de Mando V6..xlsx]Plan de Accion 2018'!#REF!,AE199&lt;&gt;¨N/A¨))</xm:f>
            <x14:dxf>
              <fill>
                <patternFill>
                  <bgColor theme="1" tint="0.499984740745262"/>
                </patternFill>
              </fill>
            </x14:dxf>
          </x14:cfRule>
          <x14:cfRule type="expression" priority="2884" stopIfTrue="1" id="{BDB6E3D2-87BE-4E5B-BB16-F5E6DFFC74BA}">
            <xm:f>AND(IF(AE199='F:\Users\norela.briceno\Documents\Plan de acción\Plan Accion 2018\[Plan Accion Integrado ADRES Vigencia 2018 con Cuadro de Mando V6..xlsx]Plan de Accion 2018'!#REF!,AE199&lt;&gt;"N/A"))</xm:f>
            <x14:dxf>
              <fill>
                <patternFill>
                  <bgColor rgb="FF00B050"/>
                </patternFill>
              </fill>
            </x14:dxf>
          </x14:cfRule>
          <x14:cfRule type="expression" priority="2885" stopIfTrue="1" id="{DACA5B81-DEE1-41F6-8861-A549CB85D7BA}">
            <xm:f>AND(IF(AE199&lt;'F:\Users\norela.briceno\Documents\Plan de acción\Plan Accion 2018\[Plan Accion Integrado ADRES Vigencia 2018 con Cuadro de Mando V6..xlsx]Plan de Accion 2018'!#REF!,AE199&lt;&gt;"N/A"))</xm:f>
            <x14:dxf>
              <fill>
                <patternFill>
                  <bgColor indexed="10"/>
                </patternFill>
              </fill>
            </x14:dxf>
          </x14:cfRule>
          <xm:sqref>AE199</xm:sqref>
        </x14:conditionalFormatting>
        <x14:conditionalFormatting xmlns:xm="http://schemas.microsoft.com/office/excel/2006/main">
          <x14:cfRule type="expression" priority="2880" id="{461C2FCF-5233-4B5B-8FC1-4095BBD0C00E}">
            <xm:f>AND(IF(AE198&gt;'F:\Users\norela.briceno\Documents\Plan de acción\Plan Accion 2018\[Plan Accion Integrado ADRES Vigencia 2018 con Cuadro de Mando V6..xlsx]Plan de Accion 2018'!#REF!,AE198&lt;&gt;¨N/A¨))</xm:f>
            <x14:dxf>
              <fill>
                <patternFill>
                  <bgColor theme="1" tint="0.499984740745262"/>
                </patternFill>
              </fill>
            </x14:dxf>
          </x14:cfRule>
          <x14:cfRule type="expression" priority="2881" stopIfTrue="1" id="{971A2A8C-6345-4557-A01D-6049FBC916CE}">
            <xm:f>AND(IF(AE198='F:\Users\norela.briceno\Documents\Plan de acción\Plan Accion 2018\[Plan Accion Integrado ADRES Vigencia 2018 con Cuadro de Mando V6..xlsx]Plan de Accion 2018'!#REF!,AE198&lt;&gt;"N/A"))</xm:f>
            <x14:dxf>
              <fill>
                <patternFill>
                  <bgColor rgb="FF00B050"/>
                </patternFill>
              </fill>
            </x14:dxf>
          </x14:cfRule>
          <x14:cfRule type="expression" priority="2882" stopIfTrue="1" id="{A1752C03-D1A3-439E-A947-32AE538AE6CD}">
            <xm:f>AND(IF(AE198&lt;'F:\Users\norela.briceno\Documents\Plan de acción\Plan Accion 2018\[Plan Accion Integrado ADRES Vigencia 2018 con Cuadro de Mando V6..xlsx]Plan de Accion 2018'!#REF!,AE198&lt;&gt;"N/A"))</xm:f>
            <x14:dxf>
              <fill>
                <patternFill>
                  <bgColor indexed="10"/>
                </patternFill>
              </fill>
            </x14:dxf>
          </x14:cfRule>
          <xm:sqref>AE198</xm:sqref>
        </x14:conditionalFormatting>
        <x14:conditionalFormatting xmlns:xm="http://schemas.microsoft.com/office/excel/2006/main">
          <x14:cfRule type="expression" priority="2877" id="{CBB2C402-63BA-4F28-8819-0A9B179D9D16}">
            <xm:f>AND(IF(AE196&gt;'F:\Users\norela.briceno\Documents\Plan de acción\Plan Accion 2018\[Plan Accion Integrado ADRES Vigencia 2018 con Cuadro de Mando V6..xlsx]Plan de Accion 2018'!#REF!,AE196&lt;&gt;¨N/A¨))</xm:f>
            <x14:dxf>
              <fill>
                <patternFill>
                  <bgColor theme="1" tint="0.499984740745262"/>
                </patternFill>
              </fill>
            </x14:dxf>
          </x14:cfRule>
          <x14:cfRule type="expression" priority="2878" stopIfTrue="1" id="{FF314EBE-D04A-4C89-A69E-470045580144}">
            <xm:f>AND(IF(AE196='F:\Users\norela.briceno\Documents\Plan de acción\Plan Accion 2018\[Plan Accion Integrado ADRES Vigencia 2018 con Cuadro de Mando V6..xlsx]Plan de Accion 2018'!#REF!,AE196&lt;&gt;"N/A"))</xm:f>
            <x14:dxf>
              <fill>
                <patternFill>
                  <bgColor rgb="FF00B050"/>
                </patternFill>
              </fill>
            </x14:dxf>
          </x14:cfRule>
          <x14:cfRule type="expression" priority="2879" stopIfTrue="1" id="{5F56B1F1-B176-4ACF-AB4F-EBAE5CE318FB}">
            <xm:f>AND(IF(AE196&lt;'F:\Users\norela.briceno\Documents\Plan de acción\Plan Accion 2018\[Plan Accion Integrado ADRES Vigencia 2018 con Cuadro de Mando V6..xlsx]Plan de Accion 2018'!#REF!,AE196&lt;&gt;"N/A"))</xm:f>
            <x14:dxf>
              <fill>
                <patternFill>
                  <bgColor indexed="10"/>
                </patternFill>
              </fill>
            </x14:dxf>
          </x14:cfRule>
          <xm:sqref>AE196</xm:sqref>
        </x14:conditionalFormatting>
        <x14:conditionalFormatting xmlns:xm="http://schemas.microsoft.com/office/excel/2006/main">
          <x14:cfRule type="expression" priority="2874" id="{A8E899CD-32CC-4C67-92DC-967102416F32}">
            <xm:f>AND(IF(AE194&gt;'F:\Users\norela.briceno\Documents\Plan de acción\Plan Accion 2018\[Plan Accion Integrado ADRES Vigencia 2018 con Cuadro de Mando V6..xlsx]Plan de Accion 2018'!#REF!,AE194&lt;&gt;¨N/A¨))</xm:f>
            <x14:dxf>
              <fill>
                <patternFill>
                  <bgColor theme="1" tint="0.499984740745262"/>
                </patternFill>
              </fill>
            </x14:dxf>
          </x14:cfRule>
          <x14:cfRule type="expression" priority="2875" stopIfTrue="1" id="{83E03AC0-6114-4CD8-AF83-FD65302BDAA8}">
            <xm:f>AND(IF(AE194='F:\Users\norela.briceno\Documents\Plan de acción\Plan Accion 2018\[Plan Accion Integrado ADRES Vigencia 2018 con Cuadro de Mando V6..xlsx]Plan de Accion 2018'!#REF!,AE194&lt;&gt;"N/A"))</xm:f>
            <x14:dxf>
              <fill>
                <patternFill>
                  <bgColor rgb="FF00B050"/>
                </patternFill>
              </fill>
            </x14:dxf>
          </x14:cfRule>
          <x14:cfRule type="expression" priority="2876" stopIfTrue="1" id="{1A5EAC61-EFD4-4F22-AC54-BA9DCF1C131D}">
            <xm:f>AND(IF(AE194&lt;'F:\Users\norela.briceno\Documents\Plan de acción\Plan Accion 2018\[Plan Accion Integrado ADRES Vigencia 2018 con Cuadro de Mando V6..xlsx]Plan de Accion 2018'!#REF!,AE194&lt;&gt;"N/A"))</xm:f>
            <x14:dxf>
              <fill>
                <patternFill>
                  <bgColor indexed="10"/>
                </patternFill>
              </fill>
            </x14:dxf>
          </x14:cfRule>
          <xm:sqref>AE194</xm:sqref>
        </x14:conditionalFormatting>
        <x14:conditionalFormatting xmlns:xm="http://schemas.microsoft.com/office/excel/2006/main">
          <x14:cfRule type="expression" priority="2871" id="{733A2C0B-CC14-451E-88AD-4342D730856C}">
            <xm:f>AND(IF(AE191&gt;'F:\Users\norela.briceno\Documents\Plan de acción\Plan Accion 2018\[Plan Accion Integrado ADRES Vigencia 2018 con Cuadro de Mando V6..xlsx]Plan de Accion 2018'!#REF!,AE191&lt;&gt;¨N/A¨))</xm:f>
            <x14:dxf>
              <fill>
                <patternFill>
                  <bgColor theme="1" tint="0.499984740745262"/>
                </patternFill>
              </fill>
            </x14:dxf>
          </x14:cfRule>
          <x14:cfRule type="expression" priority="2872" stopIfTrue="1" id="{4D17816F-9444-4EF5-BBAD-E34FF1A71FD7}">
            <xm:f>AND(IF(AE191='F:\Users\norela.briceno\Documents\Plan de acción\Plan Accion 2018\[Plan Accion Integrado ADRES Vigencia 2018 con Cuadro de Mando V6..xlsx]Plan de Accion 2018'!#REF!,AE191&lt;&gt;"N/A"))</xm:f>
            <x14:dxf>
              <fill>
                <patternFill>
                  <bgColor rgb="FF00B050"/>
                </patternFill>
              </fill>
            </x14:dxf>
          </x14:cfRule>
          <x14:cfRule type="expression" priority="2873" stopIfTrue="1" id="{990CD048-B823-483E-A7B7-65432E163C06}">
            <xm:f>AND(IF(AE191&lt;'F:\Users\norela.briceno\Documents\Plan de acción\Plan Accion 2018\[Plan Accion Integrado ADRES Vigencia 2018 con Cuadro de Mando V6..xlsx]Plan de Accion 2018'!#REF!,AE191&lt;&gt;"N/A"))</xm:f>
            <x14:dxf>
              <fill>
                <patternFill>
                  <bgColor indexed="10"/>
                </patternFill>
              </fill>
            </x14:dxf>
          </x14:cfRule>
          <xm:sqref>AE191</xm:sqref>
        </x14:conditionalFormatting>
        <x14:conditionalFormatting xmlns:xm="http://schemas.microsoft.com/office/excel/2006/main">
          <x14:cfRule type="expression" priority="2868" id="{5F10C782-8067-486D-8987-93529AFB757B}">
            <xm:f>AND(IF(AE190&gt;'F:\Users\norela.briceno\Documents\Plan de acción\Plan Accion 2018\[Plan Accion Integrado ADRES Vigencia 2018 con Cuadro de Mando V6..xlsx]Plan de Accion 2018'!#REF!,AE190&lt;&gt;¨N/A¨))</xm:f>
            <x14:dxf>
              <fill>
                <patternFill>
                  <bgColor theme="1" tint="0.499984740745262"/>
                </patternFill>
              </fill>
            </x14:dxf>
          </x14:cfRule>
          <x14:cfRule type="expression" priority="2869" stopIfTrue="1" id="{6619FFAF-8C50-4B91-8C0F-68C783D72039}">
            <xm:f>AND(IF(AE190='F:\Users\norela.briceno\Documents\Plan de acción\Plan Accion 2018\[Plan Accion Integrado ADRES Vigencia 2018 con Cuadro de Mando V6..xlsx]Plan de Accion 2018'!#REF!,AE190&lt;&gt;"N/A"))</xm:f>
            <x14:dxf>
              <fill>
                <patternFill>
                  <bgColor rgb="FF00B050"/>
                </patternFill>
              </fill>
            </x14:dxf>
          </x14:cfRule>
          <x14:cfRule type="expression" priority="2870" stopIfTrue="1" id="{429BCFFD-E161-465C-9672-EB3EBE78C914}">
            <xm:f>AND(IF(AE190&lt;'F:\Users\norela.briceno\Documents\Plan de acción\Plan Accion 2018\[Plan Accion Integrado ADRES Vigencia 2018 con Cuadro de Mando V6..xlsx]Plan de Accion 2018'!#REF!,AE190&lt;&gt;"N/A"))</xm:f>
            <x14:dxf>
              <fill>
                <patternFill>
                  <bgColor indexed="10"/>
                </patternFill>
              </fill>
            </x14:dxf>
          </x14:cfRule>
          <xm:sqref>AE190</xm:sqref>
        </x14:conditionalFormatting>
        <x14:conditionalFormatting xmlns:xm="http://schemas.microsoft.com/office/excel/2006/main">
          <x14:cfRule type="expression" priority="2865" id="{ADA25DAC-DCB9-46AF-B25E-3F5746C644B4}">
            <xm:f>AND(IF(AE188&gt;'F:\Users\norela.briceno\Documents\Plan de acción\Plan Accion 2018\[Plan Accion Integrado ADRES Vigencia 2018 con Cuadro de Mando V6..xlsx]Plan de Accion 2018'!#REF!,AE188&lt;&gt;¨N/A¨))</xm:f>
            <x14:dxf>
              <fill>
                <patternFill>
                  <bgColor theme="1" tint="0.499984740745262"/>
                </patternFill>
              </fill>
            </x14:dxf>
          </x14:cfRule>
          <x14:cfRule type="expression" priority="2866" stopIfTrue="1" id="{326B173E-73E5-4E41-8ED8-254479543F03}">
            <xm:f>AND(IF(AE188='F:\Users\norela.briceno\Documents\Plan de acción\Plan Accion 2018\[Plan Accion Integrado ADRES Vigencia 2018 con Cuadro de Mando V6..xlsx]Plan de Accion 2018'!#REF!,AE188&lt;&gt;"N/A"))</xm:f>
            <x14:dxf>
              <fill>
                <patternFill>
                  <bgColor rgb="FF00B050"/>
                </patternFill>
              </fill>
            </x14:dxf>
          </x14:cfRule>
          <x14:cfRule type="expression" priority="2867" stopIfTrue="1" id="{33B6650B-9EF2-4556-A818-A2EC7F699288}">
            <xm:f>AND(IF(AE188&lt;'F:\Users\norela.briceno\Documents\Plan de acción\Plan Accion 2018\[Plan Accion Integrado ADRES Vigencia 2018 con Cuadro de Mando V6..xlsx]Plan de Accion 2018'!#REF!,AE188&lt;&gt;"N/A"))</xm:f>
            <x14:dxf>
              <fill>
                <patternFill>
                  <bgColor indexed="10"/>
                </patternFill>
              </fill>
            </x14:dxf>
          </x14:cfRule>
          <xm:sqref>AE188</xm:sqref>
        </x14:conditionalFormatting>
        <x14:conditionalFormatting xmlns:xm="http://schemas.microsoft.com/office/excel/2006/main">
          <x14:cfRule type="expression" priority="2862" id="{9B8FEE61-7C9C-470C-AAE4-7387E4341BCD}">
            <xm:f>AND(IF(AE187&gt;'F:\Users\norela.briceno\Documents\Plan de acción\Plan Accion 2018\[Plan Accion Integrado ADRES Vigencia 2018 con Cuadro de Mando V6..xlsx]Plan de Accion 2018'!#REF!,AE187&lt;&gt;¨N/A¨))</xm:f>
            <x14:dxf>
              <fill>
                <patternFill>
                  <bgColor theme="1" tint="0.499984740745262"/>
                </patternFill>
              </fill>
            </x14:dxf>
          </x14:cfRule>
          <x14:cfRule type="expression" priority="2863" stopIfTrue="1" id="{83C8D59E-6297-44EC-BDBA-5D3DF3025660}">
            <xm:f>AND(IF(AE187='F:\Users\norela.briceno\Documents\Plan de acción\Plan Accion 2018\[Plan Accion Integrado ADRES Vigencia 2018 con Cuadro de Mando V6..xlsx]Plan de Accion 2018'!#REF!,AE187&lt;&gt;"N/A"))</xm:f>
            <x14:dxf>
              <fill>
                <patternFill>
                  <bgColor rgb="FF00B050"/>
                </patternFill>
              </fill>
            </x14:dxf>
          </x14:cfRule>
          <x14:cfRule type="expression" priority="2864" stopIfTrue="1" id="{66996DB2-5188-4690-ABEC-CC9F4FA1C52C}">
            <xm:f>AND(IF(AE187&lt;'F:\Users\norela.briceno\Documents\Plan de acción\Plan Accion 2018\[Plan Accion Integrado ADRES Vigencia 2018 con Cuadro de Mando V6..xlsx]Plan de Accion 2018'!#REF!,AE187&lt;&gt;"N/A"))</xm:f>
            <x14:dxf>
              <fill>
                <patternFill>
                  <bgColor indexed="10"/>
                </patternFill>
              </fill>
            </x14:dxf>
          </x14:cfRule>
          <xm:sqref>AE187</xm:sqref>
        </x14:conditionalFormatting>
        <x14:conditionalFormatting xmlns:xm="http://schemas.microsoft.com/office/excel/2006/main">
          <x14:cfRule type="expression" priority="2859" id="{28D13DBD-E4CB-470A-86BF-9F7C7F892DA0}">
            <xm:f>AND(IF(AE186&gt;'F:\Users\norela.briceno\Documents\Plan de acción\Plan Accion 2018\[Plan Accion Integrado ADRES Vigencia 2018 con Cuadro de Mando V6..xlsx]Plan de Accion 2018'!#REF!,AE186&lt;&gt;¨N/A¨))</xm:f>
            <x14:dxf>
              <fill>
                <patternFill>
                  <bgColor theme="1" tint="0.499984740745262"/>
                </patternFill>
              </fill>
            </x14:dxf>
          </x14:cfRule>
          <x14:cfRule type="expression" priority="2860" stopIfTrue="1" id="{F36FD939-6680-46A9-9067-DADD53B6DF93}">
            <xm:f>AND(IF(AE186='F:\Users\norela.briceno\Documents\Plan de acción\Plan Accion 2018\[Plan Accion Integrado ADRES Vigencia 2018 con Cuadro de Mando V6..xlsx]Plan de Accion 2018'!#REF!,AE186&lt;&gt;"N/A"))</xm:f>
            <x14:dxf>
              <fill>
                <patternFill>
                  <bgColor rgb="FF00B050"/>
                </patternFill>
              </fill>
            </x14:dxf>
          </x14:cfRule>
          <x14:cfRule type="expression" priority="2861" stopIfTrue="1" id="{5B245B57-552A-4942-9592-0F3AACAC1A28}">
            <xm:f>AND(IF(AE186&lt;'F:\Users\norela.briceno\Documents\Plan de acción\Plan Accion 2018\[Plan Accion Integrado ADRES Vigencia 2018 con Cuadro de Mando V6..xlsx]Plan de Accion 2018'!#REF!,AE186&lt;&gt;"N/A"))</xm:f>
            <x14:dxf>
              <fill>
                <patternFill>
                  <bgColor indexed="10"/>
                </patternFill>
              </fill>
            </x14:dxf>
          </x14:cfRule>
          <xm:sqref>AE186</xm:sqref>
        </x14:conditionalFormatting>
        <x14:conditionalFormatting xmlns:xm="http://schemas.microsoft.com/office/excel/2006/main">
          <x14:cfRule type="expression" priority="2856" id="{063D1373-65A3-41E2-B06D-F427BA8F9E4A}">
            <xm:f>AND(IF(AE185&gt;'F:\Users\norela.briceno\Documents\Plan de acción\Plan Accion 2018\[Plan Accion Integrado ADRES Vigencia 2018 con Cuadro de Mando V6..xlsx]Plan de Accion 2018'!#REF!,AE185&lt;&gt;¨N/A¨))</xm:f>
            <x14:dxf>
              <fill>
                <patternFill>
                  <bgColor theme="1" tint="0.499984740745262"/>
                </patternFill>
              </fill>
            </x14:dxf>
          </x14:cfRule>
          <x14:cfRule type="expression" priority="2857" stopIfTrue="1" id="{C43D929D-C08E-4150-9D02-4ACA0FE65F13}">
            <xm:f>AND(IF(AE185='F:\Users\norela.briceno\Documents\Plan de acción\Plan Accion 2018\[Plan Accion Integrado ADRES Vigencia 2018 con Cuadro de Mando V6..xlsx]Plan de Accion 2018'!#REF!,AE185&lt;&gt;"N/A"))</xm:f>
            <x14:dxf>
              <fill>
                <patternFill>
                  <bgColor rgb="FF00B050"/>
                </patternFill>
              </fill>
            </x14:dxf>
          </x14:cfRule>
          <x14:cfRule type="expression" priority="2858" stopIfTrue="1" id="{CD8579B6-4598-4A6E-9C62-8548CF3A53B5}">
            <xm:f>AND(IF(AE185&lt;'F:\Users\norela.briceno\Documents\Plan de acción\Plan Accion 2018\[Plan Accion Integrado ADRES Vigencia 2018 con Cuadro de Mando V6..xlsx]Plan de Accion 2018'!#REF!,AE185&lt;&gt;"N/A"))</xm:f>
            <x14:dxf>
              <fill>
                <patternFill>
                  <bgColor indexed="10"/>
                </patternFill>
              </fill>
            </x14:dxf>
          </x14:cfRule>
          <xm:sqref>AE185</xm:sqref>
        </x14:conditionalFormatting>
        <x14:conditionalFormatting xmlns:xm="http://schemas.microsoft.com/office/excel/2006/main">
          <x14:cfRule type="expression" priority="2853" id="{5A6E2BD2-8404-4371-8288-F7F37D6CD2AB}">
            <xm:f>AND(IF(AE184&gt;'F:\Users\norela.briceno\Documents\Plan de acción\Plan Accion 2018\[Plan Accion Integrado ADRES Vigencia 2018 con Cuadro de Mando V6..xlsx]Plan de Accion 2018'!#REF!,AE184&lt;&gt;¨N/A¨))</xm:f>
            <x14:dxf>
              <fill>
                <patternFill>
                  <bgColor theme="1" tint="0.499984740745262"/>
                </patternFill>
              </fill>
            </x14:dxf>
          </x14:cfRule>
          <x14:cfRule type="expression" priority="2854" stopIfTrue="1" id="{D49CE7CB-8400-4EBF-A90B-3106ED3E1DD0}">
            <xm:f>AND(IF(AE184='F:\Users\norela.briceno\Documents\Plan de acción\Plan Accion 2018\[Plan Accion Integrado ADRES Vigencia 2018 con Cuadro de Mando V6..xlsx]Plan de Accion 2018'!#REF!,AE184&lt;&gt;"N/A"))</xm:f>
            <x14:dxf>
              <fill>
                <patternFill>
                  <bgColor rgb="FF00B050"/>
                </patternFill>
              </fill>
            </x14:dxf>
          </x14:cfRule>
          <x14:cfRule type="expression" priority="2855" stopIfTrue="1" id="{85C28010-0957-4004-A5D4-C456DBD691F1}">
            <xm:f>AND(IF(AE184&lt;'F:\Users\norela.briceno\Documents\Plan de acción\Plan Accion 2018\[Plan Accion Integrado ADRES Vigencia 2018 con Cuadro de Mando V6..xlsx]Plan de Accion 2018'!#REF!,AE184&lt;&gt;"N/A"))</xm:f>
            <x14:dxf>
              <fill>
                <patternFill>
                  <bgColor indexed="10"/>
                </patternFill>
              </fill>
            </x14:dxf>
          </x14:cfRule>
          <xm:sqref>AE184</xm:sqref>
        </x14:conditionalFormatting>
        <x14:conditionalFormatting xmlns:xm="http://schemas.microsoft.com/office/excel/2006/main">
          <x14:cfRule type="expression" priority="2850" id="{A58D8DEA-AC85-48EB-83DB-BF83C0C5ED7C}">
            <xm:f>AND(IF(AE183&gt;'F:\Users\norela.briceno\Documents\Plan de acción\Plan Accion 2018\[Plan Accion Integrado ADRES Vigencia 2018 con Cuadro de Mando V6..xlsx]Plan de Accion 2018'!#REF!,AE183&lt;&gt;¨N/A¨))</xm:f>
            <x14:dxf>
              <fill>
                <patternFill>
                  <bgColor theme="1" tint="0.499984740745262"/>
                </patternFill>
              </fill>
            </x14:dxf>
          </x14:cfRule>
          <x14:cfRule type="expression" priority="2851" stopIfTrue="1" id="{86796F7C-56DC-4C43-B5E4-31028FE599FA}">
            <xm:f>AND(IF(AE183='F:\Users\norela.briceno\Documents\Plan de acción\Plan Accion 2018\[Plan Accion Integrado ADRES Vigencia 2018 con Cuadro de Mando V6..xlsx]Plan de Accion 2018'!#REF!,AE183&lt;&gt;"N/A"))</xm:f>
            <x14:dxf>
              <fill>
                <patternFill>
                  <bgColor rgb="FF00B050"/>
                </patternFill>
              </fill>
            </x14:dxf>
          </x14:cfRule>
          <x14:cfRule type="expression" priority="2852" stopIfTrue="1" id="{F7E1C00D-8EA5-4E64-A3A3-E9DDCAACFDDC}">
            <xm:f>AND(IF(AE183&lt;'F:\Users\norela.briceno\Documents\Plan de acción\Plan Accion 2018\[Plan Accion Integrado ADRES Vigencia 2018 con Cuadro de Mando V6..xlsx]Plan de Accion 2018'!#REF!,AE183&lt;&gt;"N/A"))</xm:f>
            <x14:dxf>
              <fill>
                <patternFill>
                  <bgColor indexed="10"/>
                </patternFill>
              </fill>
            </x14:dxf>
          </x14:cfRule>
          <xm:sqref>AE183</xm:sqref>
        </x14:conditionalFormatting>
        <x14:conditionalFormatting xmlns:xm="http://schemas.microsoft.com/office/excel/2006/main">
          <x14:cfRule type="expression" priority="2847" id="{3117ACD1-10D9-461D-96D7-2BAF78992F2D}">
            <xm:f>AND(IF(AE178&gt;'F:\Users\norela.briceno\Documents\Plan de acción\Plan Accion 2018\[Plan Accion Integrado ADRES Vigencia 2018 con Cuadro de Mando V6..xlsx]Plan de Accion 2018'!#REF!,AE178&lt;&gt;¨N/A¨))</xm:f>
            <x14:dxf>
              <fill>
                <patternFill>
                  <bgColor theme="1" tint="0.499984740745262"/>
                </patternFill>
              </fill>
            </x14:dxf>
          </x14:cfRule>
          <x14:cfRule type="expression" priority="2848" stopIfTrue="1" id="{1339D56E-6BE5-45CC-B0F3-61527752E775}">
            <xm:f>AND(IF(AE178='F:\Users\norela.briceno\Documents\Plan de acción\Plan Accion 2018\[Plan Accion Integrado ADRES Vigencia 2018 con Cuadro de Mando V6..xlsx]Plan de Accion 2018'!#REF!,AE178&lt;&gt;"N/A"))</xm:f>
            <x14:dxf>
              <fill>
                <patternFill>
                  <bgColor rgb="FF00B050"/>
                </patternFill>
              </fill>
            </x14:dxf>
          </x14:cfRule>
          <x14:cfRule type="expression" priority="2849" stopIfTrue="1" id="{BBE0C286-D864-4E00-BA3D-50CB6D869D52}">
            <xm:f>AND(IF(AE178&lt;'F:\Users\norela.briceno\Documents\Plan de acción\Plan Accion 2018\[Plan Accion Integrado ADRES Vigencia 2018 con Cuadro de Mando V6..xlsx]Plan de Accion 2018'!#REF!,AE178&lt;&gt;"N/A"))</xm:f>
            <x14:dxf>
              <fill>
                <patternFill>
                  <bgColor indexed="10"/>
                </patternFill>
              </fill>
            </x14:dxf>
          </x14:cfRule>
          <xm:sqref>AE178</xm:sqref>
        </x14:conditionalFormatting>
        <x14:conditionalFormatting xmlns:xm="http://schemas.microsoft.com/office/excel/2006/main">
          <x14:cfRule type="expression" priority="2844" id="{741B5401-3443-4099-B4A1-93FBF7B0F41D}">
            <xm:f>AND(IF(AE177&gt;'F:\Users\norela.briceno\Documents\Plan de acción\Plan Accion 2018\[Plan Accion Integrado ADRES Vigencia 2018 con Cuadro de Mando V6..xlsx]Plan de Accion 2018'!#REF!,AE177&lt;&gt;¨N/A¨))</xm:f>
            <x14:dxf>
              <fill>
                <patternFill>
                  <bgColor theme="1" tint="0.499984740745262"/>
                </patternFill>
              </fill>
            </x14:dxf>
          </x14:cfRule>
          <x14:cfRule type="expression" priority="2845" stopIfTrue="1" id="{D92D6867-EF2F-4016-A08E-1B903E270DA7}">
            <xm:f>AND(IF(AE177='F:\Users\norela.briceno\Documents\Plan de acción\Plan Accion 2018\[Plan Accion Integrado ADRES Vigencia 2018 con Cuadro de Mando V6..xlsx]Plan de Accion 2018'!#REF!,AE177&lt;&gt;"N/A"))</xm:f>
            <x14:dxf>
              <fill>
                <patternFill>
                  <bgColor rgb="FF00B050"/>
                </patternFill>
              </fill>
            </x14:dxf>
          </x14:cfRule>
          <x14:cfRule type="expression" priority="2846" stopIfTrue="1" id="{4E4BC654-F34E-4882-B9C8-D8C72A450A16}">
            <xm:f>AND(IF(AE177&lt;'F:\Users\norela.briceno\Documents\Plan de acción\Plan Accion 2018\[Plan Accion Integrado ADRES Vigencia 2018 con Cuadro de Mando V6..xlsx]Plan de Accion 2018'!#REF!,AE177&lt;&gt;"N/A"))</xm:f>
            <x14:dxf>
              <fill>
                <patternFill>
                  <bgColor indexed="10"/>
                </patternFill>
              </fill>
            </x14:dxf>
          </x14:cfRule>
          <xm:sqref>AE177</xm:sqref>
        </x14:conditionalFormatting>
        <x14:conditionalFormatting xmlns:xm="http://schemas.microsoft.com/office/excel/2006/main">
          <x14:cfRule type="expression" priority="2841" id="{56C311D9-114C-4468-B68A-A587D2ED777F}">
            <xm:f>AND(IF(AE168&gt;'F:\Users\norela.briceno\Documents\Plan de acción\Plan Accion 2018\[Plan Accion Integrado ADRES Vigencia 2018 con Cuadro de Mando V6..xlsx]Plan de Accion 2018'!#REF!,AE168&lt;&gt;¨N/A¨))</xm:f>
            <x14:dxf>
              <fill>
                <patternFill>
                  <bgColor theme="1" tint="0.499984740745262"/>
                </patternFill>
              </fill>
            </x14:dxf>
          </x14:cfRule>
          <x14:cfRule type="expression" priority="2842" stopIfTrue="1" id="{62851354-132E-49F4-A153-E91F5DF2537D}">
            <xm:f>AND(IF(AE168='F:\Users\norela.briceno\Documents\Plan de acción\Plan Accion 2018\[Plan Accion Integrado ADRES Vigencia 2018 con Cuadro de Mando V6..xlsx]Plan de Accion 2018'!#REF!,AE168&lt;&gt;"N/A"))</xm:f>
            <x14:dxf>
              <fill>
                <patternFill>
                  <bgColor rgb="FF00B050"/>
                </patternFill>
              </fill>
            </x14:dxf>
          </x14:cfRule>
          <x14:cfRule type="expression" priority="2843" stopIfTrue="1" id="{56C8E85F-A6BD-4BCA-9723-ADCE56B782F7}">
            <xm:f>AND(IF(AE168&lt;'F:\Users\norela.briceno\Documents\Plan de acción\Plan Accion 2018\[Plan Accion Integrado ADRES Vigencia 2018 con Cuadro de Mando V6..xlsx]Plan de Accion 2018'!#REF!,AE168&lt;&gt;"N/A"))</xm:f>
            <x14:dxf>
              <fill>
                <patternFill>
                  <bgColor indexed="10"/>
                </patternFill>
              </fill>
            </x14:dxf>
          </x14:cfRule>
          <xm:sqref>AE168</xm:sqref>
        </x14:conditionalFormatting>
        <x14:conditionalFormatting xmlns:xm="http://schemas.microsoft.com/office/excel/2006/main">
          <x14:cfRule type="expression" priority="2838" id="{7CE3B091-16A4-4C5C-B3F7-A18CD7D5E224}">
            <xm:f>AND(IF(AE167&gt;'F:\Users\norela.briceno\Documents\Plan de acción\Plan Accion 2018\[Plan Accion Integrado ADRES Vigencia 2018 con Cuadro de Mando V6..xlsx]Plan de Accion 2018'!#REF!,AE167&lt;&gt;¨N/A¨))</xm:f>
            <x14:dxf>
              <fill>
                <patternFill>
                  <bgColor theme="1" tint="0.499984740745262"/>
                </patternFill>
              </fill>
            </x14:dxf>
          </x14:cfRule>
          <x14:cfRule type="expression" priority="2839" stopIfTrue="1" id="{9B7E0DB4-3EB6-4FE3-A886-26066EE4A9AE}">
            <xm:f>AND(IF(AE167='F:\Users\norela.briceno\Documents\Plan de acción\Plan Accion 2018\[Plan Accion Integrado ADRES Vigencia 2018 con Cuadro de Mando V6..xlsx]Plan de Accion 2018'!#REF!,AE167&lt;&gt;"N/A"))</xm:f>
            <x14:dxf>
              <fill>
                <patternFill>
                  <bgColor rgb="FF00B050"/>
                </patternFill>
              </fill>
            </x14:dxf>
          </x14:cfRule>
          <x14:cfRule type="expression" priority="2840" stopIfTrue="1" id="{E480D4DE-80EF-463F-9D6E-009DA42A8BE6}">
            <xm:f>AND(IF(AE167&lt;'F:\Users\norela.briceno\Documents\Plan de acción\Plan Accion 2018\[Plan Accion Integrado ADRES Vigencia 2018 con Cuadro de Mando V6..xlsx]Plan de Accion 2018'!#REF!,AE167&lt;&gt;"N/A"))</xm:f>
            <x14:dxf>
              <fill>
                <patternFill>
                  <bgColor indexed="10"/>
                </patternFill>
              </fill>
            </x14:dxf>
          </x14:cfRule>
          <xm:sqref>AE167</xm:sqref>
        </x14:conditionalFormatting>
        <x14:conditionalFormatting xmlns:xm="http://schemas.microsoft.com/office/excel/2006/main">
          <x14:cfRule type="expression" priority="2835" id="{9F705BD6-D3D1-437B-A350-6224EBE9EEFD}">
            <xm:f>AND(IF(AE166&gt;'F:\Users\norela.briceno\Documents\Plan de acción\Plan Accion 2018\[Plan Accion Integrado ADRES Vigencia 2018 con Cuadro de Mando V6..xlsx]Plan de Accion 2018'!#REF!,AE166&lt;&gt;¨N/A¨))</xm:f>
            <x14:dxf>
              <fill>
                <patternFill>
                  <bgColor theme="1" tint="0.499984740745262"/>
                </patternFill>
              </fill>
            </x14:dxf>
          </x14:cfRule>
          <x14:cfRule type="expression" priority="2836" stopIfTrue="1" id="{17DFEA55-3CEA-47FC-BBC5-24A9A958AECE}">
            <xm:f>AND(IF(AE166='F:\Users\norela.briceno\Documents\Plan de acción\Plan Accion 2018\[Plan Accion Integrado ADRES Vigencia 2018 con Cuadro de Mando V6..xlsx]Plan de Accion 2018'!#REF!,AE166&lt;&gt;"N/A"))</xm:f>
            <x14:dxf>
              <fill>
                <patternFill>
                  <bgColor rgb="FF00B050"/>
                </patternFill>
              </fill>
            </x14:dxf>
          </x14:cfRule>
          <x14:cfRule type="expression" priority="2837" stopIfTrue="1" id="{6826C526-7777-4FB5-9E6E-4C5A047A4360}">
            <xm:f>AND(IF(AE166&lt;'F:\Users\norela.briceno\Documents\Plan de acción\Plan Accion 2018\[Plan Accion Integrado ADRES Vigencia 2018 con Cuadro de Mando V6..xlsx]Plan de Accion 2018'!#REF!,AE166&lt;&gt;"N/A"))</xm:f>
            <x14:dxf>
              <fill>
                <patternFill>
                  <bgColor indexed="10"/>
                </patternFill>
              </fill>
            </x14:dxf>
          </x14:cfRule>
          <xm:sqref>AE166</xm:sqref>
        </x14:conditionalFormatting>
        <x14:conditionalFormatting xmlns:xm="http://schemas.microsoft.com/office/excel/2006/main">
          <x14:cfRule type="expression" priority="2832" id="{C3912647-B9C1-4B25-BA9C-4220E8C08073}">
            <xm:f>AND(IF(AE165&gt;'F:\Users\norela.briceno\Documents\Plan de acción\Plan Accion 2018\[Plan Accion Integrado ADRES Vigencia 2018 con Cuadro de Mando V6..xlsx]Plan de Accion 2018'!#REF!,AE165&lt;&gt;¨N/A¨))</xm:f>
            <x14:dxf>
              <fill>
                <patternFill>
                  <bgColor theme="1" tint="0.499984740745262"/>
                </patternFill>
              </fill>
            </x14:dxf>
          </x14:cfRule>
          <x14:cfRule type="expression" priority="2833" stopIfTrue="1" id="{F2ACF522-50EA-455C-912C-0D87A58E5E6D}">
            <xm:f>AND(IF(AE165='F:\Users\norela.briceno\Documents\Plan de acción\Plan Accion 2018\[Plan Accion Integrado ADRES Vigencia 2018 con Cuadro de Mando V6..xlsx]Plan de Accion 2018'!#REF!,AE165&lt;&gt;"N/A"))</xm:f>
            <x14:dxf>
              <fill>
                <patternFill>
                  <bgColor rgb="FF00B050"/>
                </patternFill>
              </fill>
            </x14:dxf>
          </x14:cfRule>
          <x14:cfRule type="expression" priority="2834" stopIfTrue="1" id="{D49C2A8F-A31E-4047-8A9B-27C1385BC3E2}">
            <xm:f>AND(IF(AE165&lt;'F:\Users\norela.briceno\Documents\Plan de acción\Plan Accion 2018\[Plan Accion Integrado ADRES Vigencia 2018 con Cuadro de Mando V6..xlsx]Plan de Accion 2018'!#REF!,AE165&lt;&gt;"N/A"))</xm:f>
            <x14:dxf>
              <fill>
                <patternFill>
                  <bgColor indexed="10"/>
                </patternFill>
              </fill>
            </x14:dxf>
          </x14:cfRule>
          <xm:sqref>AE165</xm:sqref>
        </x14:conditionalFormatting>
        <x14:conditionalFormatting xmlns:xm="http://schemas.microsoft.com/office/excel/2006/main">
          <x14:cfRule type="expression" priority="2829" id="{E32EDDB5-350F-4AD8-B5EC-A20CDB5685FA}">
            <xm:f>AND(IF(AE164&gt;'F:\Users\norela.briceno\Documents\Plan de acción\Plan Accion 2018\[Plan Accion Integrado ADRES Vigencia 2018 con Cuadro de Mando V6..xlsx]Plan de Accion 2018'!#REF!,AE164&lt;&gt;¨N/A¨))</xm:f>
            <x14:dxf>
              <fill>
                <patternFill>
                  <bgColor theme="1" tint="0.499984740745262"/>
                </patternFill>
              </fill>
            </x14:dxf>
          </x14:cfRule>
          <x14:cfRule type="expression" priority="2830" stopIfTrue="1" id="{ED1D1671-88E1-4203-B814-A25298F85FF1}">
            <xm:f>AND(IF(AE164='F:\Users\norela.briceno\Documents\Plan de acción\Plan Accion 2018\[Plan Accion Integrado ADRES Vigencia 2018 con Cuadro de Mando V6..xlsx]Plan de Accion 2018'!#REF!,AE164&lt;&gt;"N/A"))</xm:f>
            <x14:dxf>
              <fill>
                <patternFill>
                  <bgColor rgb="FF00B050"/>
                </patternFill>
              </fill>
            </x14:dxf>
          </x14:cfRule>
          <x14:cfRule type="expression" priority="2831" stopIfTrue="1" id="{147A696F-EEA6-430E-B7C2-0185758C60C0}">
            <xm:f>AND(IF(AE164&lt;'F:\Users\norela.briceno\Documents\Plan de acción\Plan Accion 2018\[Plan Accion Integrado ADRES Vigencia 2018 con Cuadro de Mando V6..xlsx]Plan de Accion 2018'!#REF!,AE164&lt;&gt;"N/A"))</xm:f>
            <x14:dxf>
              <fill>
                <patternFill>
                  <bgColor indexed="10"/>
                </patternFill>
              </fill>
            </x14:dxf>
          </x14:cfRule>
          <xm:sqref>AE164</xm:sqref>
        </x14:conditionalFormatting>
        <x14:conditionalFormatting xmlns:xm="http://schemas.microsoft.com/office/excel/2006/main">
          <x14:cfRule type="expression" priority="2826" id="{F4333865-95DA-4EF7-B4BA-27E1EC710E23}">
            <xm:f>AND(IF(AE163&gt;'F:\Users\norela.briceno\Documents\Plan de acción\Plan Accion 2018\[Plan Accion Integrado ADRES Vigencia 2018 con Cuadro de Mando V6..xlsx]Plan de Accion 2018'!#REF!,AE163&lt;&gt;¨N/A¨))</xm:f>
            <x14:dxf>
              <fill>
                <patternFill>
                  <bgColor theme="1" tint="0.499984740745262"/>
                </patternFill>
              </fill>
            </x14:dxf>
          </x14:cfRule>
          <x14:cfRule type="expression" priority="2827" stopIfTrue="1" id="{32602091-C862-441B-9C6E-C6867BF2BFAE}">
            <xm:f>AND(IF(AE163='F:\Users\norela.briceno\Documents\Plan de acción\Plan Accion 2018\[Plan Accion Integrado ADRES Vigencia 2018 con Cuadro de Mando V6..xlsx]Plan de Accion 2018'!#REF!,AE163&lt;&gt;"N/A"))</xm:f>
            <x14:dxf>
              <fill>
                <patternFill>
                  <bgColor rgb="FF00B050"/>
                </patternFill>
              </fill>
            </x14:dxf>
          </x14:cfRule>
          <x14:cfRule type="expression" priority="2828" stopIfTrue="1" id="{674761A8-35DE-42A5-8201-79A0C8492B7F}">
            <xm:f>AND(IF(AE163&lt;'F:\Users\norela.briceno\Documents\Plan de acción\Plan Accion 2018\[Plan Accion Integrado ADRES Vigencia 2018 con Cuadro de Mando V6..xlsx]Plan de Accion 2018'!#REF!,AE163&lt;&gt;"N/A"))</xm:f>
            <x14:dxf>
              <fill>
                <patternFill>
                  <bgColor indexed="10"/>
                </patternFill>
              </fill>
            </x14:dxf>
          </x14:cfRule>
          <xm:sqref>AE163</xm:sqref>
        </x14:conditionalFormatting>
        <x14:conditionalFormatting xmlns:xm="http://schemas.microsoft.com/office/excel/2006/main">
          <x14:cfRule type="expression" priority="2823" id="{1D6AD485-9090-4FCA-AEBC-0836FF67886F}">
            <xm:f>AND(IF(AE162&gt;'F:\Users\norela.briceno\Documents\Plan de acción\Plan Accion 2018\[Plan Accion Integrado ADRES Vigencia 2018 con Cuadro de Mando V6..xlsx]Plan de Accion 2018'!#REF!,AE162&lt;&gt;¨N/A¨))</xm:f>
            <x14:dxf>
              <fill>
                <patternFill>
                  <bgColor theme="1" tint="0.499984740745262"/>
                </patternFill>
              </fill>
            </x14:dxf>
          </x14:cfRule>
          <x14:cfRule type="expression" priority="2824" stopIfTrue="1" id="{E60BFA2A-89F5-4ED9-96A8-94935C0B69E5}">
            <xm:f>AND(IF(AE162='F:\Users\norela.briceno\Documents\Plan de acción\Plan Accion 2018\[Plan Accion Integrado ADRES Vigencia 2018 con Cuadro de Mando V6..xlsx]Plan de Accion 2018'!#REF!,AE162&lt;&gt;"N/A"))</xm:f>
            <x14:dxf>
              <fill>
                <patternFill>
                  <bgColor rgb="FF00B050"/>
                </patternFill>
              </fill>
            </x14:dxf>
          </x14:cfRule>
          <x14:cfRule type="expression" priority="2825" stopIfTrue="1" id="{A7CEB905-2E2D-4AA7-9CF5-D57A90F569B5}">
            <xm:f>AND(IF(AE162&lt;'F:\Users\norela.briceno\Documents\Plan de acción\Plan Accion 2018\[Plan Accion Integrado ADRES Vigencia 2018 con Cuadro de Mando V6..xlsx]Plan de Accion 2018'!#REF!,AE162&lt;&gt;"N/A"))</xm:f>
            <x14:dxf>
              <fill>
                <patternFill>
                  <bgColor indexed="10"/>
                </patternFill>
              </fill>
            </x14:dxf>
          </x14:cfRule>
          <xm:sqref>AE162</xm:sqref>
        </x14:conditionalFormatting>
        <x14:conditionalFormatting xmlns:xm="http://schemas.microsoft.com/office/excel/2006/main">
          <x14:cfRule type="expression" priority="2820" id="{D21A8BA8-556F-4845-8AB3-8CA317FD6DA1}">
            <xm:f>AND(IF(AE161&gt;'F:\Users\norela.briceno\Documents\Plan de acción\Plan Accion 2018\[Plan Accion Integrado ADRES Vigencia 2018 con Cuadro de Mando V6..xlsx]Plan de Accion 2018'!#REF!,AE161&lt;&gt;¨N/A¨))</xm:f>
            <x14:dxf>
              <fill>
                <patternFill>
                  <bgColor theme="1" tint="0.499984740745262"/>
                </patternFill>
              </fill>
            </x14:dxf>
          </x14:cfRule>
          <x14:cfRule type="expression" priority="2821" stopIfTrue="1" id="{FD5D219C-06D0-4ACF-87A6-C428FC91A3BE}">
            <xm:f>AND(IF(AE161='F:\Users\norela.briceno\Documents\Plan de acción\Plan Accion 2018\[Plan Accion Integrado ADRES Vigencia 2018 con Cuadro de Mando V6..xlsx]Plan de Accion 2018'!#REF!,AE161&lt;&gt;"N/A"))</xm:f>
            <x14:dxf>
              <fill>
                <patternFill>
                  <bgColor rgb="FF00B050"/>
                </patternFill>
              </fill>
            </x14:dxf>
          </x14:cfRule>
          <x14:cfRule type="expression" priority="2822" stopIfTrue="1" id="{CEBA417A-060A-497C-BE5A-F2E26A0D4847}">
            <xm:f>AND(IF(AE161&lt;'F:\Users\norela.briceno\Documents\Plan de acción\Plan Accion 2018\[Plan Accion Integrado ADRES Vigencia 2018 con Cuadro de Mando V6..xlsx]Plan de Accion 2018'!#REF!,AE161&lt;&gt;"N/A"))</xm:f>
            <x14:dxf>
              <fill>
                <patternFill>
                  <bgColor indexed="10"/>
                </patternFill>
              </fill>
            </x14:dxf>
          </x14:cfRule>
          <xm:sqref>AE161</xm:sqref>
        </x14:conditionalFormatting>
        <x14:conditionalFormatting xmlns:xm="http://schemas.microsoft.com/office/excel/2006/main">
          <x14:cfRule type="expression" priority="2817" id="{9AAF518D-3C6E-4904-B08A-495237D8B667}">
            <xm:f>AND(IF(AE160&gt;'F:\Users\norela.briceno\Documents\Plan de acción\Plan Accion 2018\[Plan Accion Integrado ADRES Vigencia 2018 con Cuadro de Mando V6..xlsx]Plan de Accion 2018'!#REF!,AE160&lt;&gt;¨N/A¨))</xm:f>
            <x14:dxf>
              <fill>
                <patternFill>
                  <bgColor theme="1" tint="0.499984740745262"/>
                </patternFill>
              </fill>
            </x14:dxf>
          </x14:cfRule>
          <x14:cfRule type="expression" priority="2818" stopIfTrue="1" id="{1CF16D6A-8285-4035-BFC9-C03F0CAA3599}">
            <xm:f>AND(IF(AE160='F:\Users\norela.briceno\Documents\Plan de acción\Plan Accion 2018\[Plan Accion Integrado ADRES Vigencia 2018 con Cuadro de Mando V6..xlsx]Plan de Accion 2018'!#REF!,AE160&lt;&gt;"N/A"))</xm:f>
            <x14:dxf>
              <fill>
                <patternFill>
                  <bgColor rgb="FF00B050"/>
                </patternFill>
              </fill>
            </x14:dxf>
          </x14:cfRule>
          <x14:cfRule type="expression" priority="2819" stopIfTrue="1" id="{8DDC8C16-E87A-4D23-B8D6-B8A2FF885FBA}">
            <xm:f>AND(IF(AE160&lt;'F:\Users\norela.briceno\Documents\Plan de acción\Plan Accion 2018\[Plan Accion Integrado ADRES Vigencia 2018 con Cuadro de Mando V6..xlsx]Plan de Accion 2018'!#REF!,AE160&lt;&gt;"N/A"))</xm:f>
            <x14:dxf>
              <fill>
                <patternFill>
                  <bgColor indexed="10"/>
                </patternFill>
              </fill>
            </x14:dxf>
          </x14:cfRule>
          <xm:sqref>AE160</xm:sqref>
        </x14:conditionalFormatting>
        <x14:conditionalFormatting xmlns:xm="http://schemas.microsoft.com/office/excel/2006/main">
          <x14:cfRule type="expression" priority="2814" id="{CBA30839-1BB9-4400-9E8C-39F2BB17965C}">
            <xm:f>AND(IF(AE159&gt;'F:\Users\norela.briceno\Documents\Plan de acción\Plan Accion 2018\[Plan Accion Integrado ADRES Vigencia 2018 con Cuadro de Mando V6..xlsx]Plan de Accion 2018'!#REF!,AE159&lt;&gt;¨N/A¨))</xm:f>
            <x14:dxf>
              <fill>
                <patternFill>
                  <bgColor theme="1" tint="0.499984740745262"/>
                </patternFill>
              </fill>
            </x14:dxf>
          </x14:cfRule>
          <x14:cfRule type="expression" priority="2815" stopIfTrue="1" id="{7158109E-6DCF-42A9-8EF9-CAA425835B79}">
            <xm:f>AND(IF(AE159='F:\Users\norela.briceno\Documents\Plan de acción\Plan Accion 2018\[Plan Accion Integrado ADRES Vigencia 2018 con Cuadro de Mando V6..xlsx]Plan de Accion 2018'!#REF!,AE159&lt;&gt;"N/A"))</xm:f>
            <x14:dxf>
              <fill>
                <patternFill>
                  <bgColor rgb="FF00B050"/>
                </patternFill>
              </fill>
            </x14:dxf>
          </x14:cfRule>
          <x14:cfRule type="expression" priority="2816" stopIfTrue="1" id="{93B424A5-2028-4C41-AE5B-F68AE9961688}">
            <xm:f>AND(IF(AE159&lt;'F:\Users\norela.briceno\Documents\Plan de acción\Plan Accion 2018\[Plan Accion Integrado ADRES Vigencia 2018 con Cuadro de Mando V6..xlsx]Plan de Accion 2018'!#REF!,AE159&lt;&gt;"N/A"))</xm:f>
            <x14:dxf>
              <fill>
                <patternFill>
                  <bgColor indexed="10"/>
                </patternFill>
              </fill>
            </x14:dxf>
          </x14:cfRule>
          <xm:sqref>AE159</xm:sqref>
        </x14:conditionalFormatting>
        <x14:conditionalFormatting xmlns:xm="http://schemas.microsoft.com/office/excel/2006/main">
          <x14:cfRule type="expression" priority="2808" id="{74A8A1AE-D629-49E0-885A-601B4DA33AD6}">
            <xm:f>AND(IF(AE148&gt;'F:\Users\norela.briceno\Documents\Plan de acción\Plan Accion 2018\[Plan Accion Integrado ADRES Vigencia 2018 con Cuadro de Mando V6..xlsx]Plan de Accion 2018'!#REF!,AE148&lt;&gt;¨N/A¨))</xm:f>
            <x14:dxf>
              <fill>
                <patternFill>
                  <bgColor theme="1" tint="0.499984740745262"/>
                </patternFill>
              </fill>
            </x14:dxf>
          </x14:cfRule>
          <x14:cfRule type="expression" priority="2809" stopIfTrue="1" id="{DAE33AE1-BB36-4801-8225-BFB331C94770}">
            <xm:f>AND(IF(AE148='F:\Users\norela.briceno\Documents\Plan de acción\Plan Accion 2018\[Plan Accion Integrado ADRES Vigencia 2018 con Cuadro de Mando V6..xlsx]Plan de Accion 2018'!#REF!,AE148&lt;&gt;"N/A"))</xm:f>
            <x14:dxf>
              <fill>
                <patternFill>
                  <bgColor rgb="FF00B050"/>
                </patternFill>
              </fill>
            </x14:dxf>
          </x14:cfRule>
          <x14:cfRule type="expression" priority="2810" stopIfTrue="1" id="{6C71D013-FF87-4B1A-8F6A-63DB5671DF83}">
            <xm:f>AND(IF(AE148&lt;'F:\Users\norela.briceno\Documents\Plan de acción\Plan Accion 2018\[Plan Accion Integrado ADRES Vigencia 2018 con Cuadro de Mando V6..xlsx]Plan de Accion 2018'!#REF!,AE148&lt;&gt;"N/A"))</xm:f>
            <x14:dxf>
              <fill>
                <patternFill>
                  <bgColor indexed="10"/>
                </patternFill>
              </fill>
            </x14:dxf>
          </x14:cfRule>
          <xm:sqref>AE148</xm:sqref>
        </x14:conditionalFormatting>
        <x14:conditionalFormatting xmlns:xm="http://schemas.microsoft.com/office/excel/2006/main">
          <x14:cfRule type="expression" priority="2805" id="{B126CB50-B345-47DC-9B2E-1FC1B50B1E67}">
            <xm:f>AND(IF(AE147&gt;'F:\Users\norela.briceno\Documents\Plan de acción\Plan Accion 2018\[Plan Accion Integrado ADRES Vigencia 2018 con Cuadro de Mando V6..xlsx]Plan de Accion 2018'!#REF!,AE147&lt;&gt;¨N/A¨))</xm:f>
            <x14:dxf>
              <fill>
                <patternFill>
                  <bgColor theme="1" tint="0.499984740745262"/>
                </patternFill>
              </fill>
            </x14:dxf>
          </x14:cfRule>
          <x14:cfRule type="expression" priority="2806" stopIfTrue="1" id="{B4EDFC42-D400-4500-AF10-72E3C47C60A7}">
            <xm:f>AND(IF(AE147='F:\Users\norela.briceno\Documents\Plan de acción\Plan Accion 2018\[Plan Accion Integrado ADRES Vigencia 2018 con Cuadro de Mando V6..xlsx]Plan de Accion 2018'!#REF!,AE147&lt;&gt;"N/A"))</xm:f>
            <x14:dxf>
              <fill>
                <patternFill>
                  <bgColor rgb="FF00B050"/>
                </patternFill>
              </fill>
            </x14:dxf>
          </x14:cfRule>
          <x14:cfRule type="expression" priority="2807" stopIfTrue="1" id="{25611B9D-64B0-44BD-BA6E-083FCB78B8A4}">
            <xm:f>AND(IF(AE147&lt;'F:\Users\norela.briceno\Documents\Plan de acción\Plan Accion 2018\[Plan Accion Integrado ADRES Vigencia 2018 con Cuadro de Mando V6..xlsx]Plan de Accion 2018'!#REF!,AE147&lt;&gt;"N/A"))</xm:f>
            <x14:dxf>
              <fill>
                <patternFill>
                  <bgColor indexed="10"/>
                </patternFill>
              </fill>
            </x14:dxf>
          </x14:cfRule>
          <xm:sqref>AE147</xm:sqref>
        </x14:conditionalFormatting>
        <x14:conditionalFormatting xmlns:xm="http://schemas.microsoft.com/office/excel/2006/main">
          <x14:cfRule type="expression" priority="2802" id="{E153D042-D4E6-4BE4-BE56-D2D671CE35F3}">
            <xm:f>AND(IF(AE146&gt;'F:\Users\norela.briceno\Documents\Plan de acción\Plan Accion 2018\[Plan Accion Integrado ADRES Vigencia 2018 con Cuadro de Mando V6..xlsx]Plan de Accion 2018'!#REF!,AE146&lt;&gt;¨N/A¨))</xm:f>
            <x14:dxf>
              <fill>
                <patternFill>
                  <bgColor theme="1" tint="0.499984740745262"/>
                </patternFill>
              </fill>
            </x14:dxf>
          </x14:cfRule>
          <x14:cfRule type="expression" priority="2803" stopIfTrue="1" id="{3046E581-8C65-4A41-B52E-D5309D919B8D}">
            <xm:f>AND(IF(AE146='F:\Users\norela.briceno\Documents\Plan de acción\Plan Accion 2018\[Plan Accion Integrado ADRES Vigencia 2018 con Cuadro de Mando V6..xlsx]Plan de Accion 2018'!#REF!,AE146&lt;&gt;"N/A"))</xm:f>
            <x14:dxf>
              <fill>
                <patternFill>
                  <bgColor rgb="FF00B050"/>
                </patternFill>
              </fill>
            </x14:dxf>
          </x14:cfRule>
          <x14:cfRule type="expression" priority="2804" stopIfTrue="1" id="{AFB9723D-EEB9-4342-A88F-825DF95415B0}">
            <xm:f>AND(IF(AE146&lt;'F:\Users\norela.briceno\Documents\Plan de acción\Plan Accion 2018\[Plan Accion Integrado ADRES Vigencia 2018 con Cuadro de Mando V6..xlsx]Plan de Accion 2018'!#REF!,AE146&lt;&gt;"N/A"))</xm:f>
            <x14:dxf>
              <fill>
                <patternFill>
                  <bgColor indexed="10"/>
                </patternFill>
              </fill>
            </x14:dxf>
          </x14:cfRule>
          <xm:sqref>AE146</xm:sqref>
        </x14:conditionalFormatting>
        <x14:conditionalFormatting xmlns:xm="http://schemas.microsoft.com/office/excel/2006/main">
          <x14:cfRule type="expression" priority="2799" id="{EF9960B1-2D09-4B87-89B8-7F3997793A49}">
            <xm:f>AND(IF(AE145&gt;'F:\Users\norela.briceno\Documents\Plan de acción\Plan Accion 2018\[Plan Accion Integrado ADRES Vigencia 2018 con Cuadro de Mando V6..xlsx]Plan de Accion 2018'!#REF!,AE145&lt;&gt;¨N/A¨))</xm:f>
            <x14:dxf>
              <fill>
                <patternFill>
                  <bgColor theme="1" tint="0.499984740745262"/>
                </patternFill>
              </fill>
            </x14:dxf>
          </x14:cfRule>
          <x14:cfRule type="expression" priority="2800" stopIfTrue="1" id="{A4F3FC48-CE7B-41A9-9983-920FE16AB633}">
            <xm:f>AND(IF(AE145='F:\Users\norela.briceno\Documents\Plan de acción\Plan Accion 2018\[Plan Accion Integrado ADRES Vigencia 2018 con Cuadro de Mando V6..xlsx]Plan de Accion 2018'!#REF!,AE145&lt;&gt;"N/A"))</xm:f>
            <x14:dxf>
              <fill>
                <patternFill>
                  <bgColor rgb="FF00B050"/>
                </patternFill>
              </fill>
            </x14:dxf>
          </x14:cfRule>
          <x14:cfRule type="expression" priority="2801" stopIfTrue="1" id="{DC9BD7CC-0782-4E91-9F70-FBEB7E8F4B62}">
            <xm:f>AND(IF(AE145&lt;'F:\Users\norela.briceno\Documents\Plan de acción\Plan Accion 2018\[Plan Accion Integrado ADRES Vigencia 2018 con Cuadro de Mando V6..xlsx]Plan de Accion 2018'!#REF!,AE145&lt;&gt;"N/A"))</xm:f>
            <x14:dxf>
              <fill>
                <patternFill>
                  <bgColor indexed="10"/>
                </patternFill>
              </fill>
            </x14:dxf>
          </x14:cfRule>
          <xm:sqref>AE145</xm:sqref>
        </x14:conditionalFormatting>
        <x14:conditionalFormatting xmlns:xm="http://schemas.microsoft.com/office/excel/2006/main">
          <x14:cfRule type="expression" priority="2796" id="{940DD5DE-18B7-4453-85FF-45093FA44DF5}">
            <xm:f>AND(IF(AE144&gt;'F:\Users\norela.briceno\Documents\Plan de acción\Plan Accion 2018\[Plan Accion Integrado ADRES Vigencia 2018 con Cuadro de Mando V6..xlsx]Plan de Accion 2018'!#REF!,AE144&lt;&gt;¨N/A¨))</xm:f>
            <x14:dxf>
              <fill>
                <patternFill>
                  <bgColor theme="1" tint="0.499984740745262"/>
                </patternFill>
              </fill>
            </x14:dxf>
          </x14:cfRule>
          <x14:cfRule type="expression" priority="2797" stopIfTrue="1" id="{D536C1E5-7208-4B2D-89C8-9D50BC4F2B4E}">
            <xm:f>AND(IF(AE144='F:\Users\norela.briceno\Documents\Plan de acción\Plan Accion 2018\[Plan Accion Integrado ADRES Vigencia 2018 con Cuadro de Mando V6..xlsx]Plan de Accion 2018'!#REF!,AE144&lt;&gt;"N/A"))</xm:f>
            <x14:dxf>
              <fill>
                <patternFill>
                  <bgColor rgb="FF00B050"/>
                </patternFill>
              </fill>
            </x14:dxf>
          </x14:cfRule>
          <x14:cfRule type="expression" priority="2798" stopIfTrue="1" id="{477D9079-5B89-4C4F-B0C5-936F424C09B7}">
            <xm:f>AND(IF(AE144&lt;'F:\Users\norela.briceno\Documents\Plan de acción\Plan Accion 2018\[Plan Accion Integrado ADRES Vigencia 2018 con Cuadro de Mando V6..xlsx]Plan de Accion 2018'!#REF!,AE144&lt;&gt;"N/A"))</xm:f>
            <x14:dxf>
              <fill>
                <patternFill>
                  <bgColor indexed="10"/>
                </patternFill>
              </fill>
            </x14:dxf>
          </x14:cfRule>
          <xm:sqref>AE144</xm:sqref>
        </x14:conditionalFormatting>
        <x14:conditionalFormatting xmlns:xm="http://schemas.microsoft.com/office/excel/2006/main">
          <x14:cfRule type="expression" priority="2793" id="{0232982A-7003-4F9F-8473-C468EE8510A5}">
            <xm:f>AND(IF(CP139&gt;'F:\Users\norela.briceno\Documents\Plan de acción\Plan Accion 2018\[Plan Accion Integrado ADRES Vigencia 2018 con Cuadro de Mando V6..xlsx]Plan de Accion 2018'!#REF!,CP139&lt;&gt;¨N/A¨))</xm:f>
            <x14:dxf>
              <fill>
                <patternFill>
                  <bgColor theme="1" tint="0.499984740745262"/>
                </patternFill>
              </fill>
            </x14:dxf>
          </x14:cfRule>
          <x14:cfRule type="expression" priority="2794" stopIfTrue="1" id="{F36932E4-39ED-4AB5-BBFC-043983733745}">
            <xm:f>AND(IF(CP139='F:\Users\norela.briceno\Documents\Plan de acción\Plan Accion 2018\[Plan Accion Integrado ADRES Vigencia 2018 con Cuadro de Mando V6..xlsx]Plan de Accion 2018'!#REF!,CP139&lt;&gt;"N/A"))</xm:f>
            <x14:dxf>
              <fill>
                <patternFill>
                  <bgColor rgb="FF00B050"/>
                </patternFill>
              </fill>
            </x14:dxf>
          </x14:cfRule>
          <x14:cfRule type="expression" priority="2795" stopIfTrue="1" id="{1A829FAD-F382-48FF-B116-49C5AEBABEBA}">
            <xm:f>AND(IF(CP139&lt;'F:\Users\norela.briceno\Documents\Plan de acción\Plan Accion 2018\[Plan Accion Integrado ADRES Vigencia 2018 con Cuadro de Mando V6..xlsx]Plan de Accion 2018'!#REF!,CP139&lt;&gt;"N/A"))</xm:f>
            <x14:dxf>
              <fill>
                <patternFill>
                  <bgColor indexed="10"/>
                </patternFill>
              </fill>
            </x14:dxf>
          </x14:cfRule>
          <xm:sqref>CP139</xm:sqref>
        </x14:conditionalFormatting>
        <x14:conditionalFormatting xmlns:xm="http://schemas.microsoft.com/office/excel/2006/main">
          <x14:cfRule type="expression" priority="2790" id="{18D145BF-7234-4CA2-868A-9E938F14CDF5}">
            <xm:f>AND(IF(AE130&gt;'F:\Users\norela.briceno\Documents\Plan de acción\Plan Accion 2018\[Plan Accion Integrado ADRES Vigencia 2018 con Cuadro de Mando V6..xlsx]Plan de Accion 2018'!#REF!,AE130&lt;&gt;¨N/A¨))</xm:f>
            <x14:dxf>
              <fill>
                <patternFill>
                  <bgColor theme="1" tint="0.499984740745262"/>
                </patternFill>
              </fill>
            </x14:dxf>
          </x14:cfRule>
          <x14:cfRule type="expression" priority="2791" stopIfTrue="1" id="{C3C1EE0D-AF7A-44EE-8DB9-085488791868}">
            <xm:f>AND(IF(AE130='F:\Users\norela.briceno\Documents\Plan de acción\Plan Accion 2018\[Plan Accion Integrado ADRES Vigencia 2018 con Cuadro de Mando V6..xlsx]Plan de Accion 2018'!#REF!,AE130&lt;&gt;"N/A"))</xm:f>
            <x14:dxf>
              <fill>
                <patternFill>
                  <bgColor rgb="FF00B050"/>
                </patternFill>
              </fill>
            </x14:dxf>
          </x14:cfRule>
          <x14:cfRule type="expression" priority="2792" stopIfTrue="1" id="{31BA392C-970E-4B87-88DC-63817C2B4EC1}">
            <xm:f>AND(IF(AE130&lt;'F:\Users\norela.briceno\Documents\Plan de acción\Plan Accion 2018\[Plan Accion Integrado ADRES Vigencia 2018 con Cuadro de Mando V6..xlsx]Plan de Accion 2018'!#REF!,AE130&lt;&gt;"N/A"))</xm:f>
            <x14:dxf>
              <fill>
                <patternFill>
                  <bgColor indexed="10"/>
                </patternFill>
              </fill>
            </x14:dxf>
          </x14:cfRule>
          <xm:sqref>AE130</xm:sqref>
        </x14:conditionalFormatting>
        <x14:conditionalFormatting xmlns:xm="http://schemas.microsoft.com/office/excel/2006/main">
          <x14:cfRule type="expression" priority="2177" id="{D40DC778-E2C2-43EE-AB89-995C303D2AC6}">
            <xm:f>AND(IF(J35&gt;'F:\Users\norela.briceno\Documents\Plan de acción\Plan Accion 2018\[Plan Accion Integrado ADRES Vigencia 2018 con Cuadro de Mando V6..xlsx]Plan de Accion 2018'!#REF!,J35&lt;&gt;¨N/A¨))</xm:f>
            <x14:dxf>
              <fill>
                <patternFill>
                  <bgColor theme="1" tint="0.499984740745262"/>
                </patternFill>
              </fill>
            </x14:dxf>
          </x14:cfRule>
          <x14:cfRule type="expression" priority="2178" stopIfTrue="1" id="{3F21ED16-B94F-4F9C-9775-53F0C50F7290}">
            <xm:f>AND(IF(J35='F:\Users\norela.briceno\Documents\Plan de acción\Plan Accion 2018\[Plan Accion Integrado ADRES Vigencia 2018 con Cuadro de Mando V6..xlsx]Plan de Accion 2018'!#REF!,J35&lt;&gt;"N/A"))</xm:f>
            <x14:dxf>
              <fill>
                <patternFill>
                  <bgColor rgb="FF00B050"/>
                </patternFill>
              </fill>
            </x14:dxf>
          </x14:cfRule>
          <x14:cfRule type="expression" priority="2179" stopIfTrue="1" id="{E4C73641-3ED5-426D-9AEB-B8C0DD8DD0B1}">
            <xm:f>AND(IF(J35&lt;'F:\Users\norela.briceno\Documents\Plan de acción\Plan Accion 2018\[Plan Accion Integrado ADRES Vigencia 2018 con Cuadro de Mando V6..xlsx]Plan de Accion 2018'!#REF!,J35&lt;&gt;"N/A"))</xm:f>
            <x14:dxf>
              <fill>
                <patternFill>
                  <bgColor indexed="10"/>
                </patternFill>
              </fill>
            </x14:dxf>
          </x14:cfRule>
          <xm:sqref>J35 Q35 X35 AE35</xm:sqref>
        </x14:conditionalFormatting>
        <x14:conditionalFormatting xmlns:xm="http://schemas.microsoft.com/office/excel/2006/main">
          <x14:cfRule type="expression" priority="2099" id="{066979FA-E1A8-4BEF-92F0-D14CA5214AB0}">
            <xm:f>AND(IF(Q36&gt;'F:\Users\norela.briceno\Documents\Plan de acción\Plan Accion 2018\[Plan Accion Integrado ADRES Vigencia 2018 con Cuadro de Mando V6..xlsx]Plan de Accion 2018'!#REF!,Q36&lt;&gt;¨N/A¨))</xm:f>
            <x14:dxf>
              <fill>
                <patternFill>
                  <bgColor theme="1" tint="0.499984740745262"/>
                </patternFill>
              </fill>
            </x14:dxf>
          </x14:cfRule>
          <x14:cfRule type="expression" priority="2100" stopIfTrue="1" id="{F5D0CF07-CD97-43C1-9A0B-B1E090C9BA6B}">
            <xm:f>AND(IF(Q36='F:\Users\norela.briceno\Documents\Plan de acción\Plan Accion 2018\[Plan Accion Integrado ADRES Vigencia 2018 con Cuadro de Mando V6..xlsx]Plan de Accion 2018'!#REF!,Q36&lt;&gt;"N/A"))</xm:f>
            <x14:dxf>
              <fill>
                <patternFill>
                  <bgColor rgb="FF00B050"/>
                </patternFill>
              </fill>
            </x14:dxf>
          </x14:cfRule>
          <x14:cfRule type="expression" priority="2101" stopIfTrue="1" id="{D8FA30BF-5D65-454A-B2EE-44C24C534FBC}">
            <xm:f>AND(IF(Q36&lt;'F:\Users\norela.briceno\Documents\Plan de acción\Plan Accion 2018\[Plan Accion Integrado ADRES Vigencia 2018 con Cuadro de Mando V6..xlsx]Plan de Accion 2018'!#REF!,Q36&lt;&gt;"N/A"))</xm:f>
            <x14:dxf>
              <fill>
                <patternFill>
                  <bgColor indexed="10"/>
                </patternFill>
              </fill>
            </x14:dxf>
          </x14:cfRule>
          <xm:sqref>Q36:Q38 X36:X38 AE36:AE38</xm:sqref>
        </x14:conditionalFormatting>
        <x14:conditionalFormatting xmlns:xm="http://schemas.microsoft.com/office/excel/2006/main">
          <x14:cfRule type="expression" priority="1870" id="{5D42CFE1-7723-4C1C-97F6-36A6D48621A9}">
            <xm:f>AND(IF(J150&gt;'F:\Users\norela.briceno\Documents\Plan de acción\Plan Accion 2018\[Plan Accion Integrado ADRES Vigencia 2018 con Cuadro de Mando V6..xlsx]Plan de Accion 2018'!#REF!,J150&lt;&gt;¨N/A¨))</xm:f>
            <x14:dxf>
              <fill>
                <patternFill>
                  <bgColor theme="1" tint="0.499984740745262"/>
                </patternFill>
              </fill>
            </x14:dxf>
          </x14:cfRule>
          <x14:cfRule type="expression" priority="1871" stopIfTrue="1" id="{D95D4B49-027A-4F25-85B4-97D15C3A057F}">
            <xm:f>AND(IF(J150='F:\Users\norela.briceno\Documents\Plan de acción\Plan Accion 2018\[Plan Accion Integrado ADRES Vigencia 2018 con Cuadro de Mando V6..xlsx]Plan de Accion 2018'!#REF!,J150&lt;&gt;"N/A"))</xm:f>
            <x14:dxf>
              <fill>
                <patternFill>
                  <bgColor rgb="FF00B050"/>
                </patternFill>
              </fill>
            </x14:dxf>
          </x14:cfRule>
          <x14:cfRule type="expression" priority="1872" stopIfTrue="1" id="{3D566C9B-02A1-44B5-AF65-AAAA4E86A9DF}">
            <xm:f>AND(IF(J150&lt;'F:\Users\norela.briceno\Documents\Plan de acción\Plan Accion 2018\[Plan Accion Integrado ADRES Vigencia 2018 con Cuadro de Mando V6..xlsx]Plan de Accion 2018'!#REF!,J150&lt;&gt;"N/A"))</xm:f>
            <x14:dxf>
              <fill>
                <patternFill>
                  <bgColor indexed="10"/>
                </patternFill>
              </fill>
            </x14:dxf>
          </x14:cfRule>
          <xm:sqref>J150 Q150 AE150 X150</xm:sqref>
        </x14:conditionalFormatting>
        <x14:conditionalFormatting xmlns:xm="http://schemas.microsoft.com/office/excel/2006/main">
          <x14:cfRule type="expression" priority="1861" id="{B428D8F3-182D-46AD-B3FC-06BEC4FE24A2}">
            <xm:f>AND(IF(X150&gt;'F:\Users\norela.briceno\Documents\Plan de acción\Plan Accion 2018\[Plan Accion Integrado ADRES Vigencia 2018 con Cuadro de Mando V6..xlsx]Plan de Accion 2018'!#REF!,X150&lt;&gt;¨N/A¨))</xm:f>
            <x14:dxf>
              <fill>
                <patternFill>
                  <bgColor theme="1" tint="0.499984740745262"/>
                </patternFill>
              </fill>
            </x14:dxf>
          </x14:cfRule>
          <x14:cfRule type="expression" priority="1862" stopIfTrue="1" id="{C054B00B-392C-4C2A-B81A-3B0E9E51714B}">
            <xm:f>AND(IF(X150='F:\Users\norela.briceno\Documents\Plan de acción\Plan Accion 2018\[Plan Accion Integrado ADRES Vigencia 2018 con Cuadro de Mando V6..xlsx]Plan de Accion 2018'!#REF!,X150&lt;&gt;"N/A"))</xm:f>
            <x14:dxf>
              <fill>
                <patternFill>
                  <bgColor rgb="FF00B050"/>
                </patternFill>
              </fill>
            </x14:dxf>
          </x14:cfRule>
          <x14:cfRule type="expression" priority="1863" stopIfTrue="1" id="{F48025F7-3FEE-4C4C-9D1D-34313DEC7C72}">
            <xm:f>AND(IF(X150&lt;'F:\Users\norela.briceno\Documents\Plan de acción\Plan Accion 2018\[Plan Accion Integrado ADRES Vigencia 2018 con Cuadro de Mando V6..xlsx]Plan de Accion 2018'!#REF!,X150&lt;&gt;"N/A"))</xm:f>
            <x14:dxf>
              <fill>
                <patternFill>
                  <bgColor indexed="10"/>
                </patternFill>
              </fill>
            </x14:dxf>
          </x14:cfRule>
          <xm:sqref>X150</xm:sqref>
        </x14:conditionalFormatting>
        <x14:conditionalFormatting xmlns:xm="http://schemas.microsoft.com/office/excel/2006/main">
          <x14:cfRule type="expression" priority="1858" id="{B00A1618-9497-4AAD-BAE7-324C3A6BCAFF}">
            <xm:f>AND(IF(AE150&gt;'F:\Users\norela.briceno\Documents\Plan de acción\Plan Accion 2018\[Plan Accion Integrado ADRES Vigencia 2018 con Cuadro de Mando V6..xlsx]Plan de Accion 2018'!#REF!,AE150&lt;&gt;¨N/A¨))</xm:f>
            <x14:dxf>
              <fill>
                <patternFill>
                  <bgColor theme="1" tint="0.499984740745262"/>
                </patternFill>
              </fill>
            </x14:dxf>
          </x14:cfRule>
          <x14:cfRule type="expression" priority="1859" stopIfTrue="1" id="{A81BBDE2-4C50-464D-B8B2-1F5AF32F90F3}">
            <xm:f>AND(IF(AE150='F:\Users\norela.briceno\Documents\Plan de acción\Plan Accion 2018\[Plan Accion Integrado ADRES Vigencia 2018 con Cuadro de Mando V6..xlsx]Plan de Accion 2018'!#REF!,AE150&lt;&gt;"N/A"))</xm:f>
            <x14:dxf>
              <fill>
                <patternFill>
                  <bgColor rgb="FF00B050"/>
                </patternFill>
              </fill>
            </x14:dxf>
          </x14:cfRule>
          <x14:cfRule type="expression" priority="1860" stopIfTrue="1" id="{AD6EF8B3-55F3-4E0C-A208-12D973EA58D7}">
            <xm:f>AND(IF(AE150&lt;'F:\Users\norela.briceno\Documents\Plan de acción\Plan Accion 2018\[Plan Accion Integrado ADRES Vigencia 2018 con Cuadro de Mando V6..xlsx]Plan de Accion 2018'!#REF!,AE150&lt;&gt;"N/A"))</xm:f>
            <x14:dxf>
              <fill>
                <patternFill>
                  <bgColor indexed="10"/>
                </patternFill>
              </fill>
            </x14:dxf>
          </x14:cfRule>
          <xm:sqref>AE150</xm:sqref>
        </x14:conditionalFormatting>
        <x14:conditionalFormatting xmlns:xm="http://schemas.microsoft.com/office/excel/2006/main">
          <x14:cfRule type="expression" priority="1867" id="{B5735C13-7B22-451F-B8CF-BB70D676B316}">
            <xm:f>AND(IF(J150&gt;'F:\Users\norela.briceno\Documents\Plan de acción\Plan Accion 2018\[Plan Accion Integrado ADRES Vigencia 2018 con Cuadro de Mando V6..xlsx]Plan de Accion 2018'!#REF!,J150&lt;&gt;¨N/A¨))</xm:f>
            <x14:dxf>
              <fill>
                <patternFill>
                  <bgColor theme="1" tint="0.499984740745262"/>
                </patternFill>
              </fill>
            </x14:dxf>
          </x14:cfRule>
          <x14:cfRule type="expression" priority="1868" stopIfTrue="1" id="{BB72D678-43A8-49B5-AF9F-6457E15DC2DC}">
            <xm:f>AND(IF(J150='F:\Users\norela.briceno\Documents\Plan de acción\Plan Accion 2018\[Plan Accion Integrado ADRES Vigencia 2018 con Cuadro de Mando V6..xlsx]Plan de Accion 2018'!#REF!,J150&lt;&gt;"N/A"))</xm:f>
            <x14:dxf>
              <fill>
                <patternFill>
                  <bgColor rgb="FF00B050"/>
                </patternFill>
              </fill>
            </x14:dxf>
          </x14:cfRule>
          <x14:cfRule type="expression" priority="1869" stopIfTrue="1" id="{1AC2CAAB-F346-47FD-8456-BCBECE257834}">
            <xm:f>AND(IF(J150&lt;'F:\Users\norela.briceno\Documents\Plan de acción\Plan Accion 2018\[Plan Accion Integrado ADRES Vigencia 2018 con Cuadro de Mando V6..xlsx]Plan de Accion 2018'!#REF!,J150&lt;&gt;"N/A"))</xm:f>
            <x14:dxf>
              <fill>
                <patternFill>
                  <bgColor indexed="10"/>
                </patternFill>
              </fill>
            </x14:dxf>
          </x14:cfRule>
          <xm:sqref>J150</xm:sqref>
        </x14:conditionalFormatting>
        <x14:conditionalFormatting xmlns:xm="http://schemas.microsoft.com/office/excel/2006/main">
          <x14:cfRule type="expression" priority="1864" id="{514D4A8E-9851-4FA0-8953-4B2DA09BCE88}">
            <xm:f>AND(IF(Q150&gt;'F:\Users\norela.briceno\Documents\Plan de acción\Plan Accion 2018\[Plan Accion Integrado ADRES Vigencia 2018 con Cuadro de Mando V6..xlsx]Plan de Accion 2018'!#REF!,Q150&lt;&gt;¨N/A¨))</xm:f>
            <x14:dxf>
              <fill>
                <patternFill>
                  <bgColor theme="1" tint="0.499984740745262"/>
                </patternFill>
              </fill>
            </x14:dxf>
          </x14:cfRule>
          <x14:cfRule type="expression" priority="1865" stopIfTrue="1" id="{57A7F179-8409-4DB7-8558-268B2AC62625}">
            <xm:f>AND(IF(Q150='F:\Users\norela.briceno\Documents\Plan de acción\Plan Accion 2018\[Plan Accion Integrado ADRES Vigencia 2018 con Cuadro de Mando V6..xlsx]Plan de Accion 2018'!#REF!,Q150&lt;&gt;"N/A"))</xm:f>
            <x14:dxf>
              <fill>
                <patternFill>
                  <bgColor rgb="FF00B050"/>
                </patternFill>
              </fill>
            </x14:dxf>
          </x14:cfRule>
          <x14:cfRule type="expression" priority="1866" stopIfTrue="1" id="{C48F5FBD-5042-4ABC-955E-9765950ED94B}">
            <xm:f>AND(IF(Q150&lt;'F:\Users\norela.briceno\Documents\Plan de acción\Plan Accion 2018\[Plan Accion Integrado ADRES Vigencia 2018 con Cuadro de Mando V6..xlsx]Plan de Accion 2018'!#REF!,Q150&lt;&gt;"N/A"))</xm:f>
            <x14:dxf>
              <fill>
                <patternFill>
                  <bgColor indexed="10"/>
                </patternFill>
              </fill>
            </x14:dxf>
          </x14:cfRule>
          <xm:sqref>Q150</xm:sqref>
        </x14:conditionalFormatting>
        <x14:conditionalFormatting xmlns:xm="http://schemas.microsoft.com/office/excel/2006/main">
          <x14:cfRule type="expression" priority="1795" id="{FE3B6B1F-2AD3-4201-9B2C-28BBC91AB85B}">
            <xm:f>AND(IF(J151&gt;'F:\Users\norela.briceno\Documents\Plan de acción\Plan Accion 2018\[Plan Accion Integrado ADRES Vigencia 2018 con Cuadro de Mando V6..xlsx]Plan de Accion 2018'!#REF!,J151&lt;&gt;¨N/A¨))</xm:f>
            <x14:dxf>
              <fill>
                <patternFill>
                  <bgColor theme="1" tint="0.499984740745262"/>
                </patternFill>
              </fill>
            </x14:dxf>
          </x14:cfRule>
          <x14:cfRule type="expression" priority="1796" stopIfTrue="1" id="{49461828-FE0A-4B93-B038-26E850DA0DA9}">
            <xm:f>AND(IF(J151='F:\Users\norela.briceno\Documents\Plan de acción\Plan Accion 2018\[Plan Accion Integrado ADRES Vigencia 2018 con Cuadro de Mando V6..xlsx]Plan de Accion 2018'!#REF!,J151&lt;&gt;"N/A"))</xm:f>
            <x14:dxf>
              <fill>
                <patternFill>
                  <bgColor rgb="FF00B050"/>
                </patternFill>
              </fill>
            </x14:dxf>
          </x14:cfRule>
          <x14:cfRule type="expression" priority="1797" stopIfTrue="1" id="{80CF2528-498B-4F14-868F-5018378C6D3D}">
            <xm:f>AND(IF(J151&lt;'F:\Users\norela.briceno\Documents\Plan de acción\Plan Accion 2018\[Plan Accion Integrado ADRES Vigencia 2018 con Cuadro de Mando V6..xlsx]Plan de Accion 2018'!#REF!,J151&lt;&gt;"N/A"))</xm:f>
            <x14:dxf>
              <fill>
                <patternFill>
                  <bgColor indexed="10"/>
                </patternFill>
              </fill>
            </x14:dxf>
          </x14:cfRule>
          <xm:sqref>J151 Q151 AE151 X151</xm:sqref>
        </x14:conditionalFormatting>
        <x14:conditionalFormatting xmlns:xm="http://schemas.microsoft.com/office/excel/2006/main">
          <x14:cfRule type="expression" priority="1786" id="{39E16D68-990D-4441-A88A-C1ADD1C6EEE0}">
            <xm:f>AND(IF(X151&gt;'F:\Users\norela.briceno\Documents\Plan de acción\Plan Accion 2018\[Plan Accion Integrado ADRES Vigencia 2018 con Cuadro de Mando V6..xlsx]Plan de Accion 2018'!#REF!,X151&lt;&gt;¨N/A¨))</xm:f>
            <x14:dxf>
              <fill>
                <patternFill>
                  <bgColor theme="1" tint="0.499984740745262"/>
                </patternFill>
              </fill>
            </x14:dxf>
          </x14:cfRule>
          <x14:cfRule type="expression" priority="1787" stopIfTrue="1" id="{3CF7E1E4-88A4-482C-805B-5416593ABF0C}">
            <xm:f>AND(IF(X151='F:\Users\norela.briceno\Documents\Plan de acción\Plan Accion 2018\[Plan Accion Integrado ADRES Vigencia 2018 con Cuadro de Mando V6..xlsx]Plan de Accion 2018'!#REF!,X151&lt;&gt;"N/A"))</xm:f>
            <x14:dxf>
              <fill>
                <patternFill>
                  <bgColor rgb="FF00B050"/>
                </patternFill>
              </fill>
            </x14:dxf>
          </x14:cfRule>
          <x14:cfRule type="expression" priority="1788" stopIfTrue="1" id="{BC2A18AE-8222-42EA-B81A-9D7C671896A8}">
            <xm:f>AND(IF(X151&lt;'F:\Users\norela.briceno\Documents\Plan de acción\Plan Accion 2018\[Plan Accion Integrado ADRES Vigencia 2018 con Cuadro de Mando V6..xlsx]Plan de Accion 2018'!#REF!,X151&lt;&gt;"N/A"))</xm:f>
            <x14:dxf>
              <fill>
                <patternFill>
                  <bgColor indexed="10"/>
                </patternFill>
              </fill>
            </x14:dxf>
          </x14:cfRule>
          <xm:sqref>X151</xm:sqref>
        </x14:conditionalFormatting>
        <x14:conditionalFormatting xmlns:xm="http://schemas.microsoft.com/office/excel/2006/main">
          <x14:cfRule type="expression" priority="1783" id="{6E9F9AC6-8724-4196-A490-3AA641A7D704}">
            <xm:f>AND(IF(AE151&gt;'F:\Users\norela.briceno\Documents\Plan de acción\Plan Accion 2018\[Plan Accion Integrado ADRES Vigencia 2018 con Cuadro de Mando V6..xlsx]Plan de Accion 2018'!#REF!,AE151&lt;&gt;¨N/A¨))</xm:f>
            <x14:dxf>
              <fill>
                <patternFill>
                  <bgColor theme="1" tint="0.499984740745262"/>
                </patternFill>
              </fill>
            </x14:dxf>
          </x14:cfRule>
          <x14:cfRule type="expression" priority="1784" stopIfTrue="1" id="{CC2BB1F6-59CC-417B-8006-70C55FA7F481}">
            <xm:f>AND(IF(AE151='F:\Users\norela.briceno\Documents\Plan de acción\Plan Accion 2018\[Plan Accion Integrado ADRES Vigencia 2018 con Cuadro de Mando V6..xlsx]Plan de Accion 2018'!#REF!,AE151&lt;&gt;"N/A"))</xm:f>
            <x14:dxf>
              <fill>
                <patternFill>
                  <bgColor rgb="FF00B050"/>
                </patternFill>
              </fill>
            </x14:dxf>
          </x14:cfRule>
          <x14:cfRule type="expression" priority="1785" stopIfTrue="1" id="{F4D528A3-FFD7-42BA-922E-5D1C5CEFC108}">
            <xm:f>AND(IF(AE151&lt;'F:\Users\norela.briceno\Documents\Plan de acción\Plan Accion 2018\[Plan Accion Integrado ADRES Vigencia 2018 con Cuadro de Mando V6..xlsx]Plan de Accion 2018'!#REF!,AE151&lt;&gt;"N/A"))</xm:f>
            <x14:dxf>
              <fill>
                <patternFill>
                  <bgColor indexed="10"/>
                </patternFill>
              </fill>
            </x14:dxf>
          </x14:cfRule>
          <xm:sqref>AE151</xm:sqref>
        </x14:conditionalFormatting>
        <x14:conditionalFormatting xmlns:xm="http://schemas.microsoft.com/office/excel/2006/main">
          <x14:cfRule type="expression" priority="1792" id="{04018A8C-C270-4F90-8327-7764967DA3D1}">
            <xm:f>AND(IF(J151&gt;'F:\Users\norela.briceno\Documents\Plan de acción\Plan Accion 2018\[Plan Accion Integrado ADRES Vigencia 2018 con Cuadro de Mando V6..xlsx]Plan de Accion 2018'!#REF!,J151&lt;&gt;¨N/A¨))</xm:f>
            <x14:dxf>
              <fill>
                <patternFill>
                  <bgColor theme="1" tint="0.499984740745262"/>
                </patternFill>
              </fill>
            </x14:dxf>
          </x14:cfRule>
          <x14:cfRule type="expression" priority="1793" stopIfTrue="1" id="{0FA6235F-73A1-4AE8-8C4F-981B18177465}">
            <xm:f>AND(IF(J151='F:\Users\norela.briceno\Documents\Plan de acción\Plan Accion 2018\[Plan Accion Integrado ADRES Vigencia 2018 con Cuadro de Mando V6..xlsx]Plan de Accion 2018'!#REF!,J151&lt;&gt;"N/A"))</xm:f>
            <x14:dxf>
              <fill>
                <patternFill>
                  <bgColor rgb="FF00B050"/>
                </patternFill>
              </fill>
            </x14:dxf>
          </x14:cfRule>
          <x14:cfRule type="expression" priority="1794" stopIfTrue="1" id="{5F677F1A-B2CF-4D51-9AFA-ADF9B17A0555}">
            <xm:f>AND(IF(J151&lt;'F:\Users\norela.briceno\Documents\Plan de acción\Plan Accion 2018\[Plan Accion Integrado ADRES Vigencia 2018 con Cuadro de Mando V6..xlsx]Plan de Accion 2018'!#REF!,J151&lt;&gt;"N/A"))</xm:f>
            <x14:dxf>
              <fill>
                <patternFill>
                  <bgColor indexed="10"/>
                </patternFill>
              </fill>
            </x14:dxf>
          </x14:cfRule>
          <xm:sqref>J151</xm:sqref>
        </x14:conditionalFormatting>
        <x14:conditionalFormatting xmlns:xm="http://schemas.microsoft.com/office/excel/2006/main">
          <x14:cfRule type="expression" priority="1789" id="{A13D4646-8C4C-4A18-B7C2-54C461F65B29}">
            <xm:f>AND(IF(Q151&gt;'F:\Users\norela.briceno\Documents\Plan de acción\Plan Accion 2018\[Plan Accion Integrado ADRES Vigencia 2018 con Cuadro de Mando V6..xlsx]Plan de Accion 2018'!#REF!,Q151&lt;&gt;¨N/A¨))</xm:f>
            <x14:dxf>
              <fill>
                <patternFill>
                  <bgColor theme="1" tint="0.499984740745262"/>
                </patternFill>
              </fill>
            </x14:dxf>
          </x14:cfRule>
          <x14:cfRule type="expression" priority="1790" stopIfTrue="1" id="{F7F8792F-1021-45BA-B826-05FD607B2E2B}">
            <xm:f>AND(IF(Q151='F:\Users\norela.briceno\Documents\Plan de acción\Plan Accion 2018\[Plan Accion Integrado ADRES Vigencia 2018 con Cuadro de Mando V6..xlsx]Plan de Accion 2018'!#REF!,Q151&lt;&gt;"N/A"))</xm:f>
            <x14:dxf>
              <fill>
                <patternFill>
                  <bgColor rgb="FF00B050"/>
                </patternFill>
              </fill>
            </x14:dxf>
          </x14:cfRule>
          <x14:cfRule type="expression" priority="1791" stopIfTrue="1" id="{CF81AAC8-4CF9-4B67-A2E3-D8A30C7161FA}">
            <xm:f>AND(IF(Q151&lt;'F:\Users\norela.briceno\Documents\Plan de acción\Plan Accion 2018\[Plan Accion Integrado ADRES Vigencia 2018 con Cuadro de Mando V6..xlsx]Plan de Accion 2018'!#REF!,Q151&lt;&gt;"N/A"))</xm:f>
            <x14:dxf>
              <fill>
                <patternFill>
                  <bgColor indexed="10"/>
                </patternFill>
              </fill>
            </x14:dxf>
          </x14:cfRule>
          <xm:sqref>Q151</xm:sqref>
        </x14:conditionalFormatting>
        <x14:conditionalFormatting xmlns:xm="http://schemas.microsoft.com/office/excel/2006/main">
          <x14:cfRule type="expression" priority="1720" id="{F9B30121-17B9-4854-90AF-CDF6F73312DB}">
            <xm:f>AND(IF(J152&gt;'F:\Users\norela.briceno\Documents\Plan de acción\Plan Accion 2018\[Plan Accion Integrado ADRES Vigencia 2018 con Cuadro de Mando V6..xlsx]Plan de Accion 2018'!#REF!,J152&lt;&gt;¨N/A¨))</xm:f>
            <x14:dxf>
              <fill>
                <patternFill>
                  <bgColor theme="1" tint="0.499984740745262"/>
                </patternFill>
              </fill>
            </x14:dxf>
          </x14:cfRule>
          <x14:cfRule type="expression" priority="1721" stopIfTrue="1" id="{CC59EA34-A3A3-4701-85E3-285F819B4E0D}">
            <xm:f>AND(IF(J152='F:\Users\norela.briceno\Documents\Plan de acción\Plan Accion 2018\[Plan Accion Integrado ADRES Vigencia 2018 con Cuadro de Mando V6..xlsx]Plan de Accion 2018'!#REF!,J152&lt;&gt;"N/A"))</xm:f>
            <x14:dxf>
              <fill>
                <patternFill>
                  <bgColor rgb="FF00B050"/>
                </patternFill>
              </fill>
            </x14:dxf>
          </x14:cfRule>
          <x14:cfRule type="expression" priority="1722" stopIfTrue="1" id="{8631FE4F-D56B-4E56-804B-1A94F1976B0F}">
            <xm:f>AND(IF(J152&lt;'F:\Users\norela.briceno\Documents\Plan de acción\Plan Accion 2018\[Plan Accion Integrado ADRES Vigencia 2018 con Cuadro de Mando V6..xlsx]Plan de Accion 2018'!#REF!,J152&lt;&gt;"N/A"))</xm:f>
            <x14:dxf>
              <fill>
                <patternFill>
                  <bgColor indexed="10"/>
                </patternFill>
              </fill>
            </x14:dxf>
          </x14:cfRule>
          <xm:sqref>J152 Q152 AE152 X152</xm:sqref>
        </x14:conditionalFormatting>
        <x14:conditionalFormatting xmlns:xm="http://schemas.microsoft.com/office/excel/2006/main">
          <x14:cfRule type="expression" priority="1711" id="{7582E4CA-DCEB-43EE-80A6-1064EAB84261}">
            <xm:f>AND(IF(X152&gt;'F:\Users\norela.briceno\Documents\Plan de acción\Plan Accion 2018\[Plan Accion Integrado ADRES Vigencia 2018 con Cuadro de Mando V6..xlsx]Plan de Accion 2018'!#REF!,X152&lt;&gt;¨N/A¨))</xm:f>
            <x14:dxf>
              <fill>
                <patternFill>
                  <bgColor theme="1" tint="0.499984740745262"/>
                </patternFill>
              </fill>
            </x14:dxf>
          </x14:cfRule>
          <x14:cfRule type="expression" priority="1712" stopIfTrue="1" id="{71F40028-F7AE-4969-9499-ADE170479D7A}">
            <xm:f>AND(IF(X152='F:\Users\norela.briceno\Documents\Plan de acción\Plan Accion 2018\[Plan Accion Integrado ADRES Vigencia 2018 con Cuadro de Mando V6..xlsx]Plan de Accion 2018'!#REF!,X152&lt;&gt;"N/A"))</xm:f>
            <x14:dxf>
              <fill>
                <patternFill>
                  <bgColor rgb="FF00B050"/>
                </patternFill>
              </fill>
            </x14:dxf>
          </x14:cfRule>
          <x14:cfRule type="expression" priority="1713" stopIfTrue="1" id="{16A9768F-93FF-437D-ABC1-8CB5BF05DA3F}">
            <xm:f>AND(IF(X152&lt;'F:\Users\norela.briceno\Documents\Plan de acción\Plan Accion 2018\[Plan Accion Integrado ADRES Vigencia 2018 con Cuadro de Mando V6..xlsx]Plan de Accion 2018'!#REF!,X152&lt;&gt;"N/A"))</xm:f>
            <x14:dxf>
              <fill>
                <patternFill>
                  <bgColor indexed="10"/>
                </patternFill>
              </fill>
            </x14:dxf>
          </x14:cfRule>
          <xm:sqref>X152</xm:sqref>
        </x14:conditionalFormatting>
        <x14:conditionalFormatting xmlns:xm="http://schemas.microsoft.com/office/excel/2006/main">
          <x14:cfRule type="expression" priority="1708" id="{96C456E4-1AC8-4527-8CE9-B55F7B150CE7}">
            <xm:f>AND(IF(AE152&gt;'F:\Users\norela.briceno\Documents\Plan de acción\Plan Accion 2018\[Plan Accion Integrado ADRES Vigencia 2018 con Cuadro de Mando V6..xlsx]Plan de Accion 2018'!#REF!,AE152&lt;&gt;¨N/A¨))</xm:f>
            <x14:dxf>
              <fill>
                <patternFill>
                  <bgColor theme="1" tint="0.499984740745262"/>
                </patternFill>
              </fill>
            </x14:dxf>
          </x14:cfRule>
          <x14:cfRule type="expression" priority="1709" stopIfTrue="1" id="{76B755E8-6E06-4DFC-A882-7BA31B41DD52}">
            <xm:f>AND(IF(AE152='F:\Users\norela.briceno\Documents\Plan de acción\Plan Accion 2018\[Plan Accion Integrado ADRES Vigencia 2018 con Cuadro de Mando V6..xlsx]Plan de Accion 2018'!#REF!,AE152&lt;&gt;"N/A"))</xm:f>
            <x14:dxf>
              <fill>
                <patternFill>
                  <bgColor rgb="FF00B050"/>
                </patternFill>
              </fill>
            </x14:dxf>
          </x14:cfRule>
          <x14:cfRule type="expression" priority="1710" stopIfTrue="1" id="{9B6DC9F4-DCE1-4EB7-8A79-06A8DD36293D}">
            <xm:f>AND(IF(AE152&lt;'F:\Users\norela.briceno\Documents\Plan de acción\Plan Accion 2018\[Plan Accion Integrado ADRES Vigencia 2018 con Cuadro de Mando V6..xlsx]Plan de Accion 2018'!#REF!,AE152&lt;&gt;"N/A"))</xm:f>
            <x14:dxf>
              <fill>
                <patternFill>
                  <bgColor indexed="10"/>
                </patternFill>
              </fill>
            </x14:dxf>
          </x14:cfRule>
          <xm:sqref>AE152</xm:sqref>
        </x14:conditionalFormatting>
        <x14:conditionalFormatting xmlns:xm="http://schemas.microsoft.com/office/excel/2006/main">
          <x14:cfRule type="expression" priority="1717" id="{B4FF5167-6040-499F-AB62-B3E1C8992832}">
            <xm:f>AND(IF(J152&gt;'F:\Users\norela.briceno\Documents\Plan de acción\Plan Accion 2018\[Plan Accion Integrado ADRES Vigencia 2018 con Cuadro de Mando V6..xlsx]Plan de Accion 2018'!#REF!,J152&lt;&gt;¨N/A¨))</xm:f>
            <x14:dxf>
              <fill>
                <patternFill>
                  <bgColor theme="1" tint="0.499984740745262"/>
                </patternFill>
              </fill>
            </x14:dxf>
          </x14:cfRule>
          <x14:cfRule type="expression" priority="1718" stopIfTrue="1" id="{BD5DE37C-AC73-4AEB-8C77-7F35562608D7}">
            <xm:f>AND(IF(J152='F:\Users\norela.briceno\Documents\Plan de acción\Plan Accion 2018\[Plan Accion Integrado ADRES Vigencia 2018 con Cuadro de Mando V6..xlsx]Plan de Accion 2018'!#REF!,J152&lt;&gt;"N/A"))</xm:f>
            <x14:dxf>
              <fill>
                <patternFill>
                  <bgColor rgb="FF00B050"/>
                </patternFill>
              </fill>
            </x14:dxf>
          </x14:cfRule>
          <x14:cfRule type="expression" priority="1719" stopIfTrue="1" id="{88210313-6502-4998-93F4-EA2BF5E4F742}">
            <xm:f>AND(IF(J152&lt;'F:\Users\norela.briceno\Documents\Plan de acción\Plan Accion 2018\[Plan Accion Integrado ADRES Vigencia 2018 con Cuadro de Mando V6..xlsx]Plan de Accion 2018'!#REF!,J152&lt;&gt;"N/A"))</xm:f>
            <x14:dxf>
              <fill>
                <patternFill>
                  <bgColor indexed="10"/>
                </patternFill>
              </fill>
            </x14:dxf>
          </x14:cfRule>
          <xm:sqref>J152</xm:sqref>
        </x14:conditionalFormatting>
        <x14:conditionalFormatting xmlns:xm="http://schemas.microsoft.com/office/excel/2006/main">
          <x14:cfRule type="expression" priority="1714" id="{BFFCD5ED-9757-4C06-BBF4-1B958080C417}">
            <xm:f>AND(IF(Q152&gt;'F:\Users\norela.briceno\Documents\Plan de acción\Plan Accion 2018\[Plan Accion Integrado ADRES Vigencia 2018 con Cuadro de Mando V6..xlsx]Plan de Accion 2018'!#REF!,Q152&lt;&gt;¨N/A¨))</xm:f>
            <x14:dxf>
              <fill>
                <patternFill>
                  <bgColor theme="1" tint="0.499984740745262"/>
                </patternFill>
              </fill>
            </x14:dxf>
          </x14:cfRule>
          <x14:cfRule type="expression" priority="1715" stopIfTrue="1" id="{B9D96603-D19B-4AA8-981B-1EB184192A3B}">
            <xm:f>AND(IF(Q152='F:\Users\norela.briceno\Documents\Plan de acción\Plan Accion 2018\[Plan Accion Integrado ADRES Vigencia 2018 con Cuadro de Mando V6..xlsx]Plan de Accion 2018'!#REF!,Q152&lt;&gt;"N/A"))</xm:f>
            <x14:dxf>
              <fill>
                <patternFill>
                  <bgColor rgb="FF00B050"/>
                </patternFill>
              </fill>
            </x14:dxf>
          </x14:cfRule>
          <x14:cfRule type="expression" priority="1716" stopIfTrue="1" id="{8A6973D4-A9AA-4644-9961-489136A5C887}">
            <xm:f>AND(IF(Q152&lt;'F:\Users\norela.briceno\Documents\Plan de acción\Plan Accion 2018\[Plan Accion Integrado ADRES Vigencia 2018 con Cuadro de Mando V6..xlsx]Plan de Accion 2018'!#REF!,Q152&lt;&gt;"N/A"))</xm:f>
            <x14:dxf>
              <fill>
                <patternFill>
                  <bgColor indexed="10"/>
                </patternFill>
              </fill>
            </x14:dxf>
          </x14:cfRule>
          <xm:sqref>Q152</xm:sqref>
        </x14:conditionalFormatting>
        <x14:conditionalFormatting xmlns:xm="http://schemas.microsoft.com/office/excel/2006/main">
          <x14:cfRule type="expression" priority="1645" id="{C34BEEA5-937E-4DEC-AAA9-61F35E12B6B9}">
            <xm:f>AND(IF(J205&gt;'F:\Users\norela.briceno\Documents\Plan de acción\Plan Accion 2018\[Plan Accion Integrado ADRES Vigencia 2018 con Cuadro de Mando V6..xlsx]Plan de Accion 2018'!#REF!,J205&lt;&gt;¨N/A¨))</xm:f>
            <x14:dxf>
              <fill>
                <patternFill>
                  <bgColor theme="1" tint="0.499984740745262"/>
                </patternFill>
              </fill>
            </x14:dxf>
          </x14:cfRule>
          <x14:cfRule type="expression" priority="1646" stopIfTrue="1" id="{0BA6E738-7506-4D8A-8F87-554B3E192A04}">
            <xm:f>AND(IF(J205='F:\Users\norela.briceno\Documents\Plan de acción\Plan Accion 2018\[Plan Accion Integrado ADRES Vigencia 2018 con Cuadro de Mando V6..xlsx]Plan de Accion 2018'!#REF!,J205&lt;&gt;"N/A"))</xm:f>
            <x14:dxf>
              <fill>
                <patternFill>
                  <bgColor rgb="FF00B050"/>
                </patternFill>
              </fill>
            </x14:dxf>
          </x14:cfRule>
          <x14:cfRule type="expression" priority="1647" stopIfTrue="1" id="{E9DE201D-6558-4B1C-BEA7-D107D48E0202}">
            <xm:f>AND(IF(J205&lt;'F:\Users\norela.briceno\Documents\Plan de acción\Plan Accion 2018\[Plan Accion Integrado ADRES Vigencia 2018 con Cuadro de Mando V6..xlsx]Plan de Accion 2018'!#REF!,J205&lt;&gt;"N/A"))</xm:f>
            <x14:dxf>
              <fill>
                <patternFill>
                  <bgColor indexed="10"/>
                </patternFill>
              </fill>
            </x14:dxf>
          </x14:cfRule>
          <xm:sqref>J205 Q205 X205</xm:sqref>
        </x14:conditionalFormatting>
        <x14:conditionalFormatting xmlns:xm="http://schemas.microsoft.com/office/excel/2006/main">
          <x14:cfRule type="expression" priority="1642" id="{77869E63-2413-4530-962F-65F62FDBD15E}">
            <xm:f>AND(IF(AE205&gt;'F:\Users\norela.briceno\Documents\Plan de acción\Plan Accion 2018\[Plan Accion Integrado ADRES Vigencia 2018 con Cuadro de Mando V6..xlsx]Plan de Accion 2018'!#REF!,AE205&lt;&gt;¨N/A¨))</xm:f>
            <x14:dxf>
              <fill>
                <patternFill>
                  <bgColor theme="1" tint="0.499984740745262"/>
                </patternFill>
              </fill>
            </x14:dxf>
          </x14:cfRule>
          <x14:cfRule type="expression" priority="1643" stopIfTrue="1" id="{FC6CC163-C3F8-4EB6-B256-BD599328F7F4}">
            <xm:f>AND(IF(AE205='F:\Users\norela.briceno\Documents\Plan de acción\Plan Accion 2018\[Plan Accion Integrado ADRES Vigencia 2018 con Cuadro de Mando V6..xlsx]Plan de Accion 2018'!#REF!,AE205&lt;&gt;"N/A"))</xm:f>
            <x14:dxf>
              <fill>
                <patternFill>
                  <bgColor rgb="FF00B050"/>
                </patternFill>
              </fill>
            </x14:dxf>
          </x14:cfRule>
          <x14:cfRule type="expression" priority="1644" stopIfTrue="1" id="{52F153CA-3007-4EF5-9C21-0D8AF7D8D9D1}">
            <xm:f>AND(IF(AE205&lt;'F:\Users\norela.briceno\Documents\Plan de acción\Plan Accion 2018\[Plan Accion Integrado ADRES Vigencia 2018 con Cuadro de Mando V6..xlsx]Plan de Accion 2018'!#REF!,AE205&lt;&gt;"N/A"))</xm:f>
            <x14:dxf>
              <fill>
                <patternFill>
                  <bgColor indexed="10"/>
                </patternFill>
              </fill>
            </x14:dxf>
          </x14:cfRule>
          <xm:sqref>AE205</xm:sqref>
        </x14:conditionalFormatting>
        <x14:conditionalFormatting xmlns:xm="http://schemas.microsoft.com/office/excel/2006/main">
          <x14:cfRule type="expression" priority="1501" id="{83A8B659-1A4E-42CF-8B0F-0244DA05A2C7}">
            <xm:f>AND(IF(J207&gt;'F:\Users\norela.briceno\Documents\Plan de acción\Plan Accion 2018\[Plan Accion Integrado ADRES Vigencia 2018 con Cuadro de Mando V6..xlsx]Plan de Accion 2018'!#REF!,J207&lt;&gt;¨N/A¨))</xm:f>
            <x14:dxf>
              <fill>
                <patternFill>
                  <bgColor theme="1" tint="0.499984740745262"/>
                </patternFill>
              </fill>
            </x14:dxf>
          </x14:cfRule>
          <x14:cfRule type="expression" priority="1502" stopIfTrue="1" id="{029266E3-CD95-4642-8231-B44DC3BE9F30}">
            <xm:f>AND(IF(J207='F:\Users\norela.briceno\Documents\Plan de acción\Plan Accion 2018\[Plan Accion Integrado ADRES Vigencia 2018 con Cuadro de Mando V6..xlsx]Plan de Accion 2018'!#REF!,J207&lt;&gt;"N/A"))</xm:f>
            <x14:dxf>
              <fill>
                <patternFill>
                  <bgColor rgb="FF00B050"/>
                </patternFill>
              </fill>
            </x14:dxf>
          </x14:cfRule>
          <x14:cfRule type="expression" priority="1503" stopIfTrue="1" id="{2981106E-9119-4E96-BE2F-386B69562CF6}">
            <xm:f>AND(IF(J207&lt;'F:\Users\norela.briceno\Documents\Plan de acción\Plan Accion 2018\[Plan Accion Integrado ADRES Vigencia 2018 con Cuadro de Mando V6..xlsx]Plan de Accion 2018'!#REF!,J207&lt;&gt;"N/A"))</xm:f>
            <x14:dxf>
              <fill>
                <patternFill>
                  <bgColor indexed="10"/>
                </patternFill>
              </fill>
            </x14:dxf>
          </x14:cfRule>
          <xm:sqref>J207</xm:sqref>
        </x14:conditionalFormatting>
        <x14:conditionalFormatting xmlns:xm="http://schemas.microsoft.com/office/excel/2006/main">
          <x14:cfRule type="expression" priority="1498" id="{C10D817A-5504-4927-A046-F47BCBB57D62}">
            <xm:f>AND(IF(Q207&gt;'F:\Users\norela.briceno\Documents\Plan de acción\Plan Accion 2018\[Plan Accion Integrado ADRES Vigencia 2018 con Cuadro de Mando V6..xlsx]Plan de Accion 2018'!#REF!,Q207&lt;&gt;¨N/A¨))</xm:f>
            <x14:dxf>
              <fill>
                <patternFill>
                  <bgColor theme="1" tint="0.499984740745262"/>
                </patternFill>
              </fill>
            </x14:dxf>
          </x14:cfRule>
          <x14:cfRule type="expression" priority="1499" stopIfTrue="1" id="{86FE6A8F-78C1-46C8-A4F1-D130ECDAA707}">
            <xm:f>AND(IF(Q207='F:\Users\norela.briceno\Documents\Plan de acción\Plan Accion 2018\[Plan Accion Integrado ADRES Vigencia 2018 con Cuadro de Mando V6..xlsx]Plan de Accion 2018'!#REF!,Q207&lt;&gt;"N/A"))</xm:f>
            <x14:dxf>
              <fill>
                <patternFill>
                  <bgColor rgb="FF00B050"/>
                </patternFill>
              </fill>
            </x14:dxf>
          </x14:cfRule>
          <x14:cfRule type="expression" priority="1500" stopIfTrue="1" id="{422C06F6-60C5-45ED-AA73-CE35359030F3}">
            <xm:f>AND(IF(Q207&lt;'F:\Users\norela.briceno\Documents\Plan de acción\Plan Accion 2018\[Plan Accion Integrado ADRES Vigencia 2018 con Cuadro de Mando V6..xlsx]Plan de Accion 2018'!#REF!,Q207&lt;&gt;"N/A"))</xm:f>
            <x14:dxf>
              <fill>
                <patternFill>
                  <bgColor indexed="10"/>
                </patternFill>
              </fill>
            </x14:dxf>
          </x14:cfRule>
          <xm:sqref>Q207</xm:sqref>
        </x14:conditionalFormatting>
        <x14:conditionalFormatting xmlns:xm="http://schemas.microsoft.com/office/excel/2006/main">
          <x14:cfRule type="expression" priority="1495" id="{8945044E-5B70-498A-91FB-BAD1FC2E7CC3}">
            <xm:f>AND(IF(X207&gt;'F:\Users\norela.briceno\Documents\Plan de acción\Plan Accion 2018\[Plan Accion Integrado ADRES Vigencia 2018 con Cuadro de Mando V6..xlsx]Plan de Accion 2018'!#REF!,X207&lt;&gt;¨N/A¨))</xm:f>
            <x14:dxf>
              <fill>
                <patternFill>
                  <bgColor theme="1" tint="0.499984740745262"/>
                </patternFill>
              </fill>
            </x14:dxf>
          </x14:cfRule>
          <x14:cfRule type="expression" priority="1496" stopIfTrue="1" id="{4B65AA45-25F5-4ECA-90D8-8456879FC782}">
            <xm:f>AND(IF(X207='F:\Users\norela.briceno\Documents\Plan de acción\Plan Accion 2018\[Plan Accion Integrado ADRES Vigencia 2018 con Cuadro de Mando V6..xlsx]Plan de Accion 2018'!#REF!,X207&lt;&gt;"N/A"))</xm:f>
            <x14:dxf>
              <fill>
                <patternFill>
                  <bgColor rgb="FF00B050"/>
                </patternFill>
              </fill>
            </x14:dxf>
          </x14:cfRule>
          <x14:cfRule type="expression" priority="1497" stopIfTrue="1" id="{224F094A-0269-447D-8798-2295BEBD7B38}">
            <xm:f>AND(IF(X207&lt;'F:\Users\norela.briceno\Documents\Plan de acción\Plan Accion 2018\[Plan Accion Integrado ADRES Vigencia 2018 con Cuadro de Mando V6..xlsx]Plan de Accion 2018'!#REF!,X207&lt;&gt;"N/A"))</xm:f>
            <x14:dxf>
              <fill>
                <patternFill>
                  <bgColor indexed="10"/>
                </patternFill>
              </fill>
            </x14:dxf>
          </x14:cfRule>
          <xm:sqref>X207</xm:sqref>
        </x14:conditionalFormatting>
        <x14:conditionalFormatting xmlns:xm="http://schemas.microsoft.com/office/excel/2006/main">
          <x14:cfRule type="expression" priority="1492" id="{332524AB-F5D3-4E3B-8017-C5D6D9439D6E}">
            <xm:f>AND(IF(AE207&gt;'F:\Users\norela.briceno\Documents\Plan de acción\Plan Accion 2018\[Plan Accion Integrado ADRES Vigencia 2018 con Cuadro de Mando V6..xlsx]Plan de Accion 2018'!#REF!,AE207&lt;&gt;¨N/A¨))</xm:f>
            <x14:dxf>
              <fill>
                <patternFill>
                  <bgColor theme="1" tint="0.499984740745262"/>
                </patternFill>
              </fill>
            </x14:dxf>
          </x14:cfRule>
          <x14:cfRule type="expression" priority="1493" stopIfTrue="1" id="{84ED7FAC-0230-427D-8C02-35BCF01FAD57}">
            <xm:f>AND(IF(AE207='F:\Users\norela.briceno\Documents\Plan de acción\Plan Accion 2018\[Plan Accion Integrado ADRES Vigencia 2018 con Cuadro de Mando V6..xlsx]Plan de Accion 2018'!#REF!,AE207&lt;&gt;"N/A"))</xm:f>
            <x14:dxf>
              <fill>
                <patternFill>
                  <bgColor rgb="FF00B050"/>
                </patternFill>
              </fill>
            </x14:dxf>
          </x14:cfRule>
          <x14:cfRule type="expression" priority="1494" stopIfTrue="1" id="{F563CDF4-C64F-4D59-B393-BAAC2E5CA4C0}">
            <xm:f>AND(IF(AE207&lt;'F:\Users\norela.briceno\Documents\Plan de acción\Plan Accion 2018\[Plan Accion Integrado ADRES Vigencia 2018 con Cuadro de Mando V6..xlsx]Plan de Accion 2018'!#REF!,AE207&lt;&gt;"N/A"))</xm:f>
            <x14:dxf>
              <fill>
                <patternFill>
                  <bgColor indexed="10"/>
                </patternFill>
              </fill>
            </x14:dxf>
          </x14:cfRule>
          <xm:sqref>AE207</xm:sqref>
        </x14:conditionalFormatting>
        <x14:conditionalFormatting xmlns:xm="http://schemas.microsoft.com/office/excel/2006/main">
          <x14:cfRule type="expression" priority="1444" id="{149B742A-24C4-43B2-8B53-F6D3C4FBB79E}">
            <xm:f>AND(IF(J208&gt;'F:\Users\norela.briceno\Documents\Plan de acción\Plan Accion 2018\[Plan Accion Integrado ADRES Vigencia 2018 con Cuadro de Mando V6..xlsx]Plan de Accion 2018'!#REF!,J208&lt;&gt;¨N/A¨))</xm:f>
            <x14:dxf>
              <fill>
                <patternFill>
                  <bgColor theme="1" tint="0.499984740745262"/>
                </patternFill>
              </fill>
            </x14:dxf>
          </x14:cfRule>
          <x14:cfRule type="expression" priority="1445" stopIfTrue="1" id="{47219E15-B7A1-4B00-A24F-135CD2BB46AB}">
            <xm:f>AND(IF(J208='F:\Users\norela.briceno\Documents\Plan de acción\Plan Accion 2018\[Plan Accion Integrado ADRES Vigencia 2018 con Cuadro de Mando V6..xlsx]Plan de Accion 2018'!#REF!,J208&lt;&gt;"N/A"))</xm:f>
            <x14:dxf>
              <fill>
                <patternFill>
                  <bgColor rgb="FF00B050"/>
                </patternFill>
              </fill>
            </x14:dxf>
          </x14:cfRule>
          <x14:cfRule type="expression" priority="1446" stopIfTrue="1" id="{B30DB269-C50E-42F4-81EE-A154E1BCC295}">
            <xm:f>AND(IF(J208&lt;'F:\Users\norela.briceno\Documents\Plan de acción\Plan Accion 2018\[Plan Accion Integrado ADRES Vigencia 2018 con Cuadro de Mando V6..xlsx]Plan de Accion 2018'!#REF!,J208&lt;&gt;"N/A"))</xm:f>
            <x14:dxf>
              <fill>
                <patternFill>
                  <bgColor indexed="10"/>
                </patternFill>
              </fill>
            </x14:dxf>
          </x14:cfRule>
          <xm:sqref>J208</xm:sqref>
        </x14:conditionalFormatting>
        <x14:conditionalFormatting xmlns:xm="http://schemas.microsoft.com/office/excel/2006/main">
          <x14:cfRule type="expression" priority="1441" id="{547A33DE-7BD5-4E7A-A668-873024494D63}">
            <xm:f>AND(IF(Q208&gt;'F:\Users\norela.briceno\Documents\Plan de acción\Plan Accion 2018\[Plan Accion Integrado ADRES Vigencia 2018 con Cuadro de Mando V6..xlsx]Plan de Accion 2018'!#REF!,Q208&lt;&gt;¨N/A¨))</xm:f>
            <x14:dxf>
              <fill>
                <patternFill>
                  <bgColor theme="1" tint="0.499984740745262"/>
                </patternFill>
              </fill>
            </x14:dxf>
          </x14:cfRule>
          <x14:cfRule type="expression" priority="1442" stopIfTrue="1" id="{AFFD421F-BCAD-4149-B73D-FF500986BA42}">
            <xm:f>AND(IF(Q208='F:\Users\norela.briceno\Documents\Plan de acción\Plan Accion 2018\[Plan Accion Integrado ADRES Vigencia 2018 con Cuadro de Mando V6..xlsx]Plan de Accion 2018'!#REF!,Q208&lt;&gt;"N/A"))</xm:f>
            <x14:dxf>
              <fill>
                <patternFill>
                  <bgColor rgb="FF00B050"/>
                </patternFill>
              </fill>
            </x14:dxf>
          </x14:cfRule>
          <x14:cfRule type="expression" priority="1443" stopIfTrue="1" id="{A8609158-53A4-4457-B64C-73C642D7966E}">
            <xm:f>AND(IF(Q208&lt;'F:\Users\norela.briceno\Documents\Plan de acción\Plan Accion 2018\[Plan Accion Integrado ADRES Vigencia 2018 con Cuadro de Mando V6..xlsx]Plan de Accion 2018'!#REF!,Q208&lt;&gt;"N/A"))</xm:f>
            <x14:dxf>
              <fill>
                <patternFill>
                  <bgColor indexed="10"/>
                </patternFill>
              </fill>
            </x14:dxf>
          </x14:cfRule>
          <xm:sqref>Q208</xm:sqref>
        </x14:conditionalFormatting>
        <x14:conditionalFormatting xmlns:xm="http://schemas.microsoft.com/office/excel/2006/main">
          <x14:cfRule type="expression" priority="1438" id="{830158AD-726B-4B2C-8C51-1D393FDF5B08}">
            <xm:f>AND(IF(X208&gt;'F:\Users\norela.briceno\Documents\Plan de acción\Plan Accion 2018\[Plan Accion Integrado ADRES Vigencia 2018 con Cuadro de Mando V6..xlsx]Plan de Accion 2018'!#REF!,X208&lt;&gt;¨N/A¨))</xm:f>
            <x14:dxf>
              <fill>
                <patternFill>
                  <bgColor theme="1" tint="0.499984740745262"/>
                </patternFill>
              </fill>
            </x14:dxf>
          </x14:cfRule>
          <x14:cfRule type="expression" priority="1439" stopIfTrue="1" id="{190FEC07-2924-480E-8134-5875A12761BF}">
            <xm:f>AND(IF(X208='F:\Users\norela.briceno\Documents\Plan de acción\Plan Accion 2018\[Plan Accion Integrado ADRES Vigencia 2018 con Cuadro de Mando V6..xlsx]Plan de Accion 2018'!#REF!,X208&lt;&gt;"N/A"))</xm:f>
            <x14:dxf>
              <fill>
                <patternFill>
                  <bgColor rgb="FF00B050"/>
                </patternFill>
              </fill>
            </x14:dxf>
          </x14:cfRule>
          <x14:cfRule type="expression" priority="1440" stopIfTrue="1" id="{95CC606B-8E5F-4885-8098-9AC556461FAC}">
            <xm:f>AND(IF(X208&lt;'F:\Users\norela.briceno\Documents\Plan de acción\Plan Accion 2018\[Plan Accion Integrado ADRES Vigencia 2018 con Cuadro de Mando V6..xlsx]Plan de Accion 2018'!#REF!,X208&lt;&gt;"N/A"))</xm:f>
            <x14:dxf>
              <fill>
                <patternFill>
                  <bgColor indexed="10"/>
                </patternFill>
              </fill>
            </x14:dxf>
          </x14:cfRule>
          <xm:sqref>X208</xm:sqref>
        </x14:conditionalFormatting>
        <x14:conditionalFormatting xmlns:xm="http://schemas.microsoft.com/office/excel/2006/main">
          <x14:cfRule type="expression" priority="1435" id="{B9DB54FB-8EF3-4E84-B51A-E9ABE745EE1E}">
            <xm:f>AND(IF(AE208&gt;'F:\Users\norela.briceno\Documents\Plan de acción\Plan Accion 2018\[Plan Accion Integrado ADRES Vigencia 2018 con Cuadro de Mando V6..xlsx]Plan de Accion 2018'!#REF!,AE208&lt;&gt;¨N/A¨))</xm:f>
            <x14:dxf>
              <fill>
                <patternFill>
                  <bgColor theme="1" tint="0.499984740745262"/>
                </patternFill>
              </fill>
            </x14:dxf>
          </x14:cfRule>
          <x14:cfRule type="expression" priority="1436" stopIfTrue="1" id="{CC3A0616-EFD1-4870-968C-D5D0D1DCFC54}">
            <xm:f>AND(IF(AE208='F:\Users\norela.briceno\Documents\Plan de acción\Plan Accion 2018\[Plan Accion Integrado ADRES Vigencia 2018 con Cuadro de Mando V6..xlsx]Plan de Accion 2018'!#REF!,AE208&lt;&gt;"N/A"))</xm:f>
            <x14:dxf>
              <fill>
                <patternFill>
                  <bgColor rgb="FF00B050"/>
                </patternFill>
              </fill>
            </x14:dxf>
          </x14:cfRule>
          <x14:cfRule type="expression" priority="1437" stopIfTrue="1" id="{69D912B8-B141-4594-8F31-C5C4D6FFBFE6}">
            <xm:f>AND(IF(AE208&lt;'F:\Users\norela.briceno\Documents\Plan de acción\Plan Accion 2018\[Plan Accion Integrado ADRES Vigencia 2018 con Cuadro de Mando V6..xlsx]Plan de Accion 2018'!#REF!,AE208&lt;&gt;"N/A"))</xm:f>
            <x14:dxf>
              <fill>
                <patternFill>
                  <bgColor indexed="10"/>
                </patternFill>
              </fill>
            </x14:dxf>
          </x14:cfRule>
          <xm:sqref>AE208</xm:sqref>
        </x14:conditionalFormatting>
        <x14:conditionalFormatting xmlns:xm="http://schemas.microsoft.com/office/excel/2006/main">
          <x14:cfRule type="expression" priority="1258" id="{566F99DB-BC11-4E68-B845-47CC81715891}">
            <xm:f>AND(IF(J211&gt;'F:\Users\norela.briceno\Documents\Plan de acción\Plan Accion 2018\[Plan Accion Integrado ADRES Vigencia 2018 con Cuadro de Mando V6..xlsx]Plan de Accion 2018'!#REF!,J211&lt;&gt;¨N/A¨))</xm:f>
            <x14:dxf>
              <fill>
                <patternFill>
                  <bgColor theme="1" tint="0.499984740745262"/>
                </patternFill>
              </fill>
            </x14:dxf>
          </x14:cfRule>
          <x14:cfRule type="expression" priority="1259" stopIfTrue="1" id="{C45D2435-F3F3-4BDC-A912-52BFF8A52C4D}">
            <xm:f>AND(IF(J211='F:\Users\norela.briceno\Documents\Plan de acción\Plan Accion 2018\[Plan Accion Integrado ADRES Vigencia 2018 con Cuadro de Mando V6..xlsx]Plan de Accion 2018'!#REF!,J211&lt;&gt;"N/A"))</xm:f>
            <x14:dxf>
              <fill>
                <patternFill>
                  <bgColor rgb="FF00B050"/>
                </patternFill>
              </fill>
            </x14:dxf>
          </x14:cfRule>
          <x14:cfRule type="expression" priority="1260" stopIfTrue="1" id="{CE6C320C-D118-4046-8BA4-757036C7D278}">
            <xm:f>AND(IF(J211&lt;'F:\Users\norela.briceno\Documents\Plan de acción\Plan Accion 2018\[Plan Accion Integrado ADRES Vigencia 2018 con Cuadro de Mando V6..xlsx]Plan de Accion 2018'!#REF!,J211&lt;&gt;"N/A"))</xm:f>
            <x14:dxf>
              <fill>
                <patternFill>
                  <bgColor indexed="10"/>
                </patternFill>
              </fill>
            </x14:dxf>
          </x14:cfRule>
          <xm:sqref>J211:J214</xm:sqref>
        </x14:conditionalFormatting>
        <x14:conditionalFormatting xmlns:xm="http://schemas.microsoft.com/office/excel/2006/main">
          <x14:cfRule type="expression" priority="1255" id="{2FA8E241-141C-41EF-803D-4CA21DE16142}">
            <xm:f>AND(IF(Q211&gt;'F:\Users\norela.briceno\Documents\Plan de acción\Plan Accion 2018\[Plan Accion Integrado ADRES Vigencia 2018 con Cuadro de Mando V6..xlsx]Plan de Accion 2018'!#REF!,Q211&lt;&gt;¨N/A¨))</xm:f>
            <x14:dxf>
              <fill>
                <patternFill>
                  <bgColor theme="1" tint="0.499984740745262"/>
                </patternFill>
              </fill>
            </x14:dxf>
          </x14:cfRule>
          <x14:cfRule type="expression" priority="1256" stopIfTrue="1" id="{57BA5BED-3C78-4A09-AF05-98A8A0F64CE2}">
            <xm:f>AND(IF(Q211='F:\Users\norela.briceno\Documents\Plan de acción\Plan Accion 2018\[Plan Accion Integrado ADRES Vigencia 2018 con Cuadro de Mando V6..xlsx]Plan de Accion 2018'!#REF!,Q211&lt;&gt;"N/A"))</xm:f>
            <x14:dxf>
              <fill>
                <patternFill>
                  <bgColor rgb="FF00B050"/>
                </patternFill>
              </fill>
            </x14:dxf>
          </x14:cfRule>
          <x14:cfRule type="expression" priority="1257" stopIfTrue="1" id="{125416A4-E1C7-49CA-9574-541134EF2EFD}">
            <xm:f>AND(IF(Q211&lt;'F:\Users\norela.briceno\Documents\Plan de acción\Plan Accion 2018\[Plan Accion Integrado ADRES Vigencia 2018 con Cuadro de Mando V6..xlsx]Plan de Accion 2018'!#REF!,Q211&lt;&gt;"N/A"))</xm:f>
            <x14:dxf>
              <fill>
                <patternFill>
                  <bgColor indexed="10"/>
                </patternFill>
              </fill>
            </x14:dxf>
          </x14:cfRule>
          <xm:sqref>Q211:Q214</xm:sqref>
        </x14:conditionalFormatting>
        <x14:conditionalFormatting xmlns:xm="http://schemas.microsoft.com/office/excel/2006/main">
          <x14:cfRule type="expression" priority="1252" id="{8F3FFA04-725B-4452-A223-345D4F669B9C}">
            <xm:f>AND(IF(X211&gt;'F:\Users\norela.briceno\Documents\Plan de acción\Plan Accion 2018\[Plan Accion Integrado ADRES Vigencia 2018 con Cuadro de Mando V6..xlsx]Plan de Accion 2018'!#REF!,X211&lt;&gt;¨N/A¨))</xm:f>
            <x14:dxf>
              <fill>
                <patternFill>
                  <bgColor theme="1" tint="0.499984740745262"/>
                </patternFill>
              </fill>
            </x14:dxf>
          </x14:cfRule>
          <x14:cfRule type="expression" priority="1253" stopIfTrue="1" id="{51B883A6-3066-4498-9740-10DA7CE9E01E}">
            <xm:f>AND(IF(X211='F:\Users\norela.briceno\Documents\Plan de acción\Plan Accion 2018\[Plan Accion Integrado ADRES Vigencia 2018 con Cuadro de Mando V6..xlsx]Plan de Accion 2018'!#REF!,X211&lt;&gt;"N/A"))</xm:f>
            <x14:dxf>
              <fill>
                <patternFill>
                  <bgColor rgb="FF00B050"/>
                </patternFill>
              </fill>
            </x14:dxf>
          </x14:cfRule>
          <x14:cfRule type="expression" priority="1254" stopIfTrue="1" id="{C06BDC18-C773-46E2-A257-6582319B518A}">
            <xm:f>AND(IF(X211&lt;'F:\Users\norela.briceno\Documents\Plan de acción\Plan Accion 2018\[Plan Accion Integrado ADRES Vigencia 2018 con Cuadro de Mando V6..xlsx]Plan de Accion 2018'!#REF!,X211&lt;&gt;"N/A"))</xm:f>
            <x14:dxf>
              <fill>
                <patternFill>
                  <bgColor indexed="10"/>
                </patternFill>
              </fill>
            </x14:dxf>
          </x14:cfRule>
          <xm:sqref>X211:X214</xm:sqref>
        </x14:conditionalFormatting>
        <x14:conditionalFormatting xmlns:xm="http://schemas.microsoft.com/office/excel/2006/main">
          <x14:cfRule type="expression" priority="1249" id="{B327F576-14ED-4F9F-90AB-4B840C20D134}">
            <xm:f>AND(IF(AE211&gt;'F:\Users\norela.briceno\Documents\Plan de acción\Plan Accion 2018\[Plan Accion Integrado ADRES Vigencia 2018 con Cuadro de Mando V6..xlsx]Plan de Accion 2018'!#REF!,AE211&lt;&gt;¨N/A¨))</xm:f>
            <x14:dxf>
              <fill>
                <patternFill>
                  <bgColor theme="1" tint="0.499984740745262"/>
                </patternFill>
              </fill>
            </x14:dxf>
          </x14:cfRule>
          <x14:cfRule type="expression" priority="1250" stopIfTrue="1" id="{0DBF6F7C-6440-4D9E-82CF-2D90A744557E}">
            <xm:f>AND(IF(AE211='F:\Users\norela.briceno\Documents\Plan de acción\Plan Accion 2018\[Plan Accion Integrado ADRES Vigencia 2018 con Cuadro de Mando V6..xlsx]Plan de Accion 2018'!#REF!,AE211&lt;&gt;"N/A"))</xm:f>
            <x14:dxf>
              <fill>
                <patternFill>
                  <bgColor rgb="FF00B050"/>
                </patternFill>
              </fill>
            </x14:dxf>
          </x14:cfRule>
          <x14:cfRule type="expression" priority="1251" stopIfTrue="1" id="{28302D0A-8CAD-4566-97DC-75606E8B540B}">
            <xm:f>AND(IF(AE211&lt;'F:\Users\norela.briceno\Documents\Plan de acción\Plan Accion 2018\[Plan Accion Integrado ADRES Vigencia 2018 con Cuadro de Mando V6..xlsx]Plan de Accion 2018'!#REF!,AE211&lt;&gt;"N/A"))</xm:f>
            <x14:dxf>
              <fill>
                <patternFill>
                  <bgColor indexed="10"/>
                </patternFill>
              </fill>
            </x14:dxf>
          </x14:cfRule>
          <xm:sqref>AE211:AE214</xm:sqref>
        </x14:conditionalFormatting>
        <x14:conditionalFormatting xmlns:xm="http://schemas.microsoft.com/office/excel/2006/main">
          <x14:cfRule type="expression" priority="1201" id="{FD8621CA-60B1-412F-9E7E-F1010AEF4986}">
            <xm:f>AND(IF(J215&gt;'F:\Users\norela.briceno\Documents\Plan de acción\Plan Accion 2018\[Plan Accion Integrado ADRES Vigencia 2018 con Cuadro de Mando V6..xlsx]Plan de Accion 2018'!#REF!,J215&lt;&gt;¨N/A¨))</xm:f>
            <x14:dxf>
              <fill>
                <patternFill>
                  <bgColor theme="1" tint="0.499984740745262"/>
                </patternFill>
              </fill>
            </x14:dxf>
          </x14:cfRule>
          <x14:cfRule type="expression" priority="1202" stopIfTrue="1" id="{0E217C7E-7201-4E24-9479-DB1F3169CC17}">
            <xm:f>AND(IF(J215='F:\Users\norela.briceno\Documents\Plan de acción\Plan Accion 2018\[Plan Accion Integrado ADRES Vigencia 2018 con Cuadro de Mando V6..xlsx]Plan de Accion 2018'!#REF!,J215&lt;&gt;"N/A"))</xm:f>
            <x14:dxf>
              <fill>
                <patternFill>
                  <bgColor rgb="FF00B050"/>
                </patternFill>
              </fill>
            </x14:dxf>
          </x14:cfRule>
          <x14:cfRule type="expression" priority="1203" stopIfTrue="1" id="{1EBD231B-76A8-4C9A-9B29-5460E6208589}">
            <xm:f>AND(IF(J215&lt;'F:\Users\norela.briceno\Documents\Plan de acción\Plan Accion 2018\[Plan Accion Integrado ADRES Vigencia 2018 con Cuadro de Mando V6..xlsx]Plan de Accion 2018'!#REF!,J215&lt;&gt;"N/A"))</xm:f>
            <x14:dxf>
              <fill>
                <patternFill>
                  <bgColor indexed="10"/>
                </patternFill>
              </fill>
            </x14:dxf>
          </x14:cfRule>
          <xm:sqref>J215:J216</xm:sqref>
        </x14:conditionalFormatting>
        <x14:conditionalFormatting xmlns:xm="http://schemas.microsoft.com/office/excel/2006/main">
          <x14:cfRule type="expression" priority="1198" id="{F1CE9EF2-E0C6-4203-BFCC-A32A20B928AE}">
            <xm:f>AND(IF(Q215&gt;'F:\Users\norela.briceno\Documents\Plan de acción\Plan Accion 2018\[Plan Accion Integrado ADRES Vigencia 2018 con Cuadro de Mando V6..xlsx]Plan de Accion 2018'!#REF!,Q215&lt;&gt;¨N/A¨))</xm:f>
            <x14:dxf>
              <fill>
                <patternFill>
                  <bgColor theme="1" tint="0.499984740745262"/>
                </patternFill>
              </fill>
            </x14:dxf>
          </x14:cfRule>
          <x14:cfRule type="expression" priority="1199" stopIfTrue="1" id="{2A466121-10E2-4CA1-8D49-DFF828D74955}">
            <xm:f>AND(IF(Q215='F:\Users\norela.briceno\Documents\Plan de acción\Plan Accion 2018\[Plan Accion Integrado ADRES Vigencia 2018 con Cuadro de Mando V6..xlsx]Plan de Accion 2018'!#REF!,Q215&lt;&gt;"N/A"))</xm:f>
            <x14:dxf>
              <fill>
                <patternFill>
                  <bgColor rgb="FF00B050"/>
                </patternFill>
              </fill>
            </x14:dxf>
          </x14:cfRule>
          <x14:cfRule type="expression" priority="1200" stopIfTrue="1" id="{ECEBD2D1-8E99-43C2-AEE5-567E2F58475F}">
            <xm:f>AND(IF(Q215&lt;'F:\Users\norela.briceno\Documents\Plan de acción\Plan Accion 2018\[Plan Accion Integrado ADRES Vigencia 2018 con Cuadro de Mando V6..xlsx]Plan de Accion 2018'!#REF!,Q215&lt;&gt;"N/A"))</xm:f>
            <x14:dxf>
              <fill>
                <patternFill>
                  <bgColor indexed="10"/>
                </patternFill>
              </fill>
            </x14:dxf>
          </x14:cfRule>
          <xm:sqref>Q215:Q216</xm:sqref>
        </x14:conditionalFormatting>
        <x14:conditionalFormatting xmlns:xm="http://schemas.microsoft.com/office/excel/2006/main">
          <x14:cfRule type="expression" priority="1195" id="{D871D231-F5E0-48F2-86B8-D0FBACC5D894}">
            <xm:f>AND(IF(X215&gt;'F:\Users\norela.briceno\Documents\Plan de acción\Plan Accion 2018\[Plan Accion Integrado ADRES Vigencia 2018 con Cuadro de Mando V6..xlsx]Plan de Accion 2018'!#REF!,X215&lt;&gt;¨N/A¨))</xm:f>
            <x14:dxf>
              <fill>
                <patternFill>
                  <bgColor theme="1" tint="0.499984740745262"/>
                </patternFill>
              </fill>
            </x14:dxf>
          </x14:cfRule>
          <x14:cfRule type="expression" priority="1196" stopIfTrue="1" id="{EC2772E2-358C-4CC4-B9F5-986C86796C5A}">
            <xm:f>AND(IF(X215='F:\Users\norela.briceno\Documents\Plan de acción\Plan Accion 2018\[Plan Accion Integrado ADRES Vigencia 2018 con Cuadro de Mando V6..xlsx]Plan de Accion 2018'!#REF!,X215&lt;&gt;"N/A"))</xm:f>
            <x14:dxf>
              <fill>
                <patternFill>
                  <bgColor rgb="FF00B050"/>
                </patternFill>
              </fill>
            </x14:dxf>
          </x14:cfRule>
          <x14:cfRule type="expression" priority="1197" stopIfTrue="1" id="{38FD9C06-8159-4037-B08B-2FE418AE24AA}">
            <xm:f>AND(IF(X215&lt;'F:\Users\norela.briceno\Documents\Plan de acción\Plan Accion 2018\[Plan Accion Integrado ADRES Vigencia 2018 con Cuadro de Mando V6..xlsx]Plan de Accion 2018'!#REF!,X215&lt;&gt;"N/A"))</xm:f>
            <x14:dxf>
              <fill>
                <patternFill>
                  <bgColor indexed="10"/>
                </patternFill>
              </fill>
            </x14:dxf>
          </x14:cfRule>
          <xm:sqref>X215:X216</xm:sqref>
        </x14:conditionalFormatting>
        <x14:conditionalFormatting xmlns:xm="http://schemas.microsoft.com/office/excel/2006/main">
          <x14:cfRule type="expression" priority="1192" id="{E4421963-20A7-4475-B5AD-B7BFBA46C4E4}">
            <xm:f>AND(IF(AE215&gt;'F:\Users\norela.briceno\Documents\Plan de acción\Plan Accion 2018\[Plan Accion Integrado ADRES Vigencia 2018 con Cuadro de Mando V6..xlsx]Plan de Accion 2018'!#REF!,AE215&lt;&gt;¨N/A¨))</xm:f>
            <x14:dxf>
              <fill>
                <patternFill>
                  <bgColor theme="1" tint="0.499984740745262"/>
                </patternFill>
              </fill>
            </x14:dxf>
          </x14:cfRule>
          <x14:cfRule type="expression" priority="1193" stopIfTrue="1" id="{879A45C0-2E03-4565-B94F-AADBEB88F302}">
            <xm:f>AND(IF(AE215='F:\Users\norela.briceno\Documents\Plan de acción\Plan Accion 2018\[Plan Accion Integrado ADRES Vigencia 2018 con Cuadro de Mando V6..xlsx]Plan de Accion 2018'!#REF!,AE215&lt;&gt;"N/A"))</xm:f>
            <x14:dxf>
              <fill>
                <patternFill>
                  <bgColor rgb="FF00B050"/>
                </patternFill>
              </fill>
            </x14:dxf>
          </x14:cfRule>
          <x14:cfRule type="expression" priority="1194" stopIfTrue="1" id="{99207D8B-FC1C-430B-9449-EA0203E59391}">
            <xm:f>AND(IF(AE215&lt;'F:\Users\norela.briceno\Documents\Plan de acción\Plan Accion 2018\[Plan Accion Integrado ADRES Vigencia 2018 con Cuadro de Mando V6..xlsx]Plan de Accion 2018'!#REF!,AE215&lt;&gt;"N/A"))</xm:f>
            <x14:dxf>
              <fill>
                <patternFill>
                  <bgColor indexed="10"/>
                </patternFill>
              </fill>
            </x14:dxf>
          </x14:cfRule>
          <xm:sqref>AE215:AE216</xm:sqref>
        </x14:conditionalFormatting>
        <x14:conditionalFormatting xmlns:xm="http://schemas.microsoft.com/office/excel/2006/main">
          <x14:cfRule type="expression" priority="1144" id="{9B9D58FC-EBA2-4EDC-A6E5-8A28B7A108C9}">
            <xm:f>AND(IF(J217&gt;'F:\Users\norela.briceno\Documents\Plan de acción\Plan Accion 2018\[Plan Accion Integrado ADRES Vigencia 2018 con Cuadro de Mando V6..xlsx]Plan de Accion 2018'!#REF!,J217&lt;&gt;¨N/A¨))</xm:f>
            <x14:dxf>
              <fill>
                <patternFill>
                  <bgColor theme="1" tint="0.499984740745262"/>
                </patternFill>
              </fill>
            </x14:dxf>
          </x14:cfRule>
          <x14:cfRule type="expression" priority="1145" stopIfTrue="1" id="{E7F49D78-4567-4867-9101-0E8183BF8BD7}">
            <xm:f>AND(IF(J217='F:\Users\norela.briceno\Documents\Plan de acción\Plan Accion 2018\[Plan Accion Integrado ADRES Vigencia 2018 con Cuadro de Mando V6..xlsx]Plan de Accion 2018'!#REF!,J217&lt;&gt;"N/A"))</xm:f>
            <x14:dxf>
              <fill>
                <patternFill>
                  <bgColor rgb="FF00B050"/>
                </patternFill>
              </fill>
            </x14:dxf>
          </x14:cfRule>
          <x14:cfRule type="expression" priority="1146" stopIfTrue="1" id="{5826E8FB-CEC1-45B4-8418-990019932743}">
            <xm:f>AND(IF(J217&lt;'F:\Users\norela.briceno\Documents\Plan de acción\Plan Accion 2018\[Plan Accion Integrado ADRES Vigencia 2018 con Cuadro de Mando V6..xlsx]Plan de Accion 2018'!#REF!,J217&lt;&gt;"N/A"))</xm:f>
            <x14:dxf>
              <fill>
                <patternFill>
                  <bgColor indexed="10"/>
                </patternFill>
              </fill>
            </x14:dxf>
          </x14:cfRule>
          <xm:sqref>J217:J218</xm:sqref>
        </x14:conditionalFormatting>
        <x14:conditionalFormatting xmlns:xm="http://schemas.microsoft.com/office/excel/2006/main">
          <x14:cfRule type="expression" priority="1141" id="{A3C50CE2-DC03-4049-B4B3-EF887960B8E9}">
            <xm:f>AND(IF(Q217&gt;'F:\Users\norela.briceno\Documents\Plan de acción\Plan Accion 2018\[Plan Accion Integrado ADRES Vigencia 2018 con Cuadro de Mando V6..xlsx]Plan de Accion 2018'!#REF!,Q217&lt;&gt;¨N/A¨))</xm:f>
            <x14:dxf>
              <fill>
                <patternFill>
                  <bgColor theme="1" tint="0.499984740745262"/>
                </patternFill>
              </fill>
            </x14:dxf>
          </x14:cfRule>
          <x14:cfRule type="expression" priority="1142" stopIfTrue="1" id="{B5E3045A-F20A-4DC9-9679-EF1A15323A4A}">
            <xm:f>AND(IF(Q217='F:\Users\norela.briceno\Documents\Plan de acción\Plan Accion 2018\[Plan Accion Integrado ADRES Vigencia 2018 con Cuadro de Mando V6..xlsx]Plan de Accion 2018'!#REF!,Q217&lt;&gt;"N/A"))</xm:f>
            <x14:dxf>
              <fill>
                <patternFill>
                  <bgColor rgb="FF00B050"/>
                </patternFill>
              </fill>
            </x14:dxf>
          </x14:cfRule>
          <x14:cfRule type="expression" priority="1143" stopIfTrue="1" id="{248F0684-7511-4FC3-9943-65F2538B0B7A}">
            <xm:f>AND(IF(Q217&lt;'F:\Users\norela.briceno\Documents\Plan de acción\Plan Accion 2018\[Plan Accion Integrado ADRES Vigencia 2018 con Cuadro de Mando V6..xlsx]Plan de Accion 2018'!#REF!,Q217&lt;&gt;"N/A"))</xm:f>
            <x14:dxf>
              <fill>
                <patternFill>
                  <bgColor indexed="10"/>
                </patternFill>
              </fill>
            </x14:dxf>
          </x14:cfRule>
          <xm:sqref>Q217:Q218</xm:sqref>
        </x14:conditionalFormatting>
        <x14:conditionalFormatting xmlns:xm="http://schemas.microsoft.com/office/excel/2006/main">
          <x14:cfRule type="expression" priority="1138" id="{B6707C46-F141-496B-8468-48989BB1E990}">
            <xm:f>AND(IF(X217&gt;'F:\Users\norela.briceno\Documents\Plan de acción\Plan Accion 2018\[Plan Accion Integrado ADRES Vigencia 2018 con Cuadro de Mando V6..xlsx]Plan de Accion 2018'!#REF!,X217&lt;&gt;¨N/A¨))</xm:f>
            <x14:dxf>
              <fill>
                <patternFill>
                  <bgColor theme="1" tint="0.499984740745262"/>
                </patternFill>
              </fill>
            </x14:dxf>
          </x14:cfRule>
          <x14:cfRule type="expression" priority="1139" stopIfTrue="1" id="{503917E6-9B32-4580-8A74-7BE8302AD14B}">
            <xm:f>AND(IF(X217='F:\Users\norela.briceno\Documents\Plan de acción\Plan Accion 2018\[Plan Accion Integrado ADRES Vigencia 2018 con Cuadro de Mando V6..xlsx]Plan de Accion 2018'!#REF!,X217&lt;&gt;"N/A"))</xm:f>
            <x14:dxf>
              <fill>
                <patternFill>
                  <bgColor rgb="FF00B050"/>
                </patternFill>
              </fill>
            </x14:dxf>
          </x14:cfRule>
          <x14:cfRule type="expression" priority="1140" stopIfTrue="1" id="{6EA0A63D-2D0E-476A-BB74-5B9A38C73EF8}">
            <xm:f>AND(IF(X217&lt;'F:\Users\norela.briceno\Documents\Plan de acción\Plan Accion 2018\[Plan Accion Integrado ADRES Vigencia 2018 con Cuadro de Mando V6..xlsx]Plan de Accion 2018'!#REF!,X217&lt;&gt;"N/A"))</xm:f>
            <x14:dxf>
              <fill>
                <patternFill>
                  <bgColor indexed="10"/>
                </patternFill>
              </fill>
            </x14:dxf>
          </x14:cfRule>
          <xm:sqref>X217:X218</xm:sqref>
        </x14:conditionalFormatting>
        <x14:conditionalFormatting xmlns:xm="http://schemas.microsoft.com/office/excel/2006/main">
          <x14:cfRule type="expression" priority="1135" id="{84DC8D6B-0515-44CB-B5E6-7BD5B727D233}">
            <xm:f>AND(IF(AE217&gt;'F:\Users\norela.briceno\Documents\Plan de acción\Plan Accion 2018\[Plan Accion Integrado ADRES Vigencia 2018 con Cuadro de Mando V6..xlsx]Plan de Accion 2018'!#REF!,AE217&lt;&gt;¨N/A¨))</xm:f>
            <x14:dxf>
              <fill>
                <patternFill>
                  <bgColor theme="1" tint="0.499984740745262"/>
                </patternFill>
              </fill>
            </x14:dxf>
          </x14:cfRule>
          <x14:cfRule type="expression" priority="1136" stopIfTrue="1" id="{20907293-7EA7-4218-BE14-6E8C0E69EFC7}">
            <xm:f>AND(IF(AE217='F:\Users\norela.briceno\Documents\Plan de acción\Plan Accion 2018\[Plan Accion Integrado ADRES Vigencia 2018 con Cuadro de Mando V6..xlsx]Plan de Accion 2018'!#REF!,AE217&lt;&gt;"N/A"))</xm:f>
            <x14:dxf>
              <fill>
                <patternFill>
                  <bgColor rgb="FF00B050"/>
                </patternFill>
              </fill>
            </x14:dxf>
          </x14:cfRule>
          <x14:cfRule type="expression" priority="1137" stopIfTrue="1" id="{22E8B20F-C1BD-4892-92C7-BDD401F5974C}">
            <xm:f>AND(IF(AE217&lt;'F:\Users\norela.briceno\Documents\Plan de acción\Plan Accion 2018\[Plan Accion Integrado ADRES Vigencia 2018 con Cuadro de Mando V6..xlsx]Plan de Accion 2018'!#REF!,AE217&lt;&gt;"N/A"))</xm:f>
            <x14:dxf>
              <fill>
                <patternFill>
                  <bgColor indexed="10"/>
                </patternFill>
              </fill>
            </x14:dxf>
          </x14:cfRule>
          <xm:sqref>AE217:AE218</xm:sqref>
        </x14:conditionalFormatting>
        <x14:conditionalFormatting xmlns:xm="http://schemas.microsoft.com/office/excel/2006/main">
          <x14:cfRule type="expression" priority="1032" id="{A82E03F4-F9A3-4EE8-A3E5-756593B4833A}">
            <xm:f>AND(IF(J28&gt;'F:\Users\norela.briceno\Documents\Plan de acción\Plan Accion 2018\[Plan Accion Integrado ADRES Vigencia 2018 con Cuadro de Mando V6..xlsx]Plan de Accion 2018'!#REF!,J28&lt;&gt;¨N/A¨))</xm:f>
            <x14:dxf>
              <fill>
                <patternFill>
                  <bgColor theme="1" tint="0.499984740745262"/>
                </patternFill>
              </fill>
            </x14:dxf>
          </x14:cfRule>
          <x14:cfRule type="expression" priority="1033" stopIfTrue="1" id="{E645F696-12C5-4B21-92FA-CD30556E942C}">
            <xm:f>AND(IF(J28='F:\Users\norela.briceno\Documents\Plan de acción\Plan Accion 2018\[Plan Accion Integrado ADRES Vigencia 2018 con Cuadro de Mando V6..xlsx]Plan de Accion 2018'!#REF!,J28&lt;&gt;"N/A"))</xm:f>
            <x14:dxf>
              <fill>
                <patternFill>
                  <bgColor rgb="FF00B050"/>
                </patternFill>
              </fill>
            </x14:dxf>
          </x14:cfRule>
          <x14:cfRule type="expression" priority="1034" stopIfTrue="1" id="{A29856FF-D9E1-467A-BB41-435A77E4ECD7}">
            <xm:f>AND(IF(J28&lt;'F:\Users\norela.briceno\Documents\Plan de acción\Plan Accion 2018\[Plan Accion Integrado ADRES Vigencia 2018 con Cuadro de Mando V6..xlsx]Plan de Accion 2018'!#REF!,J28&lt;&gt;"N/A"))</xm:f>
            <x14:dxf>
              <fill>
                <patternFill>
                  <bgColor indexed="10"/>
                </patternFill>
              </fill>
            </x14:dxf>
          </x14:cfRule>
          <xm:sqref>J28</xm:sqref>
        </x14:conditionalFormatting>
        <x14:conditionalFormatting xmlns:xm="http://schemas.microsoft.com/office/excel/2006/main">
          <x14:cfRule type="expression" priority="1029" id="{EC79C27C-2A1D-43D6-A407-E7BCF036F8A6}">
            <xm:f>AND(IF(Q28&gt;'F:\Users\norela.briceno\Documents\Plan de acción\Plan Accion 2018\[Plan Accion Integrado ADRES Vigencia 2018 con Cuadro de Mando V6..xlsx]Plan de Accion 2018'!#REF!,Q28&lt;&gt;¨N/A¨))</xm:f>
            <x14:dxf>
              <fill>
                <patternFill>
                  <bgColor theme="1" tint="0.499984740745262"/>
                </patternFill>
              </fill>
            </x14:dxf>
          </x14:cfRule>
          <x14:cfRule type="expression" priority="1030" stopIfTrue="1" id="{633E00F0-1E32-4B60-AD64-C0C6FE1F4F46}">
            <xm:f>AND(IF(Q28='F:\Users\norela.briceno\Documents\Plan de acción\Plan Accion 2018\[Plan Accion Integrado ADRES Vigencia 2018 con Cuadro de Mando V6..xlsx]Plan de Accion 2018'!#REF!,Q28&lt;&gt;"N/A"))</xm:f>
            <x14:dxf>
              <fill>
                <patternFill>
                  <bgColor rgb="FF00B050"/>
                </patternFill>
              </fill>
            </x14:dxf>
          </x14:cfRule>
          <x14:cfRule type="expression" priority="1031" stopIfTrue="1" id="{EA8F5EA4-A373-431E-AC1B-D68794561657}">
            <xm:f>AND(IF(Q28&lt;'F:\Users\norela.briceno\Documents\Plan de acción\Plan Accion 2018\[Plan Accion Integrado ADRES Vigencia 2018 con Cuadro de Mando V6..xlsx]Plan de Accion 2018'!#REF!,Q28&lt;&gt;"N/A"))</xm:f>
            <x14:dxf>
              <fill>
                <patternFill>
                  <bgColor indexed="10"/>
                </patternFill>
              </fill>
            </x14:dxf>
          </x14:cfRule>
          <xm:sqref>Q28</xm:sqref>
        </x14:conditionalFormatting>
        <x14:conditionalFormatting xmlns:xm="http://schemas.microsoft.com/office/excel/2006/main">
          <x14:cfRule type="expression" priority="1026" id="{4C97690C-6301-4F0B-A7B0-2D23AD910148}">
            <xm:f>AND(IF(X28&gt;'F:\Users\norela.briceno\Documents\Plan de acción\Plan Accion 2018\[Plan Accion Integrado ADRES Vigencia 2018 con Cuadro de Mando V6..xlsx]Plan de Accion 2018'!#REF!,X28&lt;&gt;¨N/A¨))</xm:f>
            <x14:dxf>
              <fill>
                <patternFill>
                  <bgColor theme="1" tint="0.499984740745262"/>
                </patternFill>
              </fill>
            </x14:dxf>
          </x14:cfRule>
          <x14:cfRule type="expression" priority="1027" stopIfTrue="1" id="{0CB558AA-F197-4026-A15E-AE83F695CAA8}">
            <xm:f>AND(IF(X28='F:\Users\norela.briceno\Documents\Plan de acción\Plan Accion 2018\[Plan Accion Integrado ADRES Vigencia 2018 con Cuadro de Mando V6..xlsx]Plan de Accion 2018'!#REF!,X28&lt;&gt;"N/A"))</xm:f>
            <x14:dxf>
              <fill>
                <patternFill>
                  <bgColor rgb="FF00B050"/>
                </patternFill>
              </fill>
            </x14:dxf>
          </x14:cfRule>
          <x14:cfRule type="expression" priority="1028" stopIfTrue="1" id="{A0D9DC49-19D7-4F27-9537-DB358F3AB5D4}">
            <xm:f>AND(IF(X28&lt;'F:\Users\norela.briceno\Documents\Plan de acción\Plan Accion 2018\[Plan Accion Integrado ADRES Vigencia 2018 con Cuadro de Mando V6..xlsx]Plan de Accion 2018'!#REF!,X28&lt;&gt;"N/A"))</xm:f>
            <x14:dxf>
              <fill>
                <patternFill>
                  <bgColor indexed="10"/>
                </patternFill>
              </fill>
            </x14:dxf>
          </x14:cfRule>
          <xm:sqref>X28</xm:sqref>
        </x14:conditionalFormatting>
        <x14:conditionalFormatting xmlns:xm="http://schemas.microsoft.com/office/excel/2006/main">
          <x14:cfRule type="expression" priority="1023" id="{054F2FA6-480D-44E9-9CD6-14F15E040314}">
            <xm:f>AND(IF(AE28&gt;'F:\Users\norela.briceno\Documents\Plan de acción\Plan Accion 2018\[Plan Accion Integrado ADRES Vigencia 2018 con Cuadro de Mando V6..xlsx]Plan de Accion 2018'!#REF!,AE28&lt;&gt;¨N/A¨))</xm:f>
            <x14:dxf>
              <fill>
                <patternFill>
                  <bgColor theme="1" tint="0.499984740745262"/>
                </patternFill>
              </fill>
            </x14:dxf>
          </x14:cfRule>
          <x14:cfRule type="expression" priority="1024" stopIfTrue="1" id="{6F85D7E4-AF92-4021-8917-0FFF2B259B5E}">
            <xm:f>AND(IF(AE28='F:\Users\norela.briceno\Documents\Plan de acción\Plan Accion 2018\[Plan Accion Integrado ADRES Vigencia 2018 con Cuadro de Mando V6..xlsx]Plan de Accion 2018'!#REF!,AE28&lt;&gt;"N/A"))</xm:f>
            <x14:dxf>
              <fill>
                <patternFill>
                  <bgColor rgb="FF00B050"/>
                </patternFill>
              </fill>
            </x14:dxf>
          </x14:cfRule>
          <x14:cfRule type="expression" priority="1025" stopIfTrue="1" id="{BB2D0FA8-645F-4A5C-88F3-03200C139C95}">
            <xm:f>AND(IF(AE28&lt;'F:\Users\norela.briceno\Documents\Plan de acción\Plan Accion 2018\[Plan Accion Integrado ADRES Vigencia 2018 con Cuadro de Mando V6..xlsx]Plan de Accion 2018'!#REF!,AE28&lt;&gt;"N/A"))</xm:f>
            <x14:dxf>
              <fill>
                <patternFill>
                  <bgColor indexed="10"/>
                </patternFill>
              </fill>
            </x14:dxf>
          </x14:cfRule>
          <xm:sqref>AE28</xm:sqref>
        </x14:conditionalFormatting>
        <x14:conditionalFormatting xmlns:xm="http://schemas.microsoft.com/office/excel/2006/main">
          <x14:cfRule type="expression" priority="940" id="{EC80BF5B-3BF4-4144-BB9F-AACA03F6B8E3}">
            <xm:f>AND(IF(J270&gt;'F:\Users\norela.briceno\Documents\Plan de acción\Plan Accion 2018\[Plan Accion Integrado ADRES Vigencia 2018 con Cuadro de Mando V6..xlsx]Plan de Accion 2018'!#REF!,J270&lt;&gt;¨N/A¨))</xm:f>
            <x14:dxf>
              <fill>
                <patternFill>
                  <bgColor theme="1" tint="0.499984740745262"/>
                </patternFill>
              </fill>
            </x14:dxf>
          </x14:cfRule>
          <x14:cfRule type="expression" priority="941" stopIfTrue="1" id="{B919AE6E-B88F-4270-BDA0-2591D25E395A}">
            <xm:f>AND(IF(J270='F:\Users\norela.briceno\Documents\Plan de acción\Plan Accion 2018\[Plan Accion Integrado ADRES Vigencia 2018 con Cuadro de Mando V6..xlsx]Plan de Accion 2018'!#REF!,J270&lt;&gt;"N/A"))</xm:f>
            <x14:dxf>
              <fill>
                <patternFill>
                  <bgColor rgb="FF00B050"/>
                </patternFill>
              </fill>
            </x14:dxf>
          </x14:cfRule>
          <x14:cfRule type="expression" priority="942" stopIfTrue="1" id="{BFC03F3E-6138-4A3F-86E3-BBC9DE8E7572}">
            <xm:f>AND(IF(J270&lt;'F:\Users\norela.briceno\Documents\Plan de acción\Plan Accion 2018\[Plan Accion Integrado ADRES Vigencia 2018 con Cuadro de Mando V6..xlsx]Plan de Accion 2018'!#REF!,J270&lt;&gt;"N/A"))</xm:f>
            <x14:dxf>
              <fill>
                <patternFill>
                  <bgColor indexed="10"/>
                </patternFill>
              </fill>
            </x14:dxf>
          </x14:cfRule>
          <xm:sqref>J270</xm:sqref>
        </x14:conditionalFormatting>
        <x14:conditionalFormatting xmlns:xm="http://schemas.microsoft.com/office/excel/2006/main">
          <x14:cfRule type="expression" priority="937" id="{A7696E25-37D4-4D99-9351-670E143CA1E5}">
            <xm:f>AND(IF(Q270&gt;'F:\Users\norela.briceno\Documents\Plan de acción\Plan Accion 2018\[Plan Accion Integrado ADRES Vigencia 2018 con Cuadro de Mando V6..xlsx]Plan de Accion 2018'!#REF!,Q270&lt;&gt;¨N/A¨))</xm:f>
            <x14:dxf>
              <fill>
                <patternFill>
                  <bgColor theme="1" tint="0.499984740745262"/>
                </patternFill>
              </fill>
            </x14:dxf>
          </x14:cfRule>
          <x14:cfRule type="expression" priority="938" stopIfTrue="1" id="{FD4223FB-5D0B-4C83-8C75-836613BAD41D}">
            <xm:f>AND(IF(Q270='F:\Users\norela.briceno\Documents\Plan de acción\Plan Accion 2018\[Plan Accion Integrado ADRES Vigencia 2018 con Cuadro de Mando V6..xlsx]Plan de Accion 2018'!#REF!,Q270&lt;&gt;"N/A"))</xm:f>
            <x14:dxf>
              <fill>
                <patternFill>
                  <bgColor rgb="FF00B050"/>
                </patternFill>
              </fill>
            </x14:dxf>
          </x14:cfRule>
          <x14:cfRule type="expression" priority="939" stopIfTrue="1" id="{DD968B25-1713-473F-A7BF-880F525E143B}">
            <xm:f>AND(IF(Q270&lt;'F:\Users\norela.briceno\Documents\Plan de acción\Plan Accion 2018\[Plan Accion Integrado ADRES Vigencia 2018 con Cuadro de Mando V6..xlsx]Plan de Accion 2018'!#REF!,Q270&lt;&gt;"N/A"))</xm:f>
            <x14:dxf>
              <fill>
                <patternFill>
                  <bgColor indexed="10"/>
                </patternFill>
              </fill>
            </x14:dxf>
          </x14:cfRule>
          <xm:sqref>Q270</xm:sqref>
        </x14:conditionalFormatting>
        <x14:conditionalFormatting xmlns:xm="http://schemas.microsoft.com/office/excel/2006/main">
          <x14:cfRule type="expression" priority="934" id="{49E2A11F-623B-445E-A62B-3C83AF5DEC81}">
            <xm:f>AND(IF(X270&gt;'F:\Users\norela.briceno\Documents\Plan de acción\Plan Accion 2018\[Plan Accion Integrado ADRES Vigencia 2018 con Cuadro de Mando V6..xlsx]Plan de Accion 2018'!#REF!,X270&lt;&gt;¨N/A¨))</xm:f>
            <x14:dxf>
              <fill>
                <patternFill>
                  <bgColor theme="1" tint="0.499984740745262"/>
                </patternFill>
              </fill>
            </x14:dxf>
          </x14:cfRule>
          <x14:cfRule type="expression" priority="935" stopIfTrue="1" id="{69F5DBAF-7050-4E0D-9605-982B81997CB5}">
            <xm:f>AND(IF(X270='F:\Users\norela.briceno\Documents\Plan de acción\Plan Accion 2018\[Plan Accion Integrado ADRES Vigencia 2018 con Cuadro de Mando V6..xlsx]Plan de Accion 2018'!#REF!,X270&lt;&gt;"N/A"))</xm:f>
            <x14:dxf>
              <fill>
                <patternFill>
                  <bgColor rgb="FF00B050"/>
                </patternFill>
              </fill>
            </x14:dxf>
          </x14:cfRule>
          <x14:cfRule type="expression" priority="936" stopIfTrue="1" id="{4EA6398D-CC9F-4887-8737-40CF0B149910}">
            <xm:f>AND(IF(X270&lt;'F:\Users\norela.briceno\Documents\Plan de acción\Plan Accion 2018\[Plan Accion Integrado ADRES Vigencia 2018 con Cuadro de Mando V6..xlsx]Plan de Accion 2018'!#REF!,X270&lt;&gt;"N/A"))</xm:f>
            <x14:dxf>
              <fill>
                <patternFill>
                  <bgColor indexed="10"/>
                </patternFill>
              </fill>
            </x14:dxf>
          </x14:cfRule>
          <xm:sqref>X270</xm:sqref>
        </x14:conditionalFormatting>
        <x14:conditionalFormatting xmlns:xm="http://schemas.microsoft.com/office/excel/2006/main">
          <x14:cfRule type="expression" priority="931" id="{2A516708-44A2-4784-80D4-3C316B967A62}">
            <xm:f>AND(IF(AE270&gt;'F:\Users\norela.briceno\Documents\Plan de acción\Plan Accion 2018\[Plan Accion Integrado ADRES Vigencia 2018 con Cuadro de Mando V6..xlsx]Plan de Accion 2018'!#REF!,AE270&lt;&gt;¨N/A¨))</xm:f>
            <x14:dxf>
              <fill>
                <patternFill>
                  <bgColor theme="1" tint="0.499984740745262"/>
                </patternFill>
              </fill>
            </x14:dxf>
          </x14:cfRule>
          <x14:cfRule type="expression" priority="932" stopIfTrue="1" id="{ECD29F6A-1FC7-4542-9FB6-9FB74A194E7F}">
            <xm:f>AND(IF(AE270='F:\Users\norela.briceno\Documents\Plan de acción\Plan Accion 2018\[Plan Accion Integrado ADRES Vigencia 2018 con Cuadro de Mando V6..xlsx]Plan de Accion 2018'!#REF!,AE270&lt;&gt;"N/A"))</xm:f>
            <x14:dxf>
              <fill>
                <patternFill>
                  <bgColor rgb="FF00B050"/>
                </patternFill>
              </fill>
            </x14:dxf>
          </x14:cfRule>
          <x14:cfRule type="expression" priority="933" stopIfTrue="1" id="{5735A86E-16D9-4292-A51B-54966E63B7BB}">
            <xm:f>AND(IF(AE270&lt;'F:\Users\norela.briceno\Documents\Plan de acción\Plan Accion 2018\[Plan Accion Integrado ADRES Vigencia 2018 con Cuadro de Mando V6..xlsx]Plan de Accion 2018'!#REF!,AE270&lt;&gt;"N/A"))</xm:f>
            <x14:dxf>
              <fill>
                <patternFill>
                  <bgColor indexed="10"/>
                </patternFill>
              </fill>
            </x14:dxf>
          </x14:cfRule>
          <xm:sqref>AE270</xm:sqref>
        </x14:conditionalFormatting>
        <x14:conditionalFormatting xmlns:xm="http://schemas.microsoft.com/office/excel/2006/main">
          <x14:cfRule type="expression" priority="898" id="{AE1D980C-DB5A-4979-A035-4C0DEC16A25C}">
            <xm:f>AND(IF(J181&gt;'F:\Users\norela.briceno\Documents\Plan de acción\Plan Accion 2018\[Plan Accion Integrado ADRES Vigencia 2018 con Cuadro de Mando V6..xlsx]Plan de Accion 2018'!#REF!,J181&lt;&gt;¨N/A¨))</xm:f>
            <x14:dxf>
              <fill>
                <patternFill>
                  <bgColor theme="1" tint="0.499984740745262"/>
                </patternFill>
              </fill>
            </x14:dxf>
          </x14:cfRule>
          <x14:cfRule type="expression" priority="899" stopIfTrue="1" id="{D3054ADA-B522-4AE0-8198-A453842C2717}">
            <xm:f>AND(IF(J181='F:\Users\norela.briceno\Documents\Plan de acción\Plan Accion 2018\[Plan Accion Integrado ADRES Vigencia 2018 con Cuadro de Mando V6..xlsx]Plan de Accion 2018'!#REF!,J181&lt;&gt;"N/A"))</xm:f>
            <x14:dxf>
              <fill>
                <patternFill>
                  <bgColor rgb="FF00B050"/>
                </patternFill>
              </fill>
            </x14:dxf>
          </x14:cfRule>
          <x14:cfRule type="expression" priority="900" stopIfTrue="1" id="{58DC047A-555E-4C23-9AC4-A9BEFA5AB16A}">
            <xm:f>AND(IF(J181&lt;'F:\Users\norela.briceno\Documents\Plan de acción\Plan Accion 2018\[Plan Accion Integrado ADRES Vigencia 2018 con Cuadro de Mando V6..xlsx]Plan de Accion 2018'!#REF!,J181&lt;&gt;"N/A"))</xm:f>
            <x14:dxf>
              <fill>
                <patternFill>
                  <bgColor indexed="10"/>
                </patternFill>
              </fill>
            </x14:dxf>
          </x14:cfRule>
          <xm:sqref>J181 Q181 X181 AE181</xm:sqref>
        </x14:conditionalFormatting>
        <x14:conditionalFormatting xmlns:xm="http://schemas.microsoft.com/office/excel/2006/main">
          <x14:cfRule type="expression" priority="830" id="{74CD3874-5441-4023-8EB7-C2285845474F}">
            <xm:f>AND(IF(J182&gt;'F:\Users\norela.briceno\Documents\Plan de acción\Plan Accion 2018\[Plan Accion Integrado ADRES Vigencia 2018 con Cuadro de Mando V6..xlsx]Plan de Accion 2018'!#REF!,J182&lt;&gt;¨N/A¨))</xm:f>
            <x14:dxf>
              <fill>
                <patternFill>
                  <bgColor theme="1" tint="0.499984740745262"/>
                </patternFill>
              </fill>
            </x14:dxf>
          </x14:cfRule>
          <x14:cfRule type="expression" priority="831" stopIfTrue="1" id="{1C1B4BB5-B37E-400B-8926-055226B02D20}">
            <xm:f>AND(IF(J182='F:\Users\norela.briceno\Documents\Plan de acción\Plan Accion 2018\[Plan Accion Integrado ADRES Vigencia 2018 con Cuadro de Mando V6..xlsx]Plan de Accion 2018'!#REF!,J182&lt;&gt;"N/A"))</xm:f>
            <x14:dxf>
              <fill>
                <patternFill>
                  <bgColor rgb="FF00B050"/>
                </patternFill>
              </fill>
            </x14:dxf>
          </x14:cfRule>
          <x14:cfRule type="expression" priority="832" stopIfTrue="1" id="{ED8E47E4-D66F-4D54-B1C1-FEB0B68DEF9D}">
            <xm:f>AND(IF(J182&lt;'F:\Users\norela.briceno\Documents\Plan de acción\Plan Accion 2018\[Plan Accion Integrado ADRES Vigencia 2018 con Cuadro de Mando V6..xlsx]Plan de Accion 2018'!#REF!,J182&lt;&gt;"N/A"))</xm:f>
            <x14:dxf>
              <fill>
                <patternFill>
                  <bgColor indexed="10"/>
                </patternFill>
              </fill>
            </x14:dxf>
          </x14:cfRule>
          <xm:sqref>J182 Q182 X182 AE182</xm:sqref>
        </x14:conditionalFormatting>
        <x14:conditionalFormatting xmlns:xm="http://schemas.microsoft.com/office/excel/2006/main">
          <x14:cfRule type="expression" priority="349" id="{678754D2-DF50-46B1-8950-C24ECED98EAA}">
            <xm:f>AND(IF(J266&gt;'F:\Users\norela.briceno\Documents\Plan de acción\Plan Accion 2018\[Plan Accion Integrado ADRES Vigencia 2018 con Cuadro de Mando V6..xlsx]Plan de Accion 2018'!#REF!,J266&lt;&gt;¨N/A¨))</xm:f>
            <x14:dxf>
              <fill>
                <patternFill>
                  <bgColor theme="1" tint="0.499984740745262"/>
                </patternFill>
              </fill>
            </x14:dxf>
          </x14:cfRule>
          <x14:cfRule type="expression" priority="350" stopIfTrue="1" id="{FE5492CB-4494-4244-BDB8-FAE8A2242B01}">
            <xm:f>AND(IF(J266='F:\Users\norela.briceno\Documents\Plan de acción\Plan Accion 2018\[Plan Accion Integrado ADRES Vigencia 2018 con Cuadro de Mando V6..xlsx]Plan de Accion 2018'!#REF!,J266&lt;&gt;"N/A"))</xm:f>
            <x14:dxf>
              <fill>
                <patternFill>
                  <bgColor rgb="FF00B050"/>
                </patternFill>
              </fill>
            </x14:dxf>
          </x14:cfRule>
          <x14:cfRule type="expression" priority="351" stopIfTrue="1" id="{FF3B8240-B4B7-4511-A498-F783E631C3A0}">
            <xm:f>AND(IF(J266&lt;'F:\Users\norela.briceno\Documents\Plan de acción\Plan Accion 2018\[Plan Accion Integrado ADRES Vigencia 2018 con Cuadro de Mando V6..xlsx]Plan de Accion 2018'!#REF!,J266&lt;&gt;"N/A"))</xm:f>
            <x14:dxf>
              <fill>
                <patternFill>
                  <bgColor indexed="10"/>
                </patternFill>
              </fill>
            </x14:dxf>
          </x14:cfRule>
          <xm:sqref>J266</xm:sqref>
        </x14:conditionalFormatting>
        <x14:conditionalFormatting xmlns:xm="http://schemas.microsoft.com/office/excel/2006/main">
          <x14:cfRule type="expression" priority="346" id="{E31CAE8C-B71B-44E4-AFF4-883187A31A39}">
            <xm:f>AND(IF(Q266&gt;'F:\Users\norela.briceno\Documents\Plan de acción\Plan Accion 2018\[Plan Accion Integrado ADRES Vigencia 2018 con Cuadro de Mando V6..xlsx]Plan de Accion 2018'!#REF!,Q266&lt;&gt;¨N/A¨))</xm:f>
            <x14:dxf>
              <fill>
                <patternFill>
                  <bgColor theme="1" tint="0.499984740745262"/>
                </patternFill>
              </fill>
            </x14:dxf>
          </x14:cfRule>
          <x14:cfRule type="expression" priority="347" stopIfTrue="1" id="{0D53A130-D0CD-47BD-96B8-C45648C70A18}">
            <xm:f>AND(IF(Q266='F:\Users\norela.briceno\Documents\Plan de acción\Plan Accion 2018\[Plan Accion Integrado ADRES Vigencia 2018 con Cuadro de Mando V6..xlsx]Plan de Accion 2018'!#REF!,Q266&lt;&gt;"N/A"))</xm:f>
            <x14:dxf>
              <fill>
                <patternFill>
                  <bgColor rgb="FF00B050"/>
                </patternFill>
              </fill>
            </x14:dxf>
          </x14:cfRule>
          <x14:cfRule type="expression" priority="348" stopIfTrue="1" id="{2134D9FD-6C38-4BB3-B664-1D731DF85627}">
            <xm:f>AND(IF(Q266&lt;'F:\Users\norela.briceno\Documents\Plan de acción\Plan Accion 2018\[Plan Accion Integrado ADRES Vigencia 2018 con Cuadro de Mando V6..xlsx]Plan de Accion 2018'!#REF!,Q266&lt;&gt;"N/A"))</xm:f>
            <x14:dxf>
              <fill>
                <patternFill>
                  <bgColor indexed="10"/>
                </patternFill>
              </fill>
            </x14:dxf>
          </x14:cfRule>
          <xm:sqref>Q266</xm:sqref>
        </x14:conditionalFormatting>
        <x14:conditionalFormatting xmlns:xm="http://schemas.microsoft.com/office/excel/2006/main">
          <x14:cfRule type="expression" priority="343" id="{EA0F4617-3541-4A16-AEE3-158925537A21}">
            <xm:f>AND(IF(X266&gt;'F:\Users\norela.briceno\Documents\Plan de acción\Plan Accion 2018\[Plan Accion Integrado ADRES Vigencia 2018 con Cuadro de Mando V6..xlsx]Plan de Accion 2018'!#REF!,X266&lt;&gt;¨N/A¨))</xm:f>
            <x14:dxf>
              <fill>
                <patternFill>
                  <bgColor theme="1" tint="0.499984740745262"/>
                </patternFill>
              </fill>
            </x14:dxf>
          </x14:cfRule>
          <x14:cfRule type="expression" priority="344" stopIfTrue="1" id="{6888D027-E077-4900-8DE1-98767CE80CEC}">
            <xm:f>AND(IF(X266='F:\Users\norela.briceno\Documents\Plan de acción\Plan Accion 2018\[Plan Accion Integrado ADRES Vigencia 2018 con Cuadro de Mando V6..xlsx]Plan de Accion 2018'!#REF!,X266&lt;&gt;"N/A"))</xm:f>
            <x14:dxf>
              <fill>
                <patternFill>
                  <bgColor rgb="FF00B050"/>
                </patternFill>
              </fill>
            </x14:dxf>
          </x14:cfRule>
          <x14:cfRule type="expression" priority="345" stopIfTrue="1" id="{AA75BFD8-AC06-4F50-9190-344A9DB4FF89}">
            <xm:f>AND(IF(X266&lt;'F:\Users\norela.briceno\Documents\Plan de acción\Plan Accion 2018\[Plan Accion Integrado ADRES Vigencia 2018 con Cuadro de Mando V6..xlsx]Plan de Accion 2018'!#REF!,X266&lt;&gt;"N/A"))</xm:f>
            <x14:dxf>
              <fill>
                <patternFill>
                  <bgColor indexed="10"/>
                </patternFill>
              </fill>
            </x14:dxf>
          </x14:cfRule>
          <xm:sqref>X266</xm:sqref>
        </x14:conditionalFormatting>
        <x14:conditionalFormatting xmlns:xm="http://schemas.microsoft.com/office/excel/2006/main">
          <x14:cfRule type="expression" priority="340" id="{932C68B0-9696-4145-8E2E-F3E408C2B429}">
            <xm:f>AND(IF(AE266&gt;'F:\Users\norela.briceno\Documents\Plan de acción\Plan Accion 2018\[Plan Accion Integrado ADRES Vigencia 2018 con Cuadro de Mando V6..xlsx]Plan de Accion 2018'!#REF!,AE266&lt;&gt;¨N/A¨))</xm:f>
            <x14:dxf>
              <fill>
                <patternFill>
                  <bgColor theme="1" tint="0.499984740745262"/>
                </patternFill>
              </fill>
            </x14:dxf>
          </x14:cfRule>
          <x14:cfRule type="expression" priority="341" stopIfTrue="1" id="{49673DF4-5D96-4D15-AD34-A8B389714EDD}">
            <xm:f>AND(IF(AE266='F:\Users\norela.briceno\Documents\Plan de acción\Plan Accion 2018\[Plan Accion Integrado ADRES Vigencia 2018 con Cuadro de Mando V6..xlsx]Plan de Accion 2018'!#REF!,AE266&lt;&gt;"N/A"))</xm:f>
            <x14:dxf>
              <fill>
                <patternFill>
                  <bgColor rgb="FF00B050"/>
                </patternFill>
              </fill>
            </x14:dxf>
          </x14:cfRule>
          <x14:cfRule type="expression" priority="342" stopIfTrue="1" id="{71307233-5815-4812-A9B9-6E3ABA6111FC}">
            <xm:f>AND(IF(AE266&lt;'F:\Users\norela.briceno\Documents\Plan de acción\Plan Accion 2018\[Plan Accion Integrado ADRES Vigencia 2018 con Cuadro de Mando V6..xlsx]Plan de Accion 2018'!#REF!,AE266&lt;&gt;"N/A"))</xm:f>
            <x14:dxf>
              <fill>
                <patternFill>
                  <bgColor indexed="10"/>
                </patternFill>
              </fill>
            </x14:dxf>
          </x14:cfRule>
          <xm:sqref>AE266</xm:sqref>
        </x14:conditionalFormatting>
        <x14:conditionalFormatting xmlns:xm="http://schemas.microsoft.com/office/excel/2006/main">
          <x14:cfRule type="expression" priority="312" id="{685D9830-4CAE-4569-AD87-32D3D687B4B1}">
            <xm:f>AND(IF(J170&gt;'F:\Users\norela.briceno\Documents\Plan de acción\Plan Accion 2018\[Plan Accion Integrado ADRES Vigencia 2018 con Cuadro de Mando V6..xlsx]Plan de Accion 2018'!#REF!,J170&lt;&gt;¨N/A¨))</xm:f>
            <x14:dxf>
              <fill>
                <patternFill>
                  <bgColor theme="1" tint="0.499984740745262"/>
                </patternFill>
              </fill>
            </x14:dxf>
          </x14:cfRule>
          <x14:cfRule type="expression" priority="313" stopIfTrue="1" id="{BC1DB968-9DE0-4A47-8676-B1FEDF3E098D}">
            <xm:f>AND(IF(J170='F:\Users\norela.briceno\Documents\Plan de acción\Plan Accion 2018\[Plan Accion Integrado ADRES Vigencia 2018 con Cuadro de Mando V6..xlsx]Plan de Accion 2018'!#REF!,J170&lt;&gt;"N/A"))</xm:f>
            <x14:dxf>
              <fill>
                <patternFill>
                  <bgColor rgb="FF00B050"/>
                </patternFill>
              </fill>
            </x14:dxf>
          </x14:cfRule>
          <x14:cfRule type="expression" priority="314" stopIfTrue="1" id="{FCC11635-5254-4058-872B-86984798E174}">
            <xm:f>AND(IF(J170&lt;'F:\Users\norela.briceno\Documents\Plan de acción\Plan Accion 2018\[Plan Accion Integrado ADRES Vigencia 2018 con Cuadro de Mando V6..xlsx]Plan de Accion 2018'!#REF!,J170&lt;&gt;"N/A"))</xm:f>
            <x14:dxf>
              <fill>
                <patternFill>
                  <bgColor indexed="10"/>
                </patternFill>
              </fill>
            </x14:dxf>
          </x14:cfRule>
          <xm:sqref>J170 Q170 X170 AE170</xm:sqref>
        </x14:conditionalFormatting>
        <x14:conditionalFormatting xmlns:xm="http://schemas.microsoft.com/office/excel/2006/main">
          <x14:cfRule type="expression" priority="181" id="{BE555A1A-93F9-40E9-8AA3-F886DF9DBF82}">
            <xm:f>AND(IF(J171&gt;'F:\Users\norela.briceno\Documents\Plan de acción\Plan Accion 2018\[Plan Accion Integrado ADRES Vigencia 2018 con Cuadro de Mando V6..xlsx]Plan de Accion 2018'!#REF!,J171&lt;&gt;¨N/A¨))</xm:f>
            <x14:dxf>
              <fill>
                <patternFill>
                  <bgColor theme="1" tint="0.499984740745262"/>
                </patternFill>
              </fill>
            </x14:dxf>
          </x14:cfRule>
          <x14:cfRule type="expression" priority="182" stopIfTrue="1" id="{FB09D814-759B-446F-A793-0F0DFB25BBDA}">
            <xm:f>AND(IF(J171='F:\Users\norela.briceno\Documents\Plan de acción\Plan Accion 2018\[Plan Accion Integrado ADRES Vigencia 2018 con Cuadro de Mando V6..xlsx]Plan de Accion 2018'!#REF!,J171&lt;&gt;"N/A"))</xm:f>
            <x14:dxf>
              <fill>
                <patternFill>
                  <bgColor rgb="FF00B050"/>
                </patternFill>
              </fill>
            </x14:dxf>
          </x14:cfRule>
          <x14:cfRule type="expression" priority="183" stopIfTrue="1" id="{C6D69CB3-95CB-4607-B17F-7CEF50451595}">
            <xm:f>AND(IF(J171&lt;'F:\Users\norela.briceno\Documents\Plan de acción\Plan Accion 2018\[Plan Accion Integrado ADRES Vigencia 2018 con Cuadro de Mando V6..xlsx]Plan de Accion 2018'!#REF!,J171&lt;&gt;"N/A"))</xm:f>
            <x14:dxf>
              <fill>
                <patternFill>
                  <bgColor indexed="10"/>
                </patternFill>
              </fill>
            </x14:dxf>
          </x14:cfRule>
          <xm:sqref>J171 Q171 X171 AE171</xm:sqref>
        </x14:conditionalFormatting>
        <x14:conditionalFormatting xmlns:xm="http://schemas.microsoft.com/office/excel/2006/main">
          <x14:cfRule type="expression" priority="53" id="{ED4F8C0B-7DC5-4D1C-AF20-9B5032F77918}">
            <xm:f>AND(IF(J338&gt;'F:\Users\norela.briceno\Documents\Plan de acción\Plan Accion 2018\[Plan Accion Integrado ADRES Vigencia 2018 con Cuadro de Mando V6..xlsx]Plan de Accion 2018'!#REF!,J338&lt;&gt;¨N/A¨))</xm:f>
            <x14:dxf>
              <fill>
                <patternFill>
                  <bgColor theme="1" tint="0.499984740745262"/>
                </patternFill>
              </fill>
            </x14:dxf>
          </x14:cfRule>
          <x14:cfRule type="expression" priority="54" stopIfTrue="1" id="{5BB40D00-DCFB-4FC5-B310-0A67B27EF4D1}">
            <xm:f>AND(IF(J338='F:\Users\norela.briceno\Documents\Plan de acción\Plan Accion 2018\[Plan Accion Integrado ADRES Vigencia 2018 con Cuadro de Mando V6..xlsx]Plan de Accion 2018'!#REF!,J338&lt;&gt;"N/A"))</xm:f>
            <x14:dxf>
              <fill>
                <patternFill>
                  <bgColor rgb="FF00B050"/>
                </patternFill>
              </fill>
            </x14:dxf>
          </x14:cfRule>
          <x14:cfRule type="expression" priority="55" stopIfTrue="1" id="{01A3E23E-AC6C-41B7-A2C4-7E6525CAAD3F}">
            <xm:f>AND(IF(J338&lt;'F:\Users\norela.briceno\Documents\Plan de acción\Plan Accion 2018\[Plan Accion Integrado ADRES Vigencia 2018 con Cuadro de Mando V6..xlsx]Plan de Accion 2018'!#REF!,J338&lt;&gt;"N/A"))</xm:f>
            <x14:dxf>
              <fill>
                <patternFill>
                  <bgColor indexed="10"/>
                </patternFill>
              </fill>
            </x14:dxf>
          </x14:cfRule>
          <xm:sqref>J338</xm:sqref>
        </x14:conditionalFormatting>
        <x14:conditionalFormatting xmlns:xm="http://schemas.microsoft.com/office/excel/2006/main">
          <x14:cfRule type="expression" priority="50" id="{D636282C-CAEF-4530-827D-58254A676B8C}">
            <xm:f>AND(IF(Q338&gt;'F:\Users\norela.briceno\Documents\Plan de acción\Plan Accion 2018\[Plan Accion Integrado ADRES Vigencia 2018 con Cuadro de Mando V6..xlsx]Plan de Accion 2018'!#REF!,Q338&lt;&gt;¨N/A¨))</xm:f>
            <x14:dxf>
              <fill>
                <patternFill>
                  <bgColor theme="1" tint="0.499984740745262"/>
                </patternFill>
              </fill>
            </x14:dxf>
          </x14:cfRule>
          <x14:cfRule type="expression" priority="51" stopIfTrue="1" id="{1F67E81B-8B9E-41D6-B56A-F2B7B48C17AF}">
            <xm:f>AND(IF(Q338='F:\Users\norela.briceno\Documents\Plan de acción\Plan Accion 2018\[Plan Accion Integrado ADRES Vigencia 2018 con Cuadro de Mando V6..xlsx]Plan de Accion 2018'!#REF!,Q338&lt;&gt;"N/A"))</xm:f>
            <x14:dxf>
              <fill>
                <patternFill>
                  <bgColor rgb="FF00B050"/>
                </patternFill>
              </fill>
            </x14:dxf>
          </x14:cfRule>
          <x14:cfRule type="expression" priority="52" stopIfTrue="1" id="{ED5BC70F-5F79-4A3D-9478-95F9797153F3}">
            <xm:f>AND(IF(Q338&lt;'F:\Users\norela.briceno\Documents\Plan de acción\Plan Accion 2018\[Plan Accion Integrado ADRES Vigencia 2018 con Cuadro de Mando V6..xlsx]Plan de Accion 2018'!#REF!,Q338&lt;&gt;"N/A"))</xm:f>
            <x14:dxf>
              <fill>
                <patternFill>
                  <bgColor indexed="10"/>
                </patternFill>
              </fill>
            </x14:dxf>
          </x14:cfRule>
          <xm:sqref>Q338</xm:sqref>
        </x14:conditionalFormatting>
        <x14:conditionalFormatting xmlns:xm="http://schemas.microsoft.com/office/excel/2006/main">
          <x14:cfRule type="expression" priority="47" id="{7547245C-38C8-43A1-A568-6C4E44BBB8A3}">
            <xm:f>AND(IF(X338&gt;'F:\Users\norela.briceno\Documents\Plan de acción\Plan Accion 2018\[Plan Accion Integrado ADRES Vigencia 2018 con Cuadro de Mando V6..xlsx]Plan de Accion 2018'!#REF!,X338&lt;&gt;¨N/A¨))</xm:f>
            <x14:dxf>
              <fill>
                <patternFill>
                  <bgColor theme="1" tint="0.499984740745262"/>
                </patternFill>
              </fill>
            </x14:dxf>
          </x14:cfRule>
          <x14:cfRule type="expression" priority="48" stopIfTrue="1" id="{8E152BB0-E4C4-4D52-A3E7-66CBECD57933}">
            <xm:f>AND(IF(X338='F:\Users\norela.briceno\Documents\Plan de acción\Plan Accion 2018\[Plan Accion Integrado ADRES Vigencia 2018 con Cuadro de Mando V6..xlsx]Plan de Accion 2018'!#REF!,X338&lt;&gt;"N/A"))</xm:f>
            <x14:dxf>
              <fill>
                <patternFill>
                  <bgColor rgb="FF00B050"/>
                </patternFill>
              </fill>
            </x14:dxf>
          </x14:cfRule>
          <x14:cfRule type="expression" priority="49" stopIfTrue="1" id="{9CCA5A68-A8D7-42AF-B3FC-EA29E2C86A4F}">
            <xm:f>AND(IF(X338&lt;'F:\Users\norela.briceno\Documents\Plan de acción\Plan Accion 2018\[Plan Accion Integrado ADRES Vigencia 2018 con Cuadro de Mando V6..xlsx]Plan de Accion 2018'!#REF!,X338&lt;&gt;"N/A"))</xm:f>
            <x14:dxf>
              <fill>
                <patternFill>
                  <bgColor indexed="10"/>
                </patternFill>
              </fill>
            </x14:dxf>
          </x14:cfRule>
          <xm:sqref>X338</xm:sqref>
        </x14:conditionalFormatting>
        <x14:conditionalFormatting xmlns:xm="http://schemas.microsoft.com/office/excel/2006/main">
          <x14:cfRule type="expression" priority="44" id="{1603CF81-F798-44BB-A1EF-41103772D496}">
            <xm:f>AND(IF(AE338&gt;'F:\Users\norela.briceno\Documents\Plan de acción\Plan Accion 2018\[Plan Accion Integrado ADRES Vigencia 2018 con Cuadro de Mando V6..xlsx]Plan de Accion 2018'!#REF!,AE338&lt;&gt;¨N/A¨))</xm:f>
            <x14:dxf>
              <fill>
                <patternFill>
                  <bgColor theme="1" tint="0.499984740745262"/>
                </patternFill>
              </fill>
            </x14:dxf>
          </x14:cfRule>
          <x14:cfRule type="expression" priority="45" stopIfTrue="1" id="{5599C34F-D546-4645-89D3-EAAEF7BFAB4F}">
            <xm:f>AND(IF(AE338='F:\Users\norela.briceno\Documents\Plan de acción\Plan Accion 2018\[Plan Accion Integrado ADRES Vigencia 2018 con Cuadro de Mando V6..xlsx]Plan de Accion 2018'!#REF!,AE338&lt;&gt;"N/A"))</xm:f>
            <x14:dxf>
              <fill>
                <patternFill>
                  <bgColor rgb="FF00B050"/>
                </patternFill>
              </fill>
            </x14:dxf>
          </x14:cfRule>
          <x14:cfRule type="expression" priority="46" stopIfTrue="1" id="{C43E3513-AE80-4AD0-8DCD-377768E275ED}">
            <xm:f>AND(IF(AE338&lt;'F:\Users\norela.briceno\Documents\Plan de acción\Plan Accion 2018\[Plan Accion Integrado ADRES Vigencia 2018 con Cuadro de Mando V6..xlsx]Plan de Accion 2018'!#REF!,AE338&lt;&gt;"N/A"))</xm:f>
            <x14:dxf>
              <fill>
                <patternFill>
                  <bgColor indexed="10"/>
                </patternFill>
              </fill>
            </x14:dxf>
          </x14:cfRule>
          <xm:sqref>AE338</xm:sqref>
        </x14:conditionalFormatting>
        <x14:conditionalFormatting xmlns:xm="http://schemas.microsoft.com/office/excel/2006/main">
          <x14:cfRule type="expression" priority="1" id="{6AFBBCAB-19FF-4980-8D55-AAB242D507A6}">
            <xm:f>AND(IF(J36&gt;'F:\Users\norela.briceno\Documents\Plan de acción\Plan Accion 2018\[Plan Accion Integrado ADRES Vigencia 2018 con Cuadro de Mando V6..xlsx]Plan de Accion 2018'!#REF!,J36&lt;&gt;¨N/A¨))</xm:f>
            <x14:dxf>
              <fill>
                <patternFill>
                  <bgColor theme="1" tint="0.499984740745262"/>
                </patternFill>
              </fill>
            </x14:dxf>
          </x14:cfRule>
          <x14:cfRule type="expression" priority="2" stopIfTrue="1" id="{A4E01B9E-9391-4180-9B12-680EC8ED5008}">
            <xm:f>AND(IF(J36='F:\Users\norela.briceno\Documents\Plan de acción\Plan Accion 2018\[Plan Accion Integrado ADRES Vigencia 2018 con Cuadro de Mando V6..xlsx]Plan de Accion 2018'!#REF!,J36&lt;&gt;"N/A"))</xm:f>
            <x14:dxf>
              <fill>
                <patternFill>
                  <bgColor rgb="FF00B050"/>
                </patternFill>
              </fill>
            </x14:dxf>
          </x14:cfRule>
          <x14:cfRule type="expression" priority="3" stopIfTrue="1" id="{7FB56252-170F-472F-BE22-FF4160C73165}">
            <xm:f>AND(IF(J36&lt;'F:\Users\norela.briceno\Documents\Plan de acción\Plan Accion 2018\[Plan Accion Integrado ADRES Vigencia 2018 con Cuadro de Mando V6..xlsx]Plan de Accion 2018'!#REF!,J36&lt;&gt;"N/A"))</xm:f>
            <x14:dxf>
              <fill>
                <patternFill>
                  <bgColor indexed="10"/>
                </patternFill>
              </fill>
            </x14:dxf>
          </x14:cfRule>
          <xm:sqref>J36:J38</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1EF0-7DAB-4198-823A-4ED1369DCC8C}">
  <dimension ref="A1:BH20"/>
  <sheetViews>
    <sheetView showGridLines="0" workbookViewId="0">
      <selection activeCell="O14" sqref="O14"/>
    </sheetView>
  </sheetViews>
  <sheetFormatPr baseColWidth="10" defaultRowHeight="15" x14ac:dyDescent="0.25"/>
  <cols>
    <col min="1" max="1" width="65.7109375" customWidth="1"/>
    <col min="2" max="2" width="2.28515625" customWidth="1"/>
    <col min="3" max="3" width="21.7109375" customWidth="1"/>
    <col min="4" max="8" width="3.28515625" customWidth="1"/>
    <col min="9" max="9" width="11.7109375" customWidth="1"/>
    <col min="10" max="14" width="3.28515625" customWidth="1"/>
    <col min="15" max="15" width="28.7109375" customWidth="1"/>
    <col min="16" max="16" width="2.7109375" hidden="1" customWidth="1"/>
    <col min="17" max="17" width="11.7109375" hidden="1" customWidth="1"/>
    <col min="18" max="22" width="3.28515625" hidden="1" customWidth="1"/>
    <col min="23" max="23" width="11.7109375" hidden="1" customWidth="1"/>
    <col min="24" max="28" width="3.28515625" hidden="1" customWidth="1"/>
    <col min="29" max="29" width="29.5703125" hidden="1" customWidth="1"/>
    <col min="30" max="30" width="3.140625" hidden="1" customWidth="1"/>
    <col min="31" max="31" width="11.7109375" hidden="1" customWidth="1"/>
    <col min="32" max="36" width="3.28515625" hidden="1" customWidth="1"/>
    <col min="37" max="37" width="11.7109375" hidden="1" customWidth="1"/>
    <col min="38" max="42" width="3.28515625" hidden="1" customWidth="1"/>
    <col min="43" max="43" width="28.5703125" hidden="1" customWidth="1"/>
    <col min="44" max="44" width="3.140625" hidden="1" customWidth="1"/>
    <col min="45" max="45" width="11.7109375" hidden="1" customWidth="1"/>
    <col min="46" max="50" width="3.28515625" hidden="1" customWidth="1"/>
    <col min="51" max="51" width="12.140625" hidden="1" customWidth="1"/>
    <col min="52" max="56" width="3.28515625" hidden="1" customWidth="1"/>
    <col min="57" max="57" width="28.5703125" hidden="1" customWidth="1"/>
  </cols>
  <sheetData>
    <row r="1" spans="1:60" ht="15" customHeight="1" x14ac:dyDescent="0.25">
      <c r="A1" s="1079"/>
      <c r="B1" s="1082" t="s">
        <v>248</v>
      </c>
      <c r="C1" s="1083"/>
      <c r="D1" s="1083"/>
      <c r="E1" s="1083"/>
      <c r="F1" s="1083"/>
      <c r="G1" s="1083"/>
      <c r="H1" s="1047"/>
      <c r="I1" s="1048" t="s">
        <v>249</v>
      </c>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9"/>
      <c r="AM1" s="1049"/>
      <c r="AN1" s="1049"/>
      <c r="AO1" s="1049"/>
      <c r="AP1" s="1049"/>
      <c r="AQ1" s="1049"/>
      <c r="AR1" s="1049"/>
      <c r="AS1" s="1084"/>
      <c r="AT1" s="1085"/>
      <c r="AU1" s="1085"/>
      <c r="AV1" s="1085"/>
      <c r="AW1" s="1085"/>
      <c r="AX1" s="1085"/>
      <c r="AY1" s="1085"/>
      <c r="AZ1" s="1085"/>
      <c r="BA1" s="1085"/>
      <c r="BB1" s="1085"/>
      <c r="BC1" s="1085"/>
      <c r="BD1" s="1086"/>
      <c r="BE1" s="19"/>
      <c r="BF1" s="19"/>
      <c r="BG1" s="19"/>
      <c r="BH1" s="19"/>
    </row>
    <row r="2" spans="1:60" ht="15" customHeight="1" x14ac:dyDescent="0.25">
      <c r="A2" s="1080"/>
      <c r="B2" s="1093" t="s">
        <v>250</v>
      </c>
      <c r="C2" s="1094"/>
      <c r="D2" s="1094"/>
      <c r="E2" s="1094"/>
      <c r="F2" s="1094"/>
      <c r="G2" s="1094"/>
      <c r="H2" s="1052"/>
      <c r="I2" s="1053" t="s">
        <v>211</v>
      </c>
      <c r="J2" s="1053"/>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4"/>
      <c r="AM2" s="1054"/>
      <c r="AN2" s="1054"/>
      <c r="AO2" s="1054"/>
      <c r="AP2" s="1054"/>
      <c r="AQ2" s="1054"/>
      <c r="AR2" s="1054"/>
      <c r="AS2" s="1087"/>
      <c r="AT2" s="1088"/>
      <c r="AU2" s="1088"/>
      <c r="AV2" s="1088"/>
      <c r="AW2" s="1088"/>
      <c r="AX2" s="1088"/>
      <c r="AY2" s="1088"/>
      <c r="AZ2" s="1088"/>
      <c r="BA2" s="1088"/>
      <c r="BB2" s="1088"/>
      <c r="BC2" s="1088"/>
      <c r="BD2" s="1089"/>
      <c r="BE2" s="19"/>
      <c r="BF2" s="19"/>
      <c r="BG2" s="19"/>
      <c r="BH2" s="19"/>
    </row>
    <row r="3" spans="1:60" ht="15.75" customHeight="1" thickBot="1" x14ac:dyDescent="0.3">
      <c r="A3" s="1081"/>
      <c r="B3" s="1095" t="s">
        <v>244</v>
      </c>
      <c r="C3" s="1062"/>
      <c r="D3" s="1062"/>
      <c r="E3" s="1062"/>
      <c r="F3" s="1062"/>
      <c r="G3" s="1062"/>
      <c r="H3" s="1057"/>
      <c r="I3" s="1059" t="s">
        <v>253</v>
      </c>
      <c r="J3" s="1062"/>
      <c r="K3" s="1062"/>
      <c r="L3" s="1062"/>
      <c r="M3" s="1062"/>
      <c r="N3" s="1057"/>
      <c r="O3" s="392"/>
      <c r="P3" s="1096" t="s">
        <v>226</v>
      </c>
      <c r="Q3" s="1097"/>
      <c r="R3" s="1097"/>
      <c r="S3" s="1097"/>
      <c r="T3" s="1097"/>
      <c r="U3" s="1097"/>
      <c r="V3" s="1097"/>
      <c r="W3" s="1097"/>
      <c r="X3" s="1097"/>
      <c r="Y3" s="1097"/>
      <c r="Z3" s="1097"/>
      <c r="AA3" s="1097"/>
      <c r="AB3" s="1097"/>
      <c r="AC3" s="1097"/>
      <c r="AD3" s="1097"/>
      <c r="AE3" s="1097"/>
      <c r="AF3" s="1097"/>
      <c r="AG3" s="1097"/>
      <c r="AH3" s="1097"/>
      <c r="AI3" s="1097"/>
      <c r="AJ3" s="1098"/>
      <c r="AK3" s="391" t="s">
        <v>251</v>
      </c>
      <c r="AL3" s="1059">
        <v>1</v>
      </c>
      <c r="AM3" s="1062"/>
      <c r="AN3" s="1062"/>
      <c r="AO3" s="1062"/>
      <c r="AP3" s="1062"/>
      <c r="AQ3" s="1062"/>
      <c r="AR3" s="1062"/>
      <c r="AS3" s="1090"/>
      <c r="AT3" s="1091"/>
      <c r="AU3" s="1091"/>
      <c r="AV3" s="1091"/>
      <c r="AW3" s="1091"/>
      <c r="AX3" s="1091"/>
      <c r="AY3" s="1091"/>
      <c r="AZ3" s="1091"/>
      <c r="BA3" s="1091"/>
      <c r="BB3" s="1091"/>
      <c r="BC3" s="1091"/>
      <c r="BD3" s="1092"/>
      <c r="BE3" s="19"/>
      <c r="BF3" s="19"/>
      <c r="BG3" s="19"/>
      <c r="BH3" s="19"/>
    </row>
    <row r="4" spans="1:60" ht="15.75" thickBot="1" x14ac:dyDescent="0.3"/>
    <row r="5" spans="1:60" ht="55.5" customHeight="1" thickBot="1" x14ac:dyDescent="0.3">
      <c r="A5" s="422" t="s">
        <v>205</v>
      </c>
      <c r="B5" s="423"/>
      <c r="C5" s="1104" t="s">
        <v>1305</v>
      </c>
      <c r="D5" s="1105"/>
      <c r="E5" s="1105"/>
      <c r="F5" s="1105"/>
      <c r="G5" s="1105"/>
      <c r="H5" s="1106"/>
      <c r="I5" s="1107" t="s">
        <v>1306</v>
      </c>
      <c r="J5" s="1103"/>
      <c r="K5" s="1103"/>
      <c r="L5" s="1103"/>
      <c r="M5" s="1103"/>
      <c r="N5" s="1103"/>
      <c r="O5" s="424" t="s">
        <v>1575</v>
      </c>
      <c r="P5" s="12"/>
      <c r="Q5" s="1104" t="s">
        <v>1308</v>
      </c>
      <c r="R5" s="1105"/>
      <c r="S5" s="1105"/>
      <c r="T5" s="1105"/>
      <c r="U5" s="1105"/>
      <c r="V5" s="1106"/>
      <c r="W5" s="1104" t="s">
        <v>1309</v>
      </c>
      <c r="X5" s="1105"/>
      <c r="Y5" s="1105"/>
      <c r="Z5" s="1105"/>
      <c r="AA5" s="1105"/>
      <c r="AB5" s="1106"/>
      <c r="AC5" s="424" t="s">
        <v>1307</v>
      </c>
      <c r="AD5" s="425"/>
      <c r="AE5" s="1104" t="s">
        <v>1310</v>
      </c>
      <c r="AF5" s="1105"/>
      <c r="AG5" s="1105"/>
      <c r="AH5" s="1105"/>
      <c r="AI5" s="1105"/>
      <c r="AJ5" s="1106"/>
      <c r="AK5" s="1107" t="s">
        <v>1311</v>
      </c>
      <c r="AL5" s="1103"/>
      <c r="AM5" s="1103"/>
      <c r="AN5" s="1103"/>
      <c r="AO5" s="1103"/>
      <c r="AP5" s="1103"/>
      <c r="AQ5" s="424" t="s">
        <v>1307</v>
      </c>
      <c r="AR5" s="425"/>
      <c r="AS5" s="1099" t="s">
        <v>1312</v>
      </c>
      <c r="AT5" s="1100"/>
      <c r="AU5" s="1100"/>
      <c r="AV5" s="1100"/>
      <c r="AW5" s="1100"/>
      <c r="AX5" s="1101"/>
      <c r="AY5" s="1102" t="s">
        <v>1313</v>
      </c>
      <c r="AZ5" s="1103"/>
      <c r="BA5" s="1103"/>
      <c r="BB5" s="1103"/>
      <c r="BC5" s="1103"/>
      <c r="BD5" s="1103"/>
      <c r="BE5" s="424" t="s">
        <v>1307</v>
      </c>
    </row>
    <row r="6" spans="1:60" ht="18" x14ac:dyDescent="0.25">
      <c r="A6" s="426" t="s">
        <v>227</v>
      </c>
      <c r="B6" s="423"/>
      <c r="C6" s="427">
        <f>+'Cuadro Mando Integral Detallado'!L127</f>
        <v>0.51721967727914364</v>
      </c>
      <c r="D6" s="428">
        <f>+C6</f>
        <v>0.51721967727914364</v>
      </c>
      <c r="E6" s="429">
        <f>+C6</f>
        <v>0.51721967727914364</v>
      </c>
      <c r="F6" s="429">
        <f>+C6</f>
        <v>0.51721967727914364</v>
      </c>
      <c r="G6" s="649">
        <f>+C6</f>
        <v>0.51721967727914364</v>
      </c>
      <c r="H6" s="430">
        <f>+C6</f>
        <v>0.51721967727914364</v>
      </c>
      <c r="I6" s="431">
        <f>+'Cuadro Mando Integral Detallado'!O127</f>
        <v>0.12684004697360549</v>
      </c>
      <c r="J6" s="643">
        <f>+I6</f>
        <v>0.12684004697360549</v>
      </c>
      <c r="K6" s="644">
        <f>+I6</f>
        <v>0.12684004697360549</v>
      </c>
      <c r="L6" s="644">
        <f>+I6</f>
        <v>0.12684004697360549</v>
      </c>
      <c r="M6" s="644">
        <f>+I6</f>
        <v>0.12684004697360549</v>
      </c>
      <c r="N6" s="645">
        <f>+I6</f>
        <v>0.12684004697360549</v>
      </c>
      <c r="O6" s="702">
        <f>1/109</f>
        <v>9.1743119266055051E-3</v>
      </c>
      <c r="P6" s="14"/>
      <c r="Q6" s="427">
        <f>+'Cuadro Mando Integral Detallado'!S127</f>
        <v>0</v>
      </c>
      <c r="R6" s="429">
        <f>+Q6</f>
        <v>0</v>
      </c>
      <c r="S6" s="429">
        <f>+Q6</f>
        <v>0</v>
      </c>
      <c r="T6" s="429">
        <f>+Q6</f>
        <v>0</v>
      </c>
      <c r="U6" s="429">
        <f>+Q6</f>
        <v>0</v>
      </c>
      <c r="V6" s="430">
        <f>+Q6</f>
        <v>0</v>
      </c>
      <c r="W6" s="436">
        <f>+'Cuadro Mando Integral Detallado'!V127</f>
        <v>8.8860654749490453E-2</v>
      </c>
      <c r="X6" s="432">
        <f>+W6</f>
        <v>8.8860654749490453E-2</v>
      </c>
      <c r="Y6" s="433">
        <f>+W6</f>
        <v>8.8860654749490453E-2</v>
      </c>
      <c r="Z6" s="433">
        <f>+W6</f>
        <v>8.8860654749490453E-2</v>
      </c>
      <c r="AA6" s="433">
        <f>+W6</f>
        <v>8.8860654749490453E-2</v>
      </c>
      <c r="AB6" s="437">
        <f>+W6</f>
        <v>8.8860654749490453E-2</v>
      </c>
      <c r="AC6" s="435"/>
      <c r="AD6" s="438"/>
      <c r="AE6" s="427">
        <f>+'Cuadro Mando Integral Detallado'!Z127</f>
        <v>0</v>
      </c>
      <c r="AF6" s="428">
        <f>+AE6</f>
        <v>0</v>
      </c>
      <c r="AG6" s="429">
        <f>+AE6</f>
        <v>0</v>
      </c>
      <c r="AH6" s="429">
        <f>+AE6</f>
        <v>0</v>
      </c>
      <c r="AI6" s="429">
        <f>+AE6</f>
        <v>0</v>
      </c>
      <c r="AJ6" s="430">
        <f>+AE6</f>
        <v>0</v>
      </c>
      <c r="AK6" s="427">
        <f>+'Cuadro Mando Integral Detallado'!AC127</f>
        <v>7.3650234352630684E-2</v>
      </c>
      <c r="AL6" s="439">
        <f>+AK6</f>
        <v>7.3650234352630684E-2</v>
      </c>
      <c r="AM6" s="433">
        <f>+AK6</f>
        <v>7.3650234352630684E-2</v>
      </c>
      <c r="AN6" s="433">
        <f>+AK6</f>
        <v>7.3650234352630684E-2</v>
      </c>
      <c r="AO6" s="433">
        <f>+AK6</f>
        <v>7.3650234352630684E-2</v>
      </c>
      <c r="AP6" s="434">
        <f>+AK6</f>
        <v>7.3650234352630684E-2</v>
      </c>
      <c r="AQ6" s="440"/>
      <c r="AR6" s="438"/>
      <c r="AS6" s="427">
        <f>+'Cuadro Mando Integral Detallado'!AG127</f>
        <v>0</v>
      </c>
      <c r="AT6" s="428">
        <f>+AS6</f>
        <v>0</v>
      </c>
      <c r="AU6" s="429">
        <f>+AS6</f>
        <v>0</v>
      </c>
      <c r="AV6" s="429">
        <f>+AS6</f>
        <v>0</v>
      </c>
      <c r="AW6" s="429">
        <f>+AS6</f>
        <v>0</v>
      </c>
      <c r="AX6" s="430">
        <f>+AS6</f>
        <v>0</v>
      </c>
      <c r="AY6" s="436">
        <f>+'Cuadro Mando Integral Detallado'!AI127</f>
        <v>5.9840815411512427E-2</v>
      </c>
      <c r="AZ6" s="439">
        <f>+AY6</f>
        <v>5.9840815411512427E-2</v>
      </c>
      <c r="BA6" s="433">
        <f>+AY6</f>
        <v>5.9840815411512427E-2</v>
      </c>
      <c r="BB6" s="433">
        <f>+AY6</f>
        <v>5.9840815411512427E-2</v>
      </c>
      <c r="BC6" s="433">
        <f>+AY6</f>
        <v>5.9840815411512427E-2</v>
      </c>
      <c r="BD6" s="434">
        <f>+AY6</f>
        <v>5.9840815411512427E-2</v>
      </c>
      <c r="BE6" s="435"/>
    </row>
    <row r="7" spans="1:60" ht="18" x14ac:dyDescent="0.25">
      <c r="A7" s="441" t="s">
        <v>228</v>
      </c>
      <c r="B7" s="423"/>
      <c r="C7" s="442">
        <f>+'Cuadro Mando Integral Detallado'!L192</f>
        <v>0.92512577569127219</v>
      </c>
      <c r="D7" s="443">
        <f>+C7</f>
        <v>0.92512577569127219</v>
      </c>
      <c r="E7" s="444">
        <f>+C7</f>
        <v>0.92512577569127219</v>
      </c>
      <c r="F7" s="444">
        <f>+C7</f>
        <v>0.92512577569127219</v>
      </c>
      <c r="G7" s="444">
        <f>+C7</f>
        <v>0.92512577569127219</v>
      </c>
      <c r="H7" s="445">
        <f>+C7</f>
        <v>0.92512577569127219</v>
      </c>
      <c r="I7" s="446">
        <f>+'Cuadro Mando Integral Detallado'!O192</f>
        <v>0.34173562233484528</v>
      </c>
      <c r="J7" s="447">
        <f>+I7</f>
        <v>0.34173562233484528</v>
      </c>
      <c r="K7" s="448">
        <f>+I7</f>
        <v>0.34173562233484528</v>
      </c>
      <c r="L7" s="448">
        <f>+I7</f>
        <v>0.34173562233484528</v>
      </c>
      <c r="M7" s="448">
        <f>+I7</f>
        <v>0.34173562233484528</v>
      </c>
      <c r="N7" s="449">
        <f>+I7</f>
        <v>0.34173562233484528</v>
      </c>
      <c r="O7" s="703">
        <v>1.6129032258064516E-2</v>
      </c>
      <c r="P7" s="15"/>
      <c r="Q7" s="442" t="e">
        <f>+'Cuadro Mando Integral Detallado'!S192</f>
        <v>#VALUE!</v>
      </c>
      <c r="R7" s="444" t="e">
        <f>+Q7</f>
        <v>#VALUE!</v>
      </c>
      <c r="S7" s="444" t="e">
        <f>+Q7</f>
        <v>#VALUE!</v>
      </c>
      <c r="T7" s="444" t="e">
        <f>+Q7</f>
        <v>#VALUE!</v>
      </c>
      <c r="U7" s="444" t="e">
        <f>+Q7</f>
        <v>#VALUE!</v>
      </c>
      <c r="V7" s="445" t="e">
        <f>+Q7</f>
        <v>#VALUE!</v>
      </c>
      <c r="W7" s="451" t="e">
        <f>+'Cuadro Mando Integral Detallado'!V192</f>
        <v>#VALUE!</v>
      </c>
      <c r="X7" s="447" t="e">
        <f>+W7</f>
        <v>#VALUE!</v>
      </c>
      <c r="Y7" s="448" t="e">
        <f>+W7</f>
        <v>#VALUE!</v>
      </c>
      <c r="Z7" s="448" t="e">
        <f>+W7</f>
        <v>#VALUE!</v>
      </c>
      <c r="AA7" s="448" t="e">
        <f>+W7</f>
        <v>#VALUE!</v>
      </c>
      <c r="AB7" s="452" t="e">
        <f>+W7</f>
        <v>#VALUE!</v>
      </c>
      <c r="AC7" s="450"/>
      <c r="AD7" s="438"/>
      <c r="AE7" s="442" t="e">
        <f>+'Cuadro Mando Integral Detallado'!Z192</f>
        <v>#VALUE!</v>
      </c>
      <c r="AF7" s="443" t="e">
        <f>+AE7</f>
        <v>#VALUE!</v>
      </c>
      <c r="AG7" s="444" t="e">
        <f>+AE7</f>
        <v>#VALUE!</v>
      </c>
      <c r="AH7" s="444" t="e">
        <f>+AE7</f>
        <v>#VALUE!</v>
      </c>
      <c r="AI7" s="444" t="e">
        <f>+AE7</f>
        <v>#VALUE!</v>
      </c>
      <c r="AJ7" s="445" t="e">
        <f>+AE7</f>
        <v>#VALUE!</v>
      </c>
      <c r="AK7" s="442" t="e">
        <f>+'Cuadro Mando Integral Detallado'!AC192</f>
        <v>#VALUE!</v>
      </c>
      <c r="AL7" s="453" t="e">
        <f>+AK7</f>
        <v>#VALUE!</v>
      </c>
      <c r="AM7" s="448" t="e">
        <f>+AK7</f>
        <v>#VALUE!</v>
      </c>
      <c r="AN7" s="448" t="e">
        <f>+AK7</f>
        <v>#VALUE!</v>
      </c>
      <c r="AO7" s="448" t="e">
        <f>+AK7</f>
        <v>#VALUE!</v>
      </c>
      <c r="AP7" s="449" t="e">
        <f>+AK7</f>
        <v>#VALUE!</v>
      </c>
      <c r="AQ7" s="454"/>
      <c r="AR7" s="438"/>
      <c r="AS7" s="442" t="e">
        <f>+'Cuadro Mando Integral Detallado'!AA192</f>
        <v>#VALUE!</v>
      </c>
      <c r="AT7" s="443" t="e">
        <f>+AS7</f>
        <v>#VALUE!</v>
      </c>
      <c r="AU7" s="444" t="e">
        <f>+AS7</f>
        <v>#VALUE!</v>
      </c>
      <c r="AV7" s="444" t="e">
        <f>+AS7</f>
        <v>#VALUE!</v>
      </c>
      <c r="AW7" s="444" t="e">
        <f>+AS7</f>
        <v>#VALUE!</v>
      </c>
      <c r="AX7" s="445" t="e">
        <f>+AS7</f>
        <v>#VALUE!</v>
      </c>
      <c r="AY7" s="451" t="e">
        <f>+'Cuadro Mando Integral Detallado'!AI192</f>
        <v>#VALUE!</v>
      </c>
      <c r="AZ7" s="453" t="e">
        <f>+AY7</f>
        <v>#VALUE!</v>
      </c>
      <c r="BA7" s="448" t="e">
        <f>+AY7</f>
        <v>#VALUE!</v>
      </c>
      <c r="BB7" s="448" t="e">
        <f>+AY7</f>
        <v>#VALUE!</v>
      </c>
      <c r="BC7" s="448" t="e">
        <f>+AY7</f>
        <v>#VALUE!</v>
      </c>
      <c r="BD7" s="449" t="e">
        <f>+AY7</f>
        <v>#VALUE!</v>
      </c>
      <c r="BE7" s="450"/>
    </row>
    <row r="8" spans="1:60" ht="18" x14ac:dyDescent="0.25">
      <c r="A8" s="441" t="s">
        <v>229</v>
      </c>
      <c r="B8" s="423"/>
      <c r="C8" s="442">
        <f>+'Cuadro Mando Integral Detallado'!L288</f>
        <v>0.72588372279882019</v>
      </c>
      <c r="D8" s="443">
        <f>+C8</f>
        <v>0.72588372279882019</v>
      </c>
      <c r="E8" s="444">
        <f>+C8</f>
        <v>0.72588372279882019</v>
      </c>
      <c r="F8" s="444">
        <f>+C8</f>
        <v>0.72588372279882019</v>
      </c>
      <c r="G8" s="444">
        <f>+C8</f>
        <v>0.72588372279882019</v>
      </c>
      <c r="H8" s="445">
        <f>+C8</f>
        <v>0.72588372279882019</v>
      </c>
      <c r="I8" s="446">
        <f>+'Cuadro Mando Integral Detallado'!O288</f>
        <v>0.30160841701095487</v>
      </c>
      <c r="J8" s="646">
        <f>+I8</f>
        <v>0.30160841701095487</v>
      </c>
      <c r="K8" s="647">
        <f>+I8</f>
        <v>0.30160841701095487</v>
      </c>
      <c r="L8" s="647">
        <f>+I8</f>
        <v>0.30160841701095487</v>
      </c>
      <c r="M8" s="647">
        <f>+I8</f>
        <v>0.30160841701095487</v>
      </c>
      <c r="N8" s="648">
        <f>+I8</f>
        <v>0.30160841701095487</v>
      </c>
      <c r="O8" s="703">
        <v>0</v>
      </c>
      <c r="P8" s="15"/>
      <c r="Q8" s="442">
        <f>+'Cuadro Mando Integral Detallado'!S288</f>
        <v>0</v>
      </c>
      <c r="R8" s="444">
        <f>+Q8</f>
        <v>0</v>
      </c>
      <c r="S8" s="444">
        <f>+Q8</f>
        <v>0</v>
      </c>
      <c r="T8" s="444">
        <f>+Q8</f>
        <v>0</v>
      </c>
      <c r="U8" s="444">
        <f>+Q8</f>
        <v>0</v>
      </c>
      <c r="V8" s="445">
        <f>+Q8</f>
        <v>0</v>
      </c>
      <c r="W8" s="451" t="e">
        <f>+'Cuadro Mando Integral Detallado'!V288</f>
        <v>#DIV/0!</v>
      </c>
      <c r="X8" s="447" t="e">
        <f>+W8</f>
        <v>#DIV/0!</v>
      </c>
      <c r="Y8" s="448" t="e">
        <f>+W8</f>
        <v>#DIV/0!</v>
      </c>
      <c r="Z8" s="448" t="e">
        <f>+W8</f>
        <v>#DIV/0!</v>
      </c>
      <c r="AA8" s="448" t="e">
        <f>+W8</f>
        <v>#DIV/0!</v>
      </c>
      <c r="AB8" s="452" t="e">
        <f>+W8</f>
        <v>#DIV/0!</v>
      </c>
      <c r="AC8" s="450"/>
      <c r="AD8" s="438"/>
      <c r="AE8" s="442">
        <f>+'Cuadro Mando Integral Detallado'!Z288</f>
        <v>0</v>
      </c>
      <c r="AF8" s="443">
        <f>+AE8</f>
        <v>0</v>
      </c>
      <c r="AG8" s="444">
        <f>+AE8</f>
        <v>0</v>
      </c>
      <c r="AH8" s="444">
        <f>+AE8</f>
        <v>0</v>
      </c>
      <c r="AI8" s="444">
        <f>+AE8</f>
        <v>0</v>
      </c>
      <c r="AJ8" s="445">
        <f>+AE8</f>
        <v>0</v>
      </c>
      <c r="AK8" s="442" t="e">
        <f>+'Cuadro Mando Integral Detallado'!AC288</f>
        <v>#DIV/0!</v>
      </c>
      <c r="AL8" s="453" t="e">
        <f>+AK8</f>
        <v>#DIV/0!</v>
      </c>
      <c r="AM8" s="448" t="e">
        <f>+AK8</f>
        <v>#DIV/0!</v>
      </c>
      <c r="AN8" s="448" t="e">
        <f>+AK8</f>
        <v>#DIV/0!</v>
      </c>
      <c r="AO8" s="448" t="e">
        <f>+AK8</f>
        <v>#DIV/0!</v>
      </c>
      <c r="AP8" s="449" t="e">
        <f>+AK8</f>
        <v>#DIV/0!</v>
      </c>
      <c r="AQ8" s="454"/>
      <c r="AR8" s="438"/>
      <c r="AS8" s="442">
        <f>+'Cuadro Mando Integral Detallado'!AG288</f>
        <v>0</v>
      </c>
      <c r="AT8" s="443">
        <f>+AS8</f>
        <v>0</v>
      </c>
      <c r="AU8" s="444">
        <f>+AS8</f>
        <v>0</v>
      </c>
      <c r="AV8" s="444">
        <f>+AS8</f>
        <v>0</v>
      </c>
      <c r="AW8" s="444">
        <f>+AS8</f>
        <v>0</v>
      </c>
      <c r="AX8" s="445">
        <f>+AS8</f>
        <v>0</v>
      </c>
      <c r="AY8" s="451" t="e">
        <f>+'Cuadro Mando Integral Detallado'!AI288</f>
        <v>#DIV/0!</v>
      </c>
      <c r="AZ8" s="453" t="e">
        <f>+AY8</f>
        <v>#DIV/0!</v>
      </c>
      <c r="BA8" s="448" t="e">
        <f>+AY8</f>
        <v>#DIV/0!</v>
      </c>
      <c r="BB8" s="448" t="e">
        <f>+AY8</f>
        <v>#DIV/0!</v>
      </c>
      <c r="BC8" s="448" t="e">
        <f>+AY8</f>
        <v>#DIV/0!</v>
      </c>
      <c r="BD8" s="449" t="e">
        <f>+AY8</f>
        <v>#DIV/0!</v>
      </c>
      <c r="BE8" s="450"/>
    </row>
    <row r="9" spans="1:60" ht="18.75" thickBot="1" x14ac:dyDescent="0.3">
      <c r="A9" s="455" t="s">
        <v>230</v>
      </c>
      <c r="B9" s="423"/>
      <c r="C9" s="456">
        <f>+'Cuadro Mando Integral Detallado'!L342</f>
        <v>0.80555555555555558</v>
      </c>
      <c r="D9" s="457">
        <f>+C9</f>
        <v>0.80555555555555558</v>
      </c>
      <c r="E9" s="458">
        <f>+C9</f>
        <v>0.80555555555555558</v>
      </c>
      <c r="F9" s="458">
        <f>+C9</f>
        <v>0.80555555555555558</v>
      </c>
      <c r="G9" s="458">
        <f>+C9</f>
        <v>0.80555555555555558</v>
      </c>
      <c r="H9" s="459">
        <f>+C9</f>
        <v>0.80555555555555558</v>
      </c>
      <c r="I9" s="460">
        <f>+'Cuadro Mando Integral Detallado'!O342</f>
        <v>0.37731481481481477</v>
      </c>
      <c r="J9" s="461">
        <f>+I9</f>
        <v>0.37731481481481477</v>
      </c>
      <c r="K9" s="462">
        <f>+I9</f>
        <v>0.37731481481481477</v>
      </c>
      <c r="L9" s="462">
        <f>+I9</f>
        <v>0.37731481481481477</v>
      </c>
      <c r="M9" s="462">
        <f>+I9</f>
        <v>0.37731481481481477</v>
      </c>
      <c r="N9" s="463">
        <f>+I9</f>
        <v>0.37731481481481477</v>
      </c>
      <c r="O9" s="705">
        <v>0</v>
      </c>
      <c r="P9" s="15"/>
      <c r="Q9" s="456">
        <f>+'Cuadro Mando Integral Detallado'!S342</f>
        <v>0</v>
      </c>
      <c r="R9" s="458">
        <f>+Q9</f>
        <v>0</v>
      </c>
      <c r="S9" s="458">
        <f>+Q9</f>
        <v>0</v>
      </c>
      <c r="T9" s="458">
        <f>+Q9</f>
        <v>0</v>
      </c>
      <c r="U9" s="458">
        <f>+Q9</f>
        <v>0</v>
      </c>
      <c r="V9" s="459">
        <f>+Q9</f>
        <v>0</v>
      </c>
      <c r="W9" s="465">
        <f>+'Cuadro Mando Integral Detallado'!V342</f>
        <v>0.11709770114942528</v>
      </c>
      <c r="X9" s="461">
        <f>+W9</f>
        <v>0.11709770114942528</v>
      </c>
      <c r="Y9" s="462">
        <f>+W9</f>
        <v>0.11709770114942528</v>
      </c>
      <c r="Z9" s="462">
        <f>+W9</f>
        <v>0.11709770114942528</v>
      </c>
      <c r="AA9" s="462">
        <f>+W9</f>
        <v>0.11709770114942528</v>
      </c>
      <c r="AB9" s="466">
        <f>+W9</f>
        <v>0.11709770114942528</v>
      </c>
      <c r="AC9" s="464"/>
      <c r="AD9" s="438"/>
      <c r="AE9" s="442">
        <f>+'Cuadro Mando Integral Detallado'!Z342</f>
        <v>0</v>
      </c>
      <c r="AF9" s="457">
        <f>+AE9</f>
        <v>0</v>
      </c>
      <c r="AG9" s="458">
        <f>+AE9</f>
        <v>0</v>
      </c>
      <c r="AH9" s="458">
        <f>+AE9</f>
        <v>0</v>
      </c>
      <c r="AI9" s="458">
        <f>+AE9</f>
        <v>0</v>
      </c>
      <c r="AJ9" s="459">
        <f>+AE9</f>
        <v>0</v>
      </c>
      <c r="AK9" s="456">
        <f>+'Cuadro Mando Integral Detallado'!AC342</f>
        <v>8.0853174603174593E-2</v>
      </c>
      <c r="AL9" s="467">
        <f>+AK9</f>
        <v>8.0853174603174593E-2</v>
      </c>
      <c r="AM9" s="462">
        <f>+AK9</f>
        <v>8.0853174603174593E-2</v>
      </c>
      <c r="AN9" s="462">
        <f>+AK9</f>
        <v>8.0853174603174593E-2</v>
      </c>
      <c r="AO9" s="462">
        <f>+AK9</f>
        <v>8.0853174603174593E-2</v>
      </c>
      <c r="AP9" s="463">
        <f>+AK9</f>
        <v>8.0853174603174593E-2</v>
      </c>
      <c r="AQ9" s="468"/>
      <c r="AR9" s="438"/>
      <c r="AS9" s="456">
        <f>+'Cuadro Mando Integral Detallado'!AG342</f>
        <v>0</v>
      </c>
      <c r="AT9" s="457">
        <f>+AS9</f>
        <v>0</v>
      </c>
      <c r="AU9" s="458">
        <f>+AS9</f>
        <v>0</v>
      </c>
      <c r="AV9" s="458">
        <f>+AS9</f>
        <v>0</v>
      </c>
      <c r="AW9" s="458">
        <f>+AS9</f>
        <v>0</v>
      </c>
      <c r="AX9" s="459">
        <f>+AS9</f>
        <v>0</v>
      </c>
      <c r="AY9" s="465">
        <f>+'Cuadro Mando Integral Detallado'!AI342</f>
        <v>6.4072327044025157E-2</v>
      </c>
      <c r="AZ9" s="467">
        <f>+AY9</f>
        <v>6.4072327044025157E-2</v>
      </c>
      <c r="BA9" s="462">
        <f>+AY9</f>
        <v>6.4072327044025157E-2</v>
      </c>
      <c r="BB9" s="462">
        <f>+AY9</f>
        <v>6.4072327044025157E-2</v>
      </c>
      <c r="BC9" s="462">
        <f>+AY9</f>
        <v>6.4072327044025157E-2</v>
      </c>
      <c r="BD9" s="463">
        <f>+AY9</f>
        <v>6.4072327044025157E-2</v>
      </c>
      <c r="BE9" s="464"/>
    </row>
    <row r="10" spans="1:60" ht="11.25" customHeight="1" thickBot="1" x14ac:dyDescent="0.3">
      <c r="A10" s="469"/>
      <c r="B10" s="423"/>
      <c r="O10" s="470"/>
      <c r="Q10" s="59"/>
      <c r="R10" s="59"/>
      <c r="S10" s="59"/>
      <c r="T10" s="59"/>
      <c r="U10" s="59"/>
      <c r="V10" s="59"/>
      <c r="W10" s="59"/>
      <c r="AC10" s="470"/>
      <c r="AD10" s="59"/>
      <c r="AE10" s="388"/>
      <c r="AF10" s="31"/>
      <c r="AG10" s="31"/>
      <c r="AH10" s="31"/>
      <c r="AI10" s="31"/>
      <c r="AJ10" s="31"/>
      <c r="AK10" s="388"/>
      <c r="AL10" s="471"/>
      <c r="AM10" s="471"/>
      <c r="AN10" s="471"/>
      <c r="AO10" s="471"/>
      <c r="AP10" s="471"/>
      <c r="AQ10" s="472"/>
      <c r="AR10" s="59"/>
      <c r="AS10" s="59"/>
      <c r="AY10" s="59"/>
      <c r="AZ10" s="387"/>
      <c r="BE10" s="471"/>
    </row>
    <row r="11" spans="1:60" ht="18.75" thickBot="1" x14ac:dyDescent="0.3">
      <c r="A11" s="473" t="s">
        <v>1314</v>
      </c>
      <c r="B11" s="425"/>
      <c r="C11" s="474">
        <f>+'Cuadro Mando Integral Detallado'!L343</f>
        <v>0.74344618283119779</v>
      </c>
      <c r="D11" s="485">
        <f>+C11</f>
        <v>0.74344618283119779</v>
      </c>
      <c r="E11" s="476">
        <f>+C11</f>
        <v>0.74344618283119779</v>
      </c>
      <c r="F11" s="476">
        <f>+C11</f>
        <v>0.74344618283119779</v>
      </c>
      <c r="G11" s="476">
        <f>+C11</f>
        <v>0.74344618283119779</v>
      </c>
      <c r="H11" s="477">
        <f>+C11</f>
        <v>0.74344618283119779</v>
      </c>
      <c r="I11" s="478">
        <f>+'Cuadro Mando Integral Detallado'!O343</f>
        <v>0.28687472528355507</v>
      </c>
      <c r="J11" s="479">
        <f>+I11</f>
        <v>0.28687472528355507</v>
      </c>
      <c r="K11" s="480">
        <f>+I11</f>
        <v>0.28687472528355507</v>
      </c>
      <c r="L11" s="480">
        <f>+I11</f>
        <v>0.28687472528355507</v>
      </c>
      <c r="M11" s="480">
        <f>+I11</f>
        <v>0.28687472528355507</v>
      </c>
      <c r="N11" s="481">
        <f>+I11</f>
        <v>0.28687472528355507</v>
      </c>
      <c r="O11" s="704">
        <f>2/(109+62+91+53)</f>
        <v>6.3492063492063492E-3</v>
      </c>
      <c r="P11" s="16"/>
      <c r="Q11" s="474" t="e">
        <f>+'Cuadro Mando Integral Detallado'!S343</f>
        <v>#VALUE!</v>
      </c>
      <c r="R11" s="475" t="e">
        <f>+Q11</f>
        <v>#VALUE!</v>
      </c>
      <c r="S11" s="476" t="e">
        <f>+Q11</f>
        <v>#VALUE!</v>
      </c>
      <c r="T11" s="476" t="e">
        <f>+Q11</f>
        <v>#VALUE!</v>
      </c>
      <c r="U11" s="476" t="e">
        <f>+Q11</f>
        <v>#VALUE!</v>
      </c>
      <c r="V11" s="477" t="e">
        <f>+Q11</f>
        <v>#VALUE!</v>
      </c>
      <c r="W11" s="482" t="e">
        <f>+'Cuadro Mando Integral Detallado'!V343</f>
        <v>#VALUE!</v>
      </c>
      <c r="X11" s="479" t="e">
        <f>+W11</f>
        <v>#VALUE!</v>
      </c>
      <c r="Y11" s="480" t="e">
        <f>+W11</f>
        <v>#VALUE!</v>
      </c>
      <c r="Z11" s="480" t="e">
        <f>+W11</f>
        <v>#VALUE!</v>
      </c>
      <c r="AA11" s="480" t="e">
        <f>+W11</f>
        <v>#VALUE!</v>
      </c>
      <c r="AB11" s="481" t="e">
        <f>+W11</f>
        <v>#VALUE!</v>
      </c>
      <c r="AC11" s="478"/>
      <c r="AD11" s="483"/>
      <c r="AE11" s="474" t="e">
        <f>+'Cuadro Mando Integral Detallado'!Z343</f>
        <v>#VALUE!</v>
      </c>
      <c r="AF11" s="475" t="e">
        <f>+AE11</f>
        <v>#VALUE!</v>
      </c>
      <c r="AG11" s="476" t="e">
        <f>+AE11</f>
        <v>#VALUE!</v>
      </c>
      <c r="AH11" s="476" t="e">
        <f>+AE11</f>
        <v>#VALUE!</v>
      </c>
      <c r="AI11" s="476" t="e">
        <f>+AE11</f>
        <v>#VALUE!</v>
      </c>
      <c r="AJ11" s="477" t="e">
        <f>+AE11</f>
        <v>#VALUE!</v>
      </c>
      <c r="AK11" s="482" t="e">
        <f>+'Cuadro Mando Integral Detallado'!AC343</f>
        <v>#VALUE!</v>
      </c>
      <c r="AL11" s="485" t="e">
        <f>+AK11</f>
        <v>#VALUE!</v>
      </c>
      <c r="AM11" s="480" t="e">
        <f>+AK11</f>
        <v>#VALUE!</v>
      </c>
      <c r="AN11" s="480" t="e">
        <f>+AK11</f>
        <v>#VALUE!</v>
      </c>
      <c r="AO11" s="480" t="e">
        <f>+AK11</f>
        <v>#VALUE!</v>
      </c>
      <c r="AP11" s="481" t="e">
        <f>+AK11</f>
        <v>#VALUE!</v>
      </c>
      <c r="AQ11" s="486"/>
      <c r="AR11" s="483"/>
      <c r="AS11" s="474" t="e">
        <f>+'Cuadro Mando Integral Detallado'!AF343</f>
        <v>#VALUE!</v>
      </c>
      <c r="AT11" s="475" t="e">
        <f>+AS11</f>
        <v>#VALUE!</v>
      </c>
      <c r="AU11" s="476" t="e">
        <f>+AS11</f>
        <v>#VALUE!</v>
      </c>
      <c r="AV11" s="476" t="e">
        <f>+AS11</f>
        <v>#VALUE!</v>
      </c>
      <c r="AW11" s="476" t="e">
        <f>+AS11</f>
        <v>#VALUE!</v>
      </c>
      <c r="AX11" s="477" t="e">
        <f>+AS11</f>
        <v>#VALUE!</v>
      </c>
      <c r="AY11" s="482" t="e">
        <f>+'Cuadro Mando Integral Detallado'!AI343</f>
        <v>#VALUE!</v>
      </c>
      <c r="AZ11" s="485" t="e">
        <f>+AY11</f>
        <v>#VALUE!</v>
      </c>
      <c r="BA11" s="480" t="e">
        <f>+AY11</f>
        <v>#VALUE!</v>
      </c>
      <c r="BB11" s="480" t="e">
        <f>+AY11</f>
        <v>#VALUE!</v>
      </c>
      <c r="BC11" s="480" t="e">
        <f>+AY11</f>
        <v>#VALUE!</v>
      </c>
      <c r="BD11" s="481" t="e">
        <f>+AY11</f>
        <v>#VALUE!</v>
      </c>
      <c r="BE11" s="478"/>
    </row>
    <row r="12" spans="1:60" ht="8.25" customHeight="1" thickBot="1" x14ac:dyDescent="0.3">
      <c r="AC12" s="470"/>
    </row>
    <row r="13" spans="1:60" ht="18.75" thickBot="1" x14ac:dyDescent="0.3">
      <c r="A13" s="473" t="s">
        <v>1315</v>
      </c>
      <c r="C13" s="474">
        <f>+'Cuadro Mando Integral Detallado'!L345</f>
        <v>0.80165593233956356</v>
      </c>
      <c r="D13" s="475">
        <f>+C13</f>
        <v>0.80165593233956356</v>
      </c>
      <c r="E13" s="476">
        <f>+C13</f>
        <v>0.80165593233956356</v>
      </c>
      <c r="F13" s="476">
        <f>+C13</f>
        <v>0.80165593233956356</v>
      </c>
      <c r="G13" s="476">
        <f>+C13</f>
        <v>0.80165593233956356</v>
      </c>
      <c r="H13" s="477">
        <f>+C13</f>
        <v>0.80165593233956356</v>
      </c>
      <c r="I13" s="478">
        <f>+'Cuadro Mando Integral Detallado'!O345</f>
        <v>0.32616788036975108</v>
      </c>
      <c r="J13" s="479">
        <f>+I13</f>
        <v>0.32616788036975108</v>
      </c>
      <c r="K13" s="480">
        <f>+I13</f>
        <v>0.32616788036975108</v>
      </c>
      <c r="L13" s="480">
        <f>+I13</f>
        <v>0.32616788036975108</v>
      </c>
      <c r="M13" s="480">
        <f>+I13</f>
        <v>0.32616788036975108</v>
      </c>
      <c r="N13" s="481">
        <f>+I13</f>
        <v>0.32616788036975108</v>
      </c>
      <c r="O13" s="487"/>
      <c r="P13" s="16"/>
      <c r="Q13" s="474" t="e">
        <f>+'Cuadro Mando Integral Detallado'!S345</f>
        <v>#VALUE!</v>
      </c>
      <c r="R13" s="475" t="e">
        <f>+Q13</f>
        <v>#VALUE!</v>
      </c>
      <c r="S13" s="476" t="e">
        <f>+Q13</f>
        <v>#VALUE!</v>
      </c>
      <c r="T13" s="476" t="e">
        <f>+Q13</f>
        <v>#VALUE!</v>
      </c>
      <c r="U13" s="476" t="e">
        <f>+Q13</f>
        <v>#VALUE!</v>
      </c>
      <c r="V13" s="477" t="e">
        <f>+Q13</f>
        <v>#VALUE!</v>
      </c>
      <c r="W13" s="484" t="e">
        <f>+'Cuadro Mando Integral Detallado'!V345</f>
        <v>#VALUE!</v>
      </c>
      <c r="X13" s="479" t="e">
        <f>+W13</f>
        <v>#VALUE!</v>
      </c>
      <c r="Y13" s="480" t="e">
        <f>+W13</f>
        <v>#VALUE!</v>
      </c>
      <c r="Z13" s="480" t="e">
        <f>+W13</f>
        <v>#VALUE!</v>
      </c>
      <c r="AA13" s="480" t="e">
        <f>+W13</f>
        <v>#VALUE!</v>
      </c>
      <c r="AB13" s="481" t="e">
        <f>+W13</f>
        <v>#VALUE!</v>
      </c>
      <c r="AC13" s="488"/>
      <c r="AD13" s="483"/>
      <c r="AE13" s="474" t="e">
        <f>+'Cuadro Mando Integral Detallado'!Z345</f>
        <v>#VALUE!</v>
      </c>
      <c r="AF13" s="475" t="e">
        <f>+AE13</f>
        <v>#VALUE!</v>
      </c>
      <c r="AG13" s="476" t="e">
        <f>+AE13</f>
        <v>#VALUE!</v>
      </c>
      <c r="AH13" s="476" t="e">
        <f>+AE13</f>
        <v>#VALUE!</v>
      </c>
      <c r="AI13" s="476" t="e">
        <f>+AE13</f>
        <v>#VALUE!</v>
      </c>
      <c r="AJ13" s="477" t="e">
        <f>+AE13</f>
        <v>#VALUE!</v>
      </c>
      <c r="AK13" s="482" t="e">
        <f>+'Cuadro Mando Integral Detallado'!AC345</f>
        <v>#VALUE!</v>
      </c>
      <c r="AL13" s="467" t="e">
        <f>+AK13</f>
        <v>#VALUE!</v>
      </c>
      <c r="AM13" s="462" t="e">
        <f>+AK13</f>
        <v>#VALUE!</v>
      </c>
      <c r="AN13" s="462" t="e">
        <f>+AK13</f>
        <v>#VALUE!</v>
      </c>
      <c r="AO13" s="462" t="e">
        <f>+AK13</f>
        <v>#VALUE!</v>
      </c>
      <c r="AP13" s="463" t="e">
        <f>+AK13</f>
        <v>#VALUE!</v>
      </c>
      <c r="AQ13" s="487"/>
      <c r="AR13" s="483"/>
      <c r="AS13" s="474" t="e">
        <f>+'Cuadro Mando Integral Detallado'!AG345</f>
        <v>#VALUE!</v>
      </c>
      <c r="AT13" s="475" t="e">
        <f>+AS13</f>
        <v>#VALUE!</v>
      </c>
      <c r="AU13" s="476" t="e">
        <f>+AS13</f>
        <v>#VALUE!</v>
      </c>
      <c r="AV13" s="476" t="e">
        <f>+AS13</f>
        <v>#VALUE!</v>
      </c>
      <c r="AW13" s="476" t="e">
        <f>+AS13</f>
        <v>#VALUE!</v>
      </c>
      <c r="AX13" s="477" t="e">
        <f>+AS13</f>
        <v>#VALUE!</v>
      </c>
      <c r="AY13" s="482" t="e">
        <f>+'Cuadro Mando Integral Detallado'!AI345</f>
        <v>#VALUE!</v>
      </c>
      <c r="AZ13" s="485" t="e">
        <f>+AY13</f>
        <v>#VALUE!</v>
      </c>
      <c r="BA13" s="480" t="e">
        <f>+AY13</f>
        <v>#VALUE!</v>
      </c>
      <c r="BB13" s="480" t="e">
        <f>+AY13</f>
        <v>#VALUE!</v>
      </c>
      <c r="BC13" s="480" t="e">
        <f>+AY13</f>
        <v>#VALUE!</v>
      </c>
      <c r="BD13" s="481" t="e">
        <f>+AY13</f>
        <v>#VALUE!</v>
      </c>
    </row>
    <row r="14" spans="1:60" s="6" customFormat="1" x14ac:dyDescent="0.25">
      <c r="A14" s="323"/>
    </row>
    <row r="15" spans="1:60" s="6" customFormat="1" x14ac:dyDescent="0.25">
      <c r="A15" s="323"/>
    </row>
    <row r="16" spans="1:60" x14ac:dyDescent="0.25">
      <c r="W16" s="489"/>
      <c r="AK16" s="489"/>
      <c r="AL16" s="489"/>
      <c r="AM16" s="489"/>
      <c r="AN16" s="489"/>
      <c r="AO16" s="489"/>
      <c r="AP16" s="489"/>
      <c r="AQ16" s="489"/>
      <c r="AY16" s="489"/>
    </row>
    <row r="17" spans="23:51" x14ac:dyDescent="0.25">
      <c r="W17" s="489"/>
      <c r="AK17" s="489"/>
      <c r="AL17" s="489"/>
      <c r="AM17" s="489"/>
      <c r="AN17" s="489"/>
      <c r="AO17" s="489"/>
      <c r="AP17" s="489"/>
      <c r="AQ17" s="489"/>
      <c r="AY17" s="489"/>
    </row>
    <row r="18" spans="23:51" x14ac:dyDescent="0.25">
      <c r="W18" s="489"/>
      <c r="AK18" s="489"/>
      <c r="AL18" s="489"/>
      <c r="AM18" s="489"/>
      <c r="AN18" s="489"/>
      <c r="AO18" s="489"/>
      <c r="AP18" s="489"/>
      <c r="AQ18" s="489"/>
      <c r="AY18" s="489"/>
    </row>
    <row r="19" spans="23:51" x14ac:dyDescent="0.25">
      <c r="W19" s="489"/>
      <c r="AK19" s="489"/>
      <c r="AL19" s="489"/>
      <c r="AM19" s="489"/>
      <c r="AN19" s="489"/>
      <c r="AO19" s="489"/>
      <c r="AP19" s="489"/>
      <c r="AQ19" s="489"/>
      <c r="AY19" s="489"/>
    </row>
    <row r="20" spans="23:51" x14ac:dyDescent="0.25">
      <c r="W20" s="489"/>
    </row>
  </sheetData>
  <mergeCells count="18">
    <mergeCell ref="AS5:AX5"/>
    <mergeCell ref="AY5:BD5"/>
    <mergeCell ref="C5:H5"/>
    <mergeCell ref="I5:N5"/>
    <mergeCell ref="Q5:V5"/>
    <mergeCell ref="W5:AB5"/>
    <mergeCell ref="AE5:AJ5"/>
    <mergeCell ref="AK5:AP5"/>
    <mergeCell ref="A1:A3"/>
    <mergeCell ref="B1:H1"/>
    <mergeCell ref="I1:AR1"/>
    <mergeCell ref="AS1:BD3"/>
    <mergeCell ref="B2:H2"/>
    <mergeCell ref="I2:AR2"/>
    <mergeCell ref="B3:H3"/>
    <mergeCell ref="I3:N3"/>
    <mergeCell ref="P3:AJ3"/>
    <mergeCell ref="AL3:AR3"/>
  </mergeCells>
  <conditionalFormatting sqref="D6">
    <cfRule type="cellIs" dxfId="1088" priority="276" stopIfTrue="1" operator="between">
      <formula>0</formula>
      <formula>0.5</formula>
    </cfRule>
  </conditionalFormatting>
  <conditionalFormatting sqref="AL6">
    <cfRule type="cellIs" dxfId="1087" priority="275" stopIfTrue="1" operator="between">
      <formula>0</formula>
      <formula>0.375</formula>
    </cfRule>
  </conditionalFormatting>
  <conditionalFormatting sqref="J6">
    <cfRule type="cellIs" dxfId="1086" priority="274" stopIfTrue="1" operator="between">
      <formula>0</formula>
      <formula>0.125</formula>
    </cfRule>
  </conditionalFormatting>
  <conditionalFormatting sqref="X6">
    <cfRule type="cellIs" dxfId="1085" priority="273" stopIfTrue="1" operator="between">
      <formula>0</formula>
      <formula>0.255</formula>
    </cfRule>
  </conditionalFormatting>
  <conditionalFormatting sqref="AZ6">
    <cfRule type="cellIs" dxfId="1084" priority="272" stopIfTrue="1" operator="between">
      <formula>0</formula>
      <formula>0.5</formula>
    </cfRule>
  </conditionalFormatting>
  <conditionalFormatting sqref="E6">
    <cfRule type="cellIs" dxfId="1083" priority="271" operator="between">
      <formula>0.51</formula>
      <formula>0.75</formula>
    </cfRule>
  </conditionalFormatting>
  <conditionalFormatting sqref="F6">
    <cfRule type="cellIs" dxfId="1082" priority="270" operator="between">
      <formula>0.76</formula>
      <formula>0.95</formula>
    </cfRule>
  </conditionalFormatting>
  <conditionalFormatting sqref="G6">
    <cfRule type="cellIs" dxfId="1081" priority="269" operator="between">
      <formula>0.96</formula>
      <formula>1</formula>
    </cfRule>
  </conditionalFormatting>
  <conditionalFormatting sqref="H6">
    <cfRule type="cellIs" dxfId="1080" priority="268" operator="greaterThan">
      <formula>1</formula>
    </cfRule>
  </conditionalFormatting>
  <conditionalFormatting sqref="D7">
    <cfRule type="cellIs" dxfId="1079" priority="267" stopIfTrue="1" operator="between">
      <formula>0</formula>
      <formula>0.5</formula>
    </cfRule>
  </conditionalFormatting>
  <conditionalFormatting sqref="E7">
    <cfRule type="cellIs" dxfId="1078" priority="266" operator="between">
      <formula>0.51</formula>
      <formula>0.75</formula>
    </cfRule>
  </conditionalFormatting>
  <conditionalFormatting sqref="F7">
    <cfRule type="cellIs" dxfId="1077" priority="265" operator="between">
      <formula>0.76</formula>
      <formula>0.95</formula>
    </cfRule>
  </conditionalFormatting>
  <conditionalFormatting sqref="H7">
    <cfRule type="cellIs" dxfId="1076" priority="263" operator="greaterThan">
      <formula>1</formula>
    </cfRule>
  </conditionalFormatting>
  <conditionalFormatting sqref="D8">
    <cfRule type="cellIs" dxfId="1075" priority="262" stopIfTrue="1" operator="between">
      <formula>0</formula>
      <formula>0.5</formula>
    </cfRule>
  </conditionalFormatting>
  <conditionalFormatting sqref="E8">
    <cfRule type="cellIs" dxfId="1074" priority="261" operator="between">
      <formula>0.51</formula>
      <formula>0.75</formula>
    </cfRule>
  </conditionalFormatting>
  <conditionalFormatting sqref="F8">
    <cfRule type="cellIs" dxfId="1073" priority="260" operator="between">
      <formula>0.76</formula>
      <formula>0.95</formula>
    </cfRule>
  </conditionalFormatting>
  <conditionalFormatting sqref="H8">
    <cfRule type="cellIs" dxfId="1072" priority="258" operator="greaterThan">
      <formula>1</formula>
    </cfRule>
  </conditionalFormatting>
  <conditionalFormatting sqref="D9">
    <cfRule type="cellIs" dxfId="1071" priority="257" stopIfTrue="1" operator="between">
      <formula>0</formula>
      <formula>0.5</formula>
    </cfRule>
  </conditionalFormatting>
  <conditionalFormatting sqref="E9">
    <cfRule type="cellIs" dxfId="1070" priority="256" operator="between">
      <formula>0.51</formula>
      <formula>0.75</formula>
    </cfRule>
  </conditionalFormatting>
  <conditionalFormatting sqref="F9">
    <cfRule type="cellIs" dxfId="1069" priority="255" operator="between">
      <formula>0.76</formula>
      <formula>0.95</formula>
    </cfRule>
  </conditionalFormatting>
  <conditionalFormatting sqref="H9">
    <cfRule type="cellIs" dxfId="1068" priority="253" operator="greaterThan">
      <formula>1</formula>
    </cfRule>
  </conditionalFormatting>
  <conditionalFormatting sqref="D11">
    <cfRule type="cellIs" dxfId="1067" priority="252" stopIfTrue="1" operator="between">
      <formula>0</formula>
      <formula>0.5</formula>
    </cfRule>
  </conditionalFormatting>
  <conditionalFormatting sqref="E11">
    <cfRule type="cellIs" dxfId="1066" priority="251" operator="between">
      <formula>0.51</formula>
      <formula>0.75</formula>
    </cfRule>
  </conditionalFormatting>
  <conditionalFormatting sqref="F11">
    <cfRule type="cellIs" dxfId="1065" priority="250" operator="between">
      <formula>0.76</formula>
      <formula>0.95</formula>
    </cfRule>
  </conditionalFormatting>
  <conditionalFormatting sqref="H11">
    <cfRule type="cellIs" dxfId="1064" priority="248" operator="greaterThan">
      <formula>1</formula>
    </cfRule>
  </conditionalFormatting>
  <conditionalFormatting sqref="R6">
    <cfRule type="cellIs" dxfId="1063" priority="247" stopIfTrue="1" operator="between">
      <formula>0</formula>
      <formula>0.5</formula>
    </cfRule>
  </conditionalFormatting>
  <conditionalFormatting sqref="S6">
    <cfRule type="cellIs" dxfId="1062" priority="246" operator="between">
      <formula>0.51</formula>
      <formula>0.75</formula>
    </cfRule>
  </conditionalFormatting>
  <conditionalFormatting sqref="T6">
    <cfRule type="cellIs" dxfId="1061" priority="245" operator="between">
      <formula>0.76</formula>
      <formula>0.95</formula>
    </cfRule>
  </conditionalFormatting>
  <conditionalFormatting sqref="U6">
    <cfRule type="cellIs" dxfId="1060" priority="244" operator="between">
      <formula>0.95</formula>
      <formula>1</formula>
    </cfRule>
  </conditionalFormatting>
  <conditionalFormatting sqref="V6">
    <cfRule type="cellIs" dxfId="1059" priority="243" operator="greaterThan">
      <formula>1</formula>
    </cfRule>
  </conditionalFormatting>
  <conditionalFormatting sqref="R7">
    <cfRule type="cellIs" dxfId="1058" priority="242" stopIfTrue="1" operator="between">
      <formula>0</formula>
      <formula>0.5</formula>
    </cfRule>
  </conditionalFormatting>
  <conditionalFormatting sqref="S7">
    <cfRule type="cellIs" dxfId="1057" priority="241" operator="between">
      <formula>0.51</formula>
      <formula>0.75</formula>
    </cfRule>
  </conditionalFormatting>
  <conditionalFormatting sqref="T7">
    <cfRule type="cellIs" dxfId="1056" priority="240" operator="between">
      <formula>0.76</formula>
      <formula>0.95</formula>
    </cfRule>
  </conditionalFormatting>
  <conditionalFormatting sqref="U7">
    <cfRule type="cellIs" dxfId="1055" priority="239" operator="between">
      <formula>0.95</formula>
      <formula>1</formula>
    </cfRule>
  </conditionalFormatting>
  <conditionalFormatting sqref="V7">
    <cfRule type="cellIs" dxfId="1054" priority="238" operator="greaterThan">
      <formula>1</formula>
    </cfRule>
  </conditionalFormatting>
  <conditionalFormatting sqref="R8">
    <cfRule type="cellIs" dxfId="1053" priority="237" stopIfTrue="1" operator="between">
      <formula>0</formula>
      <formula>0.5</formula>
    </cfRule>
  </conditionalFormatting>
  <conditionalFormatting sqref="S8">
    <cfRule type="cellIs" dxfId="1052" priority="236" operator="between">
      <formula>0.51</formula>
      <formula>0.75</formula>
    </cfRule>
  </conditionalFormatting>
  <conditionalFormatting sqref="T8">
    <cfRule type="cellIs" dxfId="1051" priority="235" operator="between">
      <formula>0.76</formula>
      <formula>0.95</formula>
    </cfRule>
  </conditionalFormatting>
  <conditionalFormatting sqref="U8">
    <cfRule type="cellIs" dxfId="1050" priority="234" operator="between">
      <formula>0.95</formula>
      <formula>1</formula>
    </cfRule>
  </conditionalFormatting>
  <conditionalFormatting sqref="V8">
    <cfRule type="cellIs" dxfId="1049" priority="233" operator="greaterThan">
      <formula>1</formula>
    </cfRule>
  </conditionalFormatting>
  <conditionalFormatting sqref="R9">
    <cfRule type="cellIs" dxfId="1048" priority="232" stopIfTrue="1" operator="between">
      <formula>0</formula>
      <formula>0.5</formula>
    </cfRule>
  </conditionalFormatting>
  <conditionalFormatting sqref="S9">
    <cfRule type="cellIs" dxfId="1047" priority="231" operator="between">
      <formula>0.51</formula>
      <formula>0.75</formula>
    </cfRule>
  </conditionalFormatting>
  <conditionalFormatting sqref="T9">
    <cfRule type="cellIs" dxfId="1046" priority="230" operator="between">
      <formula>0.76</formula>
      <formula>0.95</formula>
    </cfRule>
  </conditionalFormatting>
  <conditionalFormatting sqref="U9">
    <cfRule type="cellIs" dxfId="1045" priority="229" operator="between">
      <formula>0.95</formula>
      <formula>1</formula>
    </cfRule>
  </conditionalFormatting>
  <conditionalFormatting sqref="V9">
    <cfRule type="cellIs" dxfId="1044" priority="228" operator="greaterThan">
      <formula>1</formula>
    </cfRule>
  </conditionalFormatting>
  <conditionalFormatting sqref="AF6">
    <cfRule type="cellIs" dxfId="1043" priority="227" stopIfTrue="1" operator="between">
      <formula>0</formula>
      <formula>0.5</formula>
    </cfRule>
  </conditionalFormatting>
  <conditionalFormatting sqref="AG6">
    <cfRule type="cellIs" dxfId="1042" priority="226" operator="between">
      <formula>0.51</formula>
      <formula>0.75</formula>
    </cfRule>
  </conditionalFormatting>
  <conditionalFormatting sqref="AH6">
    <cfRule type="cellIs" dxfId="1041" priority="225" operator="between">
      <formula>0.76</formula>
      <formula>0.95</formula>
    </cfRule>
  </conditionalFormatting>
  <conditionalFormatting sqref="AI6">
    <cfRule type="cellIs" dxfId="1040" priority="224" operator="between">
      <formula>0.95</formula>
      <formula>1</formula>
    </cfRule>
  </conditionalFormatting>
  <conditionalFormatting sqref="AJ6">
    <cfRule type="cellIs" dxfId="1039" priority="223" operator="greaterThan">
      <formula>1</formula>
    </cfRule>
  </conditionalFormatting>
  <conditionalFormatting sqref="AF7">
    <cfRule type="cellIs" dxfId="1038" priority="222" stopIfTrue="1" operator="between">
      <formula>0</formula>
      <formula>0.5</formula>
    </cfRule>
  </conditionalFormatting>
  <conditionalFormatting sqref="AG7">
    <cfRule type="cellIs" dxfId="1037" priority="221" operator="between">
      <formula>0.51</formula>
      <formula>0.75</formula>
    </cfRule>
  </conditionalFormatting>
  <conditionalFormatting sqref="AH7">
    <cfRule type="cellIs" dxfId="1036" priority="220" operator="between">
      <formula>0.76</formula>
      <formula>0.95</formula>
    </cfRule>
  </conditionalFormatting>
  <conditionalFormatting sqref="AI7">
    <cfRule type="cellIs" dxfId="1035" priority="219" operator="between">
      <formula>0.95</formula>
      <formula>1</formula>
    </cfRule>
  </conditionalFormatting>
  <conditionalFormatting sqref="AJ7">
    <cfRule type="cellIs" dxfId="1034" priority="218" operator="greaterThan">
      <formula>1</formula>
    </cfRule>
  </conditionalFormatting>
  <conditionalFormatting sqref="AF8">
    <cfRule type="cellIs" dxfId="1033" priority="217" stopIfTrue="1" operator="between">
      <formula>0</formula>
      <formula>0.5</formula>
    </cfRule>
  </conditionalFormatting>
  <conditionalFormatting sqref="AG8">
    <cfRule type="cellIs" dxfId="1032" priority="216" operator="between">
      <formula>0.51</formula>
      <formula>0.75</formula>
    </cfRule>
  </conditionalFormatting>
  <conditionalFormatting sqref="AH8">
    <cfRule type="cellIs" dxfId="1031" priority="215" operator="between">
      <formula>0.76</formula>
      <formula>0.95</formula>
    </cfRule>
  </conditionalFormatting>
  <conditionalFormatting sqref="AI8">
    <cfRule type="cellIs" dxfId="1030" priority="214" operator="between">
      <formula>0.95</formula>
      <formula>1</formula>
    </cfRule>
  </conditionalFormatting>
  <conditionalFormatting sqref="AJ8">
    <cfRule type="cellIs" dxfId="1029" priority="213" operator="greaterThan">
      <formula>1</formula>
    </cfRule>
  </conditionalFormatting>
  <conditionalFormatting sqref="AF9">
    <cfRule type="cellIs" dxfId="1028" priority="212" stopIfTrue="1" operator="between">
      <formula>0</formula>
      <formula>0.5</formula>
    </cfRule>
  </conditionalFormatting>
  <conditionalFormatting sqref="AG9">
    <cfRule type="cellIs" dxfId="1027" priority="211" operator="between">
      <formula>0.51</formula>
      <formula>0.75</formula>
    </cfRule>
  </conditionalFormatting>
  <conditionalFormatting sqref="AH9">
    <cfRule type="cellIs" dxfId="1026" priority="210" operator="between">
      <formula>0.76</formula>
      <formula>0.95</formula>
    </cfRule>
  </conditionalFormatting>
  <conditionalFormatting sqref="AI9">
    <cfRule type="cellIs" dxfId="1025" priority="209" operator="between">
      <formula>0.95</formula>
      <formula>1</formula>
    </cfRule>
  </conditionalFormatting>
  <conditionalFormatting sqref="AJ9">
    <cfRule type="cellIs" dxfId="1024" priority="208" operator="greaterThan">
      <formula>1</formula>
    </cfRule>
  </conditionalFormatting>
  <conditionalFormatting sqref="AT6">
    <cfRule type="cellIs" dxfId="1023" priority="207" stopIfTrue="1" operator="between">
      <formula>0</formula>
      <formula>0.5</formula>
    </cfRule>
  </conditionalFormatting>
  <conditionalFormatting sqref="AU6">
    <cfRule type="cellIs" dxfId="1022" priority="206" operator="between">
      <formula>0.51</formula>
      <formula>0.75</formula>
    </cfRule>
  </conditionalFormatting>
  <conditionalFormatting sqref="AV6">
    <cfRule type="cellIs" dxfId="1021" priority="205" operator="between">
      <formula>0.76</formula>
      <formula>0.95</formula>
    </cfRule>
  </conditionalFormatting>
  <conditionalFormatting sqref="AW6">
    <cfRule type="cellIs" dxfId="1020" priority="204" operator="between">
      <formula>0.95</formula>
      <formula>1</formula>
    </cfRule>
  </conditionalFormatting>
  <conditionalFormatting sqref="AX6">
    <cfRule type="cellIs" dxfId="1019" priority="203" operator="greaterThan">
      <formula>1</formula>
    </cfRule>
  </conditionalFormatting>
  <conditionalFormatting sqref="AT7">
    <cfRule type="cellIs" dxfId="1018" priority="202" stopIfTrue="1" operator="between">
      <formula>0</formula>
      <formula>0.5</formula>
    </cfRule>
  </conditionalFormatting>
  <conditionalFormatting sqref="AU7">
    <cfRule type="cellIs" dxfId="1017" priority="201" operator="between">
      <formula>0.51</formula>
      <formula>0.75</formula>
    </cfRule>
  </conditionalFormatting>
  <conditionalFormatting sqref="AV7">
    <cfRule type="cellIs" dxfId="1016" priority="200" operator="between">
      <formula>0.76</formula>
      <formula>0.95</formula>
    </cfRule>
  </conditionalFormatting>
  <conditionalFormatting sqref="AW7">
    <cfRule type="cellIs" dxfId="1015" priority="199" operator="between">
      <formula>0.95</formula>
      <formula>1</formula>
    </cfRule>
  </conditionalFormatting>
  <conditionalFormatting sqref="AX7">
    <cfRule type="cellIs" dxfId="1014" priority="198" operator="greaterThan">
      <formula>1</formula>
    </cfRule>
  </conditionalFormatting>
  <conditionalFormatting sqref="AT8">
    <cfRule type="cellIs" dxfId="1013" priority="197" stopIfTrue="1" operator="between">
      <formula>0</formula>
      <formula>0.5</formula>
    </cfRule>
  </conditionalFormatting>
  <conditionalFormatting sqref="AU8">
    <cfRule type="cellIs" dxfId="1012" priority="196" operator="between">
      <formula>0.51</formula>
      <formula>0.75</formula>
    </cfRule>
  </conditionalFormatting>
  <conditionalFormatting sqref="AV8">
    <cfRule type="cellIs" dxfId="1011" priority="195" operator="between">
      <formula>0.76</formula>
      <formula>0.95</formula>
    </cfRule>
  </conditionalFormatting>
  <conditionalFormatting sqref="AW8">
    <cfRule type="cellIs" dxfId="1010" priority="194" operator="between">
      <formula>0.95</formula>
      <formula>1</formula>
    </cfRule>
  </conditionalFormatting>
  <conditionalFormatting sqref="AX8">
    <cfRule type="cellIs" dxfId="1009" priority="193" operator="greaterThan">
      <formula>1</formula>
    </cfRule>
  </conditionalFormatting>
  <conditionalFormatting sqref="AT9">
    <cfRule type="cellIs" dxfId="1008" priority="192" stopIfTrue="1" operator="between">
      <formula>0</formula>
      <formula>0.5</formula>
    </cfRule>
  </conditionalFormatting>
  <conditionalFormatting sqref="AU9">
    <cfRule type="cellIs" dxfId="1007" priority="191" operator="between">
      <formula>0.51</formula>
      <formula>0.75</formula>
    </cfRule>
  </conditionalFormatting>
  <conditionalFormatting sqref="AV9">
    <cfRule type="cellIs" dxfId="1006" priority="190" operator="between">
      <formula>0.76</formula>
      <formula>0.95</formula>
    </cfRule>
  </conditionalFormatting>
  <conditionalFormatting sqref="AW9">
    <cfRule type="cellIs" dxfId="1005" priority="189" operator="between">
      <formula>0.95</formula>
      <formula>1</formula>
    </cfRule>
  </conditionalFormatting>
  <conditionalFormatting sqref="AX9">
    <cfRule type="cellIs" dxfId="1004" priority="188" operator="greaterThan">
      <formula>1</formula>
    </cfRule>
  </conditionalFormatting>
  <conditionalFormatting sqref="R11">
    <cfRule type="cellIs" dxfId="1003" priority="187" stopIfTrue="1" operator="between">
      <formula>0</formula>
      <formula>0.5</formula>
    </cfRule>
  </conditionalFormatting>
  <conditionalFormatting sqref="S11">
    <cfRule type="cellIs" dxfId="1002" priority="186" operator="between">
      <formula>0.51</formula>
      <formula>0.75</formula>
    </cfRule>
  </conditionalFormatting>
  <conditionalFormatting sqref="T11">
    <cfRule type="cellIs" dxfId="1001" priority="185" operator="between">
      <formula>0.76</formula>
      <formula>0.95</formula>
    </cfRule>
  </conditionalFormatting>
  <conditionalFormatting sqref="U11">
    <cfRule type="cellIs" dxfId="1000" priority="184" operator="between">
      <formula>0.95</formula>
      <formula>1</formula>
    </cfRule>
  </conditionalFormatting>
  <conditionalFormatting sqref="V11">
    <cfRule type="cellIs" dxfId="999" priority="183" operator="greaterThan">
      <formula>1</formula>
    </cfRule>
  </conditionalFormatting>
  <conditionalFormatting sqref="AF11">
    <cfRule type="cellIs" dxfId="998" priority="182" stopIfTrue="1" operator="between">
      <formula>0</formula>
      <formula>0.5</formula>
    </cfRule>
  </conditionalFormatting>
  <conditionalFormatting sqref="AG11">
    <cfRule type="cellIs" dxfId="997" priority="181" operator="between">
      <formula>0.51</formula>
      <formula>0.75</formula>
    </cfRule>
  </conditionalFormatting>
  <conditionalFormatting sqref="AH11">
    <cfRule type="cellIs" dxfId="996" priority="180" operator="between">
      <formula>0.76</formula>
      <formula>0.95</formula>
    </cfRule>
  </conditionalFormatting>
  <conditionalFormatting sqref="AI11">
    <cfRule type="cellIs" dxfId="995" priority="179" operator="between">
      <formula>0.95</formula>
      <formula>1</formula>
    </cfRule>
  </conditionalFormatting>
  <conditionalFormatting sqref="AJ11">
    <cfRule type="cellIs" dxfId="994" priority="178" operator="greaterThan">
      <formula>1</formula>
    </cfRule>
  </conditionalFormatting>
  <conditionalFormatting sqref="AT11">
    <cfRule type="cellIs" dxfId="993" priority="177" stopIfTrue="1" operator="between">
      <formula>0</formula>
      <formula>0.5</formula>
    </cfRule>
  </conditionalFormatting>
  <conditionalFormatting sqref="AU11">
    <cfRule type="cellIs" dxfId="992" priority="176" operator="between">
      <formula>0.51</formula>
      <formula>0.75</formula>
    </cfRule>
  </conditionalFormatting>
  <conditionalFormatting sqref="AV11">
    <cfRule type="cellIs" dxfId="991" priority="175" operator="between">
      <formula>0.76</formula>
      <formula>0.95</formula>
    </cfRule>
  </conditionalFormatting>
  <conditionalFormatting sqref="AW11">
    <cfRule type="cellIs" dxfId="990" priority="174" operator="between">
      <formula>0.95</formula>
      <formula>1</formula>
    </cfRule>
  </conditionalFormatting>
  <conditionalFormatting sqref="AX11">
    <cfRule type="cellIs" dxfId="989" priority="173" operator="greaterThan">
      <formula>1</formula>
    </cfRule>
  </conditionalFormatting>
  <conditionalFormatting sqref="K6">
    <cfRule type="cellIs" dxfId="988" priority="172" operator="between">
      <formula>0.1251</formula>
      <formula>0.1875</formula>
    </cfRule>
  </conditionalFormatting>
  <conditionalFormatting sqref="L6">
    <cfRule type="cellIs" dxfId="987" priority="171" operator="between">
      <formula>0.1876</formula>
      <formula>0.2375</formula>
    </cfRule>
  </conditionalFormatting>
  <conditionalFormatting sqref="M6">
    <cfRule type="cellIs" dxfId="986" priority="170" operator="between">
      <formula>0.2376</formula>
      <formula>0.25</formula>
    </cfRule>
  </conditionalFormatting>
  <conditionalFormatting sqref="N6">
    <cfRule type="cellIs" dxfId="985" priority="169" operator="greaterThan">
      <formula>0.25</formula>
    </cfRule>
  </conditionalFormatting>
  <conditionalFormatting sqref="Y6">
    <cfRule type="cellIs" dxfId="984" priority="148" operator="between">
      <formula>0.2551</formula>
      <formula>0.375</formula>
    </cfRule>
  </conditionalFormatting>
  <conditionalFormatting sqref="Z6">
    <cfRule type="cellIs" dxfId="983" priority="147" operator="between">
      <formula>0.38</formula>
      <formula>0.475</formula>
    </cfRule>
  </conditionalFormatting>
  <conditionalFormatting sqref="AA6">
    <cfRule type="cellIs" dxfId="982" priority="146" operator="between">
      <formula>0.48</formula>
      <formula>0.51</formula>
    </cfRule>
  </conditionalFormatting>
  <conditionalFormatting sqref="AB6:AC6">
    <cfRule type="cellIs" dxfId="981" priority="145" operator="greaterThan">
      <formula>0.505</formula>
    </cfRule>
  </conditionalFormatting>
  <conditionalFormatting sqref="X7">
    <cfRule type="cellIs" dxfId="980" priority="144" stopIfTrue="1" operator="between">
      <formula>0</formula>
      <formula>0.255</formula>
    </cfRule>
  </conditionalFormatting>
  <conditionalFormatting sqref="Y7">
    <cfRule type="cellIs" dxfId="979" priority="143" operator="between">
      <formula>0.2551</formula>
      <formula>0.375</formula>
    </cfRule>
  </conditionalFormatting>
  <conditionalFormatting sqref="Z7">
    <cfRule type="cellIs" dxfId="978" priority="142" operator="between">
      <formula>0.38</formula>
      <formula>0.475</formula>
    </cfRule>
  </conditionalFormatting>
  <conditionalFormatting sqref="AA7">
    <cfRule type="cellIs" dxfId="977" priority="141" operator="between">
      <formula>0.48</formula>
      <formula>0.51</formula>
    </cfRule>
  </conditionalFormatting>
  <conditionalFormatting sqref="AB7:AC7">
    <cfRule type="cellIs" dxfId="976" priority="140" operator="greaterThan">
      <formula>0.505</formula>
    </cfRule>
  </conditionalFormatting>
  <conditionalFormatting sqref="X8">
    <cfRule type="cellIs" dxfId="975" priority="139" stopIfTrue="1" operator="between">
      <formula>0</formula>
      <formula>0.255</formula>
    </cfRule>
  </conditionalFormatting>
  <conditionalFormatting sqref="Y8">
    <cfRule type="cellIs" dxfId="974" priority="138" operator="between">
      <formula>0.2551</formula>
      <formula>0.375</formula>
    </cfRule>
  </conditionalFormatting>
  <conditionalFormatting sqref="Z8">
    <cfRule type="cellIs" dxfId="973" priority="137" operator="between">
      <formula>0.38</formula>
      <formula>0.475</formula>
    </cfRule>
  </conditionalFormatting>
  <conditionalFormatting sqref="AA8">
    <cfRule type="cellIs" dxfId="972" priority="136" operator="between">
      <formula>0.48</formula>
      <formula>0.51</formula>
    </cfRule>
  </conditionalFormatting>
  <conditionalFormatting sqref="AB8:AC8">
    <cfRule type="cellIs" dxfId="971" priority="135" operator="greaterThan">
      <formula>0.505</formula>
    </cfRule>
  </conditionalFormatting>
  <conditionalFormatting sqref="X9">
    <cfRule type="cellIs" dxfId="970" priority="134" stopIfTrue="1" operator="between">
      <formula>0</formula>
      <formula>0.255</formula>
    </cfRule>
  </conditionalFormatting>
  <conditionalFormatting sqref="Y9">
    <cfRule type="cellIs" dxfId="969" priority="133" operator="between">
      <formula>0.2551</formula>
      <formula>0.375</formula>
    </cfRule>
  </conditionalFormatting>
  <conditionalFormatting sqref="Z9">
    <cfRule type="cellIs" dxfId="968" priority="132" operator="between">
      <formula>0.38</formula>
      <formula>0.475</formula>
    </cfRule>
  </conditionalFormatting>
  <conditionalFormatting sqref="AA9">
    <cfRule type="cellIs" dxfId="967" priority="131" operator="between">
      <formula>0.48</formula>
      <formula>0.51</formula>
    </cfRule>
  </conditionalFormatting>
  <conditionalFormatting sqref="AB9:AC9">
    <cfRule type="cellIs" dxfId="966" priority="130" operator="greaterThan">
      <formula>0.505</formula>
    </cfRule>
  </conditionalFormatting>
  <conditionalFormatting sqref="X11">
    <cfRule type="cellIs" dxfId="965" priority="129" stopIfTrue="1" operator="between">
      <formula>0</formula>
      <formula>0.255</formula>
    </cfRule>
  </conditionalFormatting>
  <conditionalFormatting sqref="Y11">
    <cfRule type="cellIs" dxfId="964" priority="128" operator="between">
      <formula>0.2551</formula>
      <formula>0.375</formula>
    </cfRule>
  </conditionalFormatting>
  <conditionalFormatting sqref="Z11">
    <cfRule type="cellIs" dxfId="963" priority="127" operator="between">
      <formula>0.38</formula>
      <formula>0.475</formula>
    </cfRule>
  </conditionalFormatting>
  <conditionalFormatting sqref="AA11">
    <cfRule type="cellIs" dxfId="962" priority="126" operator="between">
      <formula>0.48</formula>
      <formula>0.51</formula>
    </cfRule>
  </conditionalFormatting>
  <conditionalFormatting sqref="AB11:AC11">
    <cfRule type="cellIs" dxfId="961" priority="125" operator="greaterThan">
      <formula>0.505</formula>
    </cfRule>
  </conditionalFormatting>
  <conditionalFormatting sqref="AM6">
    <cfRule type="cellIs" dxfId="960" priority="124" operator="between">
      <formula>0.3751</formula>
      <formula>0.5625</formula>
    </cfRule>
  </conditionalFormatting>
  <conditionalFormatting sqref="AN6">
    <cfRule type="cellIs" dxfId="959" priority="123" operator="between">
      <formula>0.563</formula>
      <formula>0.7125</formula>
    </cfRule>
  </conditionalFormatting>
  <conditionalFormatting sqref="AO6">
    <cfRule type="cellIs" dxfId="958" priority="122" operator="between">
      <formula>0.713</formula>
      <formula>0.75</formula>
    </cfRule>
  </conditionalFormatting>
  <conditionalFormatting sqref="AP6">
    <cfRule type="cellIs" dxfId="957" priority="121" operator="greaterThan">
      <formula>0.755</formula>
    </cfRule>
  </conditionalFormatting>
  <conditionalFormatting sqref="AL7">
    <cfRule type="cellIs" dxfId="956" priority="120" stopIfTrue="1" operator="between">
      <formula>0</formula>
      <formula>0.375</formula>
    </cfRule>
  </conditionalFormatting>
  <conditionalFormatting sqref="AM7">
    <cfRule type="cellIs" dxfId="955" priority="119" operator="between">
      <formula>0.3751</formula>
      <formula>0.5625</formula>
    </cfRule>
  </conditionalFormatting>
  <conditionalFormatting sqref="AN7">
    <cfRule type="cellIs" dxfId="954" priority="118" operator="between">
      <formula>0.563</formula>
      <formula>0.7125</formula>
    </cfRule>
  </conditionalFormatting>
  <conditionalFormatting sqref="AO7">
    <cfRule type="cellIs" dxfId="953" priority="117" operator="between">
      <formula>0.713</formula>
      <formula>0.75</formula>
    </cfRule>
  </conditionalFormatting>
  <conditionalFormatting sqref="AP7">
    <cfRule type="cellIs" dxfId="952" priority="116" operator="greaterThan">
      <formula>0.755</formula>
    </cfRule>
  </conditionalFormatting>
  <conditionalFormatting sqref="AL8">
    <cfRule type="cellIs" dxfId="951" priority="115" stopIfTrue="1" operator="between">
      <formula>0</formula>
      <formula>0.375</formula>
    </cfRule>
  </conditionalFormatting>
  <conditionalFormatting sqref="AM8">
    <cfRule type="cellIs" dxfId="950" priority="114" operator="between">
      <formula>0.3751</formula>
      <formula>0.5625</formula>
    </cfRule>
  </conditionalFormatting>
  <conditionalFormatting sqref="AN8">
    <cfRule type="cellIs" dxfId="949" priority="113" operator="between">
      <formula>0.563</formula>
      <formula>0.7125</formula>
    </cfRule>
  </conditionalFormatting>
  <conditionalFormatting sqref="AO8">
    <cfRule type="cellIs" dxfId="948" priority="112" operator="between">
      <formula>0.713</formula>
      <formula>0.75</formula>
    </cfRule>
  </conditionalFormatting>
  <conditionalFormatting sqref="AP8">
    <cfRule type="cellIs" dxfId="947" priority="111" operator="greaterThan">
      <formula>0.755</formula>
    </cfRule>
  </conditionalFormatting>
  <conditionalFormatting sqref="AL9">
    <cfRule type="cellIs" dxfId="946" priority="110" stopIfTrue="1" operator="between">
      <formula>0</formula>
      <formula>0.375</formula>
    </cfRule>
  </conditionalFormatting>
  <conditionalFormatting sqref="AM9">
    <cfRule type="cellIs" dxfId="945" priority="109" operator="between">
      <formula>0.3751</formula>
      <formula>0.5625</formula>
    </cfRule>
  </conditionalFormatting>
  <conditionalFormatting sqref="AN9">
    <cfRule type="cellIs" dxfId="944" priority="108" operator="between">
      <formula>0.563</formula>
      <formula>0.7125</formula>
    </cfRule>
  </conditionalFormatting>
  <conditionalFormatting sqref="AO9">
    <cfRule type="cellIs" dxfId="943" priority="107" operator="between">
      <formula>0.713</formula>
      <formula>0.75</formula>
    </cfRule>
  </conditionalFormatting>
  <conditionalFormatting sqref="AP9">
    <cfRule type="cellIs" dxfId="942" priority="106" operator="greaterThan">
      <formula>0.755</formula>
    </cfRule>
  </conditionalFormatting>
  <conditionalFormatting sqref="AL11">
    <cfRule type="cellIs" dxfId="941" priority="105" stopIfTrue="1" operator="between">
      <formula>0</formula>
      <formula>0.375</formula>
    </cfRule>
  </conditionalFormatting>
  <conditionalFormatting sqref="AM11">
    <cfRule type="cellIs" dxfId="940" priority="104" operator="between">
      <formula>0.3751</formula>
      <formula>0.5625</formula>
    </cfRule>
  </conditionalFormatting>
  <conditionalFormatting sqref="AN11">
    <cfRule type="cellIs" dxfId="939" priority="103" operator="between">
      <formula>0.563</formula>
      <formula>0.7125</formula>
    </cfRule>
  </conditionalFormatting>
  <conditionalFormatting sqref="AO11">
    <cfRule type="cellIs" dxfId="938" priority="102" operator="between">
      <formula>0.713</formula>
      <formula>0.75</formula>
    </cfRule>
  </conditionalFormatting>
  <conditionalFormatting sqref="AP11">
    <cfRule type="cellIs" dxfId="937" priority="101" operator="greaterThan">
      <formula>0.755</formula>
    </cfRule>
  </conditionalFormatting>
  <conditionalFormatting sqref="BA6">
    <cfRule type="cellIs" dxfId="936" priority="100" operator="between">
      <formula>0.51</formula>
      <formula>0.75</formula>
    </cfRule>
  </conditionalFormatting>
  <conditionalFormatting sqref="BB6">
    <cfRule type="cellIs" dxfId="935" priority="99" operator="between">
      <formula>0.76</formula>
      <formula>0.95</formula>
    </cfRule>
  </conditionalFormatting>
  <conditionalFormatting sqref="BC6">
    <cfRule type="cellIs" dxfId="934" priority="98" operator="between">
      <formula>0.95</formula>
      <formula>1</formula>
    </cfRule>
  </conditionalFormatting>
  <conditionalFormatting sqref="BD6">
    <cfRule type="cellIs" dxfId="933" priority="97" operator="greaterThan">
      <formula>1</formula>
    </cfRule>
  </conditionalFormatting>
  <conditionalFormatting sqref="AZ7">
    <cfRule type="cellIs" dxfId="932" priority="96" stopIfTrue="1" operator="between">
      <formula>0</formula>
      <formula>0.5</formula>
    </cfRule>
  </conditionalFormatting>
  <conditionalFormatting sqref="BA7">
    <cfRule type="cellIs" dxfId="931" priority="95" operator="between">
      <formula>0.51</formula>
      <formula>0.75</formula>
    </cfRule>
  </conditionalFormatting>
  <conditionalFormatting sqref="BB7">
    <cfRule type="cellIs" dxfId="930" priority="94" operator="between">
      <formula>0.76</formula>
      <formula>0.95</formula>
    </cfRule>
  </conditionalFormatting>
  <conditionalFormatting sqref="BC7">
    <cfRule type="cellIs" dxfId="929" priority="93" operator="between">
      <formula>0.95</formula>
      <formula>1</formula>
    </cfRule>
  </conditionalFormatting>
  <conditionalFormatting sqref="BD7">
    <cfRule type="cellIs" dxfId="928" priority="92" operator="greaterThan">
      <formula>1</formula>
    </cfRule>
  </conditionalFormatting>
  <conditionalFormatting sqref="AZ8">
    <cfRule type="cellIs" dxfId="927" priority="91" stopIfTrue="1" operator="between">
      <formula>0</formula>
      <formula>0.5</formula>
    </cfRule>
  </conditionalFormatting>
  <conditionalFormatting sqref="BA8">
    <cfRule type="cellIs" dxfId="926" priority="90" operator="between">
      <formula>0.51</formula>
      <formula>0.75</formula>
    </cfRule>
  </conditionalFormatting>
  <conditionalFormatting sqref="BB8">
    <cfRule type="cellIs" dxfId="925" priority="89" operator="between">
      <formula>0.76</formula>
      <formula>0.95</formula>
    </cfRule>
  </conditionalFormatting>
  <conditionalFormatting sqref="BC8">
    <cfRule type="cellIs" dxfId="924" priority="88" operator="between">
      <formula>0.95</formula>
      <formula>1</formula>
    </cfRule>
  </conditionalFormatting>
  <conditionalFormatting sqref="BD8">
    <cfRule type="cellIs" dxfId="923" priority="87" operator="greaterThan">
      <formula>1</formula>
    </cfRule>
  </conditionalFormatting>
  <conditionalFormatting sqref="AZ9">
    <cfRule type="cellIs" dxfId="922" priority="86" stopIfTrue="1" operator="between">
      <formula>0</formula>
      <formula>0.5</formula>
    </cfRule>
  </conditionalFormatting>
  <conditionalFormatting sqref="BA9">
    <cfRule type="cellIs" dxfId="921" priority="85" operator="between">
      <formula>0.51</formula>
      <formula>0.75</formula>
    </cfRule>
  </conditionalFormatting>
  <conditionalFormatting sqref="BB9">
    <cfRule type="cellIs" dxfId="920" priority="84" operator="between">
      <formula>0.76</formula>
      <formula>0.95</formula>
    </cfRule>
  </conditionalFormatting>
  <conditionalFormatting sqref="BC9">
    <cfRule type="cellIs" dxfId="919" priority="83" operator="between">
      <formula>0.95</formula>
      <formula>1</formula>
    </cfRule>
  </conditionalFormatting>
  <conditionalFormatting sqref="BD9">
    <cfRule type="cellIs" dxfId="918" priority="82" operator="greaterThan">
      <formula>1</formula>
    </cfRule>
  </conditionalFormatting>
  <conditionalFormatting sqref="AZ11">
    <cfRule type="cellIs" dxfId="917" priority="81" stopIfTrue="1" operator="between">
      <formula>0</formula>
      <formula>0.5</formula>
    </cfRule>
  </conditionalFormatting>
  <conditionalFormatting sqref="BA11">
    <cfRule type="cellIs" dxfId="916" priority="80" operator="between">
      <formula>0.51</formula>
      <formula>0.75</formula>
    </cfRule>
  </conditionalFormatting>
  <conditionalFormatting sqref="BB11">
    <cfRule type="cellIs" dxfId="915" priority="79" operator="between">
      <formula>0.76</formula>
      <formula>0.95</formula>
    </cfRule>
  </conditionalFormatting>
  <conditionalFormatting sqref="BC11">
    <cfRule type="cellIs" dxfId="914" priority="78" operator="between">
      <formula>0.95</formula>
      <formula>1</formula>
    </cfRule>
  </conditionalFormatting>
  <conditionalFormatting sqref="BD11">
    <cfRule type="cellIs" dxfId="913" priority="77" operator="greaterThan">
      <formula>1</formula>
    </cfRule>
  </conditionalFormatting>
  <conditionalFormatting sqref="D13">
    <cfRule type="cellIs" dxfId="912" priority="76" stopIfTrue="1" operator="between">
      <formula>0</formula>
      <formula>0.5</formula>
    </cfRule>
  </conditionalFormatting>
  <conditionalFormatting sqref="E13">
    <cfRule type="cellIs" dxfId="911" priority="75" operator="between">
      <formula>0.51</formula>
      <formula>0.75</formula>
    </cfRule>
  </conditionalFormatting>
  <conditionalFormatting sqref="F13">
    <cfRule type="cellIs" dxfId="910" priority="74" operator="between">
      <formula>0.76</formula>
      <formula>0.95</formula>
    </cfRule>
  </conditionalFormatting>
  <conditionalFormatting sqref="H13">
    <cfRule type="cellIs" dxfId="909" priority="72" operator="greaterThan">
      <formula>1</formula>
    </cfRule>
  </conditionalFormatting>
  <conditionalFormatting sqref="R13">
    <cfRule type="cellIs" dxfId="908" priority="71" stopIfTrue="1" operator="between">
      <formula>0</formula>
      <formula>0.5</formula>
    </cfRule>
  </conditionalFormatting>
  <conditionalFormatting sqref="S13">
    <cfRule type="cellIs" dxfId="907" priority="70" operator="between">
      <formula>0.51</formula>
      <formula>0.75</formula>
    </cfRule>
  </conditionalFormatting>
  <conditionalFormatting sqref="T13">
    <cfRule type="cellIs" dxfId="906" priority="69" operator="between">
      <formula>0.76</formula>
      <formula>0.95</formula>
    </cfRule>
  </conditionalFormatting>
  <conditionalFormatting sqref="U13">
    <cfRule type="cellIs" dxfId="905" priority="68" operator="between">
      <formula>0.95</formula>
      <formula>1</formula>
    </cfRule>
  </conditionalFormatting>
  <conditionalFormatting sqref="V13">
    <cfRule type="cellIs" dxfId="904" priority="67" operator="greaterThan">
      <formula>1</formula>
    </cfRule>
  </conditionalFormatting>
  <conditionalFormatting sqref="AF13">
    <cfRule type="cellIs" dxfId="903" priority="66" stopIfTrue="1" operator="between">
      <formula>0</formula>
      <formula>0.5</formula>
    </cfRule>
  </conditionalFormatting>
  <conditionalFormatting sqref="AG13">
    <cfRule type="cellIs" dxfId="902" priority="65" operator="between">
      <formula>0.51</formula>
      <formula>0.75</formula>
    </cfRule>
  </conditionalFormatting>
  <conditionalFormatting sqref="AH13">
    <cfRule type="cellIs" dxfId="901" priority="64" operator="between">
      <formula>0.76</formula>
      <formula>0.95</formula>
    </cfRule>
  </conditionalFormatting>
  <conditionalFormatting sqref="AI13">
    <cfRule type="cellIs" dxfId="900" priority="63" operator="between">
      <formula>0.95</formula>
      <formula>1</formula>
    </cfRule>
  </conditionalFormatting>
  <conditionalFormatting sqref="AJ13">
    <cfRule type="cellIs" dxfId="899" priority="62" operator="greaterThan">
      <formula>1</formula>
    </cfRule>
  </conditionalFormatting>
  <conditionalFormatting sqref="AT13">
    <cfRule type="cellIs" dxfId="898" priority="61" stopIfTrue="1" operator="between">
      <formula>0</formula>
      <formula>0.5</formula>
    </cfRule>
  </conditionalFormatting>
  <conditionalFormatting sqref="AU13">
    <cfRule type="cellIs" dxfId="897" priority="60" operator="between">
      <formula>0.51</formula>
      <formula>0.75</formula>
    </cfRule>
  </conditionalFormatting>
  <conditionalFormatting sqref="AV13">
    <cfRule type="cellIs" dxfId="896" priority="59" operator="between">
      <formula>0.76</formula>
      <formula>0.95</formula>
    </cfRule>
  </conditionalFormatting>
  <conditionalFormatting sqref="AW13">
    <cfRule type="cellIs" dxfId="895" priority="58" operator="between">
      <formula>0.95</formula>
      <formula>1</formula>
    </cfRule>
  </conditionalFormatting>
  <conditionalFormatting sqref="AX13">
    <cfRule type="cellIs" dxfId="894" priority="57" operator="greaterThan">
      <formula>1</formula>
    </cfRule>
  </conditionalFormatting>
  <conditionalFormatting sqref="O13">
    <cfRule type="cellIs" dxfId="893" priority="52" operator="greaterThan">
      <formula>0.2601</formula>
    </cfRule>
  </conditionalFormatting>
  <conditionalFormatting sqref="AQ13">
    <cfRule type="cellIs" dxfId="892" priority="51" operator="greaterThan">
      <formula>0.755</formula>
    </cfRule>
  </conditionalFormatting>
  <conditionalFormatting sqref="AZ13">
    <cfRule type="cellIs" dxfId="891" priority="50" stopIfTrue="1" operator="between">
      <formula>0</formula>
      <formula>0.5</formula>
    </cfRule>
  </conditionalFormatting>
  <conditionalFormatting sqref="BA13">
    <cfRule type="cellIs" dxfId="890" priority="49" operator="between">
      <formula>0.51</formula>
      <formula>0.75</formula>
    </cfRule>
  </conditionalFormatting>
  <conditionalFormatting sqref="BB13">
    <cfRule type="cellIs" dxfId="889" priority="48" operator="between">
      <formula>0.76</formula>
      <formula>0.95</formula>
    </cfRule>
  </conditionalFormatting>
  <conditionalFormatting sqref="BC13">
    <cfRule type="cellIs" dxfId="888" priority="47" operator="between">
      <formula>0.95</formula>
      <formula>1</formula>
    </cfRule>
  </conditionalFormatting>
  <conditionalFormatting sqref="BD13">
    <cfRule type="cellIs" dxfId="887" priority="46" operator="greaterThan">
      <formula>1</formula>
    </cfRule>
  </conditionalFormatting>
  <conditionalFormatting sqref="X13">
    <cfRule type="cellIs" dxfId="886" priority="45" stopIfTrue="1" operator="between">
      <formula>0</formula>
      <formula>0.255</formula>
    </cfRule>
  </conditionalFormatting>
  <conditionalFormatting sqref="Y13">
    <cfRule type="cellIs" dxfId="885" priority="44" operator="between">
      <formula>0.2551</formula>
      <formula>0.375</formula>
    </cfRule>
  </conditionalFormatting>
  <conditionalFormatting sqref="Z13">
    <cfRule type="cellIs" dxfId="884" priority="43" operator="between">
      <formula>0.3751</formula>
      <formula>0.475</formula>
    </cfRule>
  </conditionalFormatting>
  <conditionalFormatting sqref="AA13">
    <cfRule type="cellIs" dxfId="883" priority="42" operator="between">
      <formula>0.48</formula>
      <formula>0.51</formula>
    </cfRule>
  </conditionalFormatting>
  <conditionalFormatting sqref="AB13:AC13">
    <cfRule type="cellIs" dxfId="882" priority="41" operator="greaterThan">
      <formula>0.505</formula>
    </cfRule>
  </conditionalFormatting>
  <conditionalFormatting sqref="AQ6">
    <cfRule type="cellIs" dxfId="881" priority="40" operator="greaterThan">
      <formula>0.505</formula>
    </cfRule>
  </conditionalFormatting>
  <conditionalFormatting sqref="AQ7">
    <cfRule type="cellIs" dxfId="880" priority="39" operator="greaterThan">
      <formula>0.505</formula>
    </cfRule>
  </conditionalFormatting>
  <conditionalFormatting sqref="AQ8">
    <cfRule type="cellIs" dxfId="879" priority="38" operator="greaterThan">
      <formula>0.505</formula>
    </cfRule>
  </conditionalFormatting>
  <conditionalFormatting sqref="AQ9">
    <cfRule type="cellIs" dxfId="878" priority="37" operator="greaterThan">
      <formula>0.505</formula>
    </cfRule>
  </conditionalFormatting>
  <conditionalFormatting sqref="AQ11">
    <cfRule type="cellIs" dxfId="877" priority="36" operator="greaterThan">
      <formula>0.505</formula>
    </cfRule>
  </conditionalFormatting>
  <conditionalFormatting sqref="BE6">
    <cfRule type="cellIs" dxfId="876" priority="35" operator="greaterThan">
      <formula>0.505</formula>
    </cfRule>
  </conditionalFormatting>
  <conditionalFormatting sqref="BE7">
    <cfRule type="cellIs" dxfId="875" priority="34" operator="greaterThan">
      <formula>0.505</formula>
    </cfRule>
  </conditionalFormatting>
  <conditionalFormatting sqref="BE8">
    <cfRule type="cellIs" dxfId="874" priority="33" operator="greaterThan">
      <formula>0.505</formula>
    </cfRule>
  </conditionalFormatting>
  <conditionalFormatting sqref="BE9">
    <cfRule type="cellIs" dxfId="873" priority="32" operator="greaterThan">
      <formula>0.505</formula>
    </cfRule>
  </conditionalFormatting>
  <conditionalFormatting sqref="BE11">
    <cfRule type="cellIs" dxfId="872" priority="31" operator="greaterThan">
      <formula>0.505</formula>
    </cfRule>
  </conditionalFormatting>
  <conditionalFormatting sqref="O6">
    <cfRule type="cellIs" dxfId="871" priority="30" operator="greaterThan">
      <formula>0.505</formula>
    </cfRule>
  </conditionalFormatting>
  <conditionalFormatting sqref="O7">
    <cfRule type="cellIs" dxfId="870" priority="29" operator="greaterThan">
      <formula>0.505</formula>
    </cfRule>
  </conditionalFormatting>
  <conditionalFormatting sqref="O8">
    <cfRule type="cellIs" dxfId="869" priority="28" operator="greaterThan">
      <formula>0.505</formula>
    </cfRule>
  </conditionalFormatting>
  <conditionalFormatting sqref="O9">
    <cfRule type="cellIs" dxfId="868" priority="27" operator="greaterThan">
      <formula>0.505</formula>
    </cfRule>
  </conditionalFormatting>
  <conditionalFormatting sqref="O11">
    <cfRule type="cellIs" dxfId="867" priority="26" operator="greaterThan">
      <formula>0.505</formula>
    </cfRule>
  </conditionalFormatting>
  <conditionalFormatting sqref="AL13">
    <cfRule type="cellIs" dxfId="866" priority="25" stopIfTrue="1" operator="between">
      <formula>0</formula>
      <formula>0.375</formula>
    </cfRule>
  </conditionalFormatting>
  <conditionalFormatting sqref="AM13">
    <cfRule type="cellIs" dxfId="865" priority="24" operator="between">
      <formula>0.3751</formula>
      <formula>0.5625</formula>
    </cfRule>
  </conditionalFormatting>
  <conditionalFormatting sqref="AN13">
    <cfRule type="cellIs" dxfId="864" priority="23" operator="between">
      <formula>0.563</formula>
      <formula>0.7125</formula>
    </cfRule>
  </conditionalFormatting>
  <conditionalFormatting sqref="AO13">
    <cfRule type="cellIs" dxfId="863" priority="22" operator="between">
      <formula>0.713</formula>
      <formula>0.75</formula>
    </cfRule>
  </conditionalFormatting>
  <conditionalFormatting sqref="AP13">
    <cfRule type="cellIs" dxfId="862" priority="21" operator="greaterThan">
      <formula>0.755</formula>
    </cfRule>
  </conditionalFormatting>
  <conditionalFormatting sqref="J7:J9">
    <cfRule type="cellIs" dxfId="861" priority="20" stopIfTrue="1" operator="between">
      <formula>0</formula>
      <formula>0.125</formula>
    </cfRule>
  </conditionalFormatting>
  <conditionalFormatting sqref="K7:K9">
    <cfRule type="cellIs" dxfId="860" priority="19" operator="between">
      <formula>0.1251</formula>
      <formula>0.1875</formula>
    </cfRule>
  </conditionalFormatting>
  <conditionalFormatting sqref="L7:L9">
    <cfRule type="cellIs" dxfId="859" priority="18" operator="between">
      <formula>0.1876</formula>
      <formula>0.2375</formula>
    </cfRule>
  </conditionalFormatting>
  <conditionalFormatting sqref="M7:M9">
    <cfRule type="cellIs" dxfId="858" priority="17" operator="between">
      <formula>0.2376</formula>
      <formula>0.25</formula>
    </cfRule>
  </conditionalFormatting>
  <conditionalFormatting sqref="N7:N9">
    <cfRule type="cellIs" dxfId="857" priority="16" operator="greaterThan">
      <formula>0.25</formula>
    </cfRule>
  </conditionalFormatting>
  <conditionalFormatting sqref="J11">
    <cfRule type="cellIs" dxfId="856" priority="15" stopIfTrue="1" operator="between">
      <formula>0</formula>
      <formula>0.125</formula>
    </cfRule>
  </conditionalFormatting>
  <conditionalFormatting sqref="K11">
    <cfRule type="cellIs" dxfId="855" priority="14" operator="between">
      <formula>0.1251</formula>
      <formula>0.1875</formula>
    </cfRule>
  </conditionalFormatting>
  <conditionalFormatting sqref="L11">
    <cfRule type="cellIs" dxfId="854" priority="13" operator="between">
      <formula>0.1876</formula>
      <formula>0.2375</formula>
    </cfRule>
  </conditionalFormatting>
  <conditionalFormatting sqref="M11">
    <cfRule type="cellIs" dxfId="853" priority="12" operator="between">
      <formula>0.2376</formula>
      <formula>0.25</formula>
    </cfRule>
  </conditionalFormatting>
  <conditionalFormatting sqref="N11">
    <cfRule type="cellIs" dxfId="852" priority="11" operator="greaterThan">
      <formula>0.25</formula>
    </cfRule>
  </conditionalFormatting>
  <conditionalFormatting sqref="J13">
    <cfRule type="cellIs" dxfId="851" priority="10" stopIfTrue="1" operator="between">
      <formula>0</formula>
      <formula>0.125</formula>
    </cfRule>
  </conditionalFormatting>
  <conditionalFormatting sqref="K13">
    <cfRule type="cellIs" dxfId="850" priority="9" operator="between">
      <formula>0.1251</formula>
      <formula>0.1875</formula>
    </cfRule>
  </conditionalFormatting>
  <conditionalFormatting sqref="L13">
    <cfRule type="cellIs" dxfId="849" priority="8" operator="between">
      <formula>0.1876</formula>
      <formula>0.2375</formula>
    </cfRule>
  </conditionalFormatting>
  <conditionalFormatting sqref="M13">
    <cfRule type="cellIs" dxfId="848" priority="7" operator="between">
      <formula>0.2376</formula>
      <formula>0.25</formula>
    </cfRule>
  </conditionalFormatting>
  <conditionalFormatting sqref="N13">
    <cfRule type="cellIs" dxfId="847" priority="6" operator="greaterThan">
      <formula>0.25</formula>
    </cfRule>
  </conditionalFormatting>
  <conditionalFormatting sqref="G7">
    <cfRule type="cellIs" dxfId="846" priority="5" operator="between">
      <formula>0.96</formula>
      <formula>1</formula>
    </cfRule>
  </conditionalFormatting>
  <conditionalFormatting sqref="G8">
    <cfRule type="cellIs" dxfId="845" priority="4" operator="between">
      <formula>0.96</formula>
      <formula>1</formula>
    </cfRule>
  </conditionalFormatting>
  <conditionalFormatting sqref="G9">
    <cfRule type="cellIs" dxfId="844" priority="3" operator="between">
      <formula>0.96</formula>
      <formula>1</formula>
    </cfRule>
  </conditionalFormatting>
  <conditionalFormatting sqref="G11">
    <cfRule type="cellIs" dxfId="843" priority="2" operator="between">
      <formula>0.96</formula>
      <formula>1</formula>
    </cfRule>
  </conditionalFormatting>
  <conditionalFormatting sqref="G13">
    <cfRule type="cellIs" dxfId="842" priority="1" operator="between">
      <formula>0.96</formula>
      <formula>1</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00A-4233-4527-BD4A-FFC895A9E9DF}">
  <dimension ref="A1:BA15"/>
  <sheetViews>
    <sheetView showGridLines="0" topLeftCell="A10" workbookViewId="0">
      <selection activeCell="I15" sqref="I15"/>
    </sheetView>
  </sheetViews>
  <sheetFormatPr baseColWidth="10" defaultRowHeight="15" x14ac:dyDescent="0.25"/>
  <cols>
    <col min="1" max="1" width="49" customWidth="1"/>
    <col min="2" max="2" width="2.28515625" customWidth="1"/>
    <col min="3" max="3" width="15.85546875" customWidth="1"/>
    <col min="4" max="8" width="3.28515625" customWidth="1"/>
    <col min="9" max="9" width="16.28515625" customWidth="1"/>
    <col min="10" max="14" width="3.28515625" customWidth="1"/>
    <col min="15" max="15" width="2.7109375" hidden="1" customWidth="1"/>
    <col min="16" max="16" width="17.85546875" hidden="1" customWidth="1"/>
    <col min="17" max="21" width="3.28515625" hidden="1" customWidth="1"/>
    <col min="22" max="22" width="11.7109375" hidden="1" customWidth="1"/>
    <col min="23" max="27" width="3.28515625" hidden="1" customWidth="1"/>
    <col min="28" max="28" width="3.140625" hidden="1" customWidth="1"/>
    <col min="29" max="29" width="11.7109375" hidden="1" customWidth="1"/>
    <col min="30" max="34" width="3.28515625" hidden="1" customWidth="1"/>
    <col min="35" max="35" width="11.7109375" hidden="1" customWidth="1"/>
    <col min="36" max="40" width="3.28515625" hidden="1" customWidth="1"/>
    <col min="41" max="41" width="2.85546875" hidden="1" customWidth="1"/>
    <col min="42" max="42" width="11.7109375" hidden="1" customWidth="1"/>
    <col min="43" max="47" width="3.28515625" hidden="1" customWidth="1"/>
    <col min="48" max="48" width="12.5703125" hidden="1" customWidth="1"/>
    <col min="49" max="53" width="3.28515625" hidden="1" customWidth="1"/>
  </cols>
  <sheetData>
    <row r="1" spans="1:53" ht="25.5" customHeight="1" x14ac:dyDescent="0.25">
      <c r="A1" s="1108"/>
      <c r="B1" s="1082" t="s">
        <v>248</v>
      </c>
      <c r="C1" s="1083"/>
      <c r="D1" s="1083"/>
      <c r="E1" s="1083"/>
      <c r="F1" s="1083"/>
      <c r="G1" s="1083"/>
      <c r="H1" s="1047"/>
      <c r="I1" s="1049" t="s">
        <v>249</v>
      </c>
      <c r="J1" s="1083"/>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1083"/>
      <c r="AO1" s="1083"/>
      <c r="AP1" s="1084"/>
      <c r="AQ1" s="1085"/>
      <c r="AR1" s="1085"/>
      <c r="AS1" s="1085"/>
      <c r="AT1" s="1085"/>
      <c r="AU1" s="1085"/>
      <c r="AV1" s="1085"/>
      <c r="AW1" s="1085"/>
      <c r="AX1" s="1085"/>
      <c r="AY1" s="1085"/>
      <c r="AZ1" s="1085"/>
      <c r="BA1" s="1086"/>
    </row>
    <row r="2" spans="1:53" ht="15" customHeight="1" x14ac:dyDescent="0.25">
      <c r="A2" s="1109"/>
      <c r="B2" s="1093" t="s">
        <v>250</v>
      </c>
      <c r="C2" s="1094"/>
      <c r="D2" s="1094"/>
      <c r="E2" s="1094"/>
      <c r="F2" s="1094"/>
      <c r="G2" s="1094"/>
      <c r="H2" s="1052"/>
      <c r="I2" s="1054" t="s">
        <v>211</v>
      </c>
      <c r="J2" s="1094"/>
      <c r="K2" s="1094"/>
      <c r="L2" s="1094"/>
      <c r="M2" s="1094"/>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094"/>
      <c r="AP2" s="1087"/>
      <c r="AQ2" s="1088"/>
      <c r="AR2" s="1088"/>
      <c r="AS2" s="1088"/>
      <c r="AT2" s="1088"/>
      <c r="AU2" s="1088"/>
      <c r="AV2" s="1088"/>
      <c r="AW2" s="1088"/>
      <c r="AX2" s="1088"/>
      <c r="AY2" s="1088"/>
      <c r="AZ2" s="1088"/>
      <c r="BA2" s="1089"/>
    </row>
    <row r="3" spans="1:53" ht="15.75" customHeight="1" thickBot="1" x14ac:dyDescent="0.3">
      <c r="A3" s="1110"/>
      <c r="B3" s="1095" t="s">
        <v>244</v>
      </c>
      <c r="C3" s="1062"/>
      <c r="D3" s="1062"/>
      <c r="E3" s="1062"/>
      <c r="F3" s="1062"/>
      <c r="G3" s="1062"/>
      <c r="H3" s="1057"/>
      <c r="I3" s="1059" t="s">
        <v>253</v>
      </c>
      <c r="J3" s="1062"/>
      <c r="K3" s="1062"/>
      <c r="L3" s="1062"/>
      <c r="M3" s="1062"/>
      <c r="N3" s="1057"/>
      <c r="O3" s="1096" t="s">
        <v>255</v>
      </c>
      <c r="P3" s="1097"/>
      <c r="Q3" s="1097"/>
      <c r="R3" s="1097"/>
      <c r="S3" s="1097"/>
      <c r="T3" s="1097"/>
      <c r="U3" s="1097"/>
      <c r="V3" s="1097"/>
      <c r="W3" s="1097"/>
      <c r="X3" s="1097"/>
      <c r="Y3" s="1097"/>
      <c r="Z3" s="1097"/>
      <c r="AA3" s="1097"/>
      <c r="AB3" s="1097"/>
      <c r="AC3" s="1097"/>
      <c r="AD3" s="1097"/>
      <c r="AE3" s="1097"/>
      <c r="AF3" s="1097"/>
      <c r="AG3" s="1097"/>
      <c r="AH3" s="1098"/>
      <c r="AI3" s="391" t="s">
        <v>251</v>
      </c>
      <c r="AJ3" s="1059">
        <v>1</v>
      </c>
      <c r="AK3" s="1062"/>
      <c r="AL3" s="1062"/>
      <c r="AM3" s="1062"/>
      <c r="AN3" s="1062"/>
      <c r="AO3" s="1062"/>
      <c r="AP3" s="1090"/>
      <c r="AQ3" s="1091"/>
      <c r="AR3" s="1091"/>
      <c r="AS3" s="1091"/>
      <c r="AT3" s="1091"/>
      <c r="AU3" s="1091"/>
      <c r="AV3" s="1091"/>
      <c r="AW3" s="1091"/>
      <c r="AX3" s="1091"/>
      <c r="AY3" s="1091"/>
      <c r="AZ3" s="1091"/>
      <c r="BA3" s="1092"/>
    </row>
    <row r="4" spans="1:53" ht="15.75" thickBot="1" x14ac:dyDescent="0.3"/>
    <row r="5" spans="1:53" ht="72.75" customHeight="1" thickBot="1" x14ac:dyDescent="0.3">
      <c r="A5" s="422" t="s">
        <v>207</v>
      </c>
      <c r="B5" s="425"/>
      <c r="C5" s="1104" t="s">
        <v>1305</v>
      </c>
      <c r="D5" s="1111"/>
      <c r="E5" s="1111"/>
      <c r="F5" s="1111"/>
      <c r="G5" s="1111"/>
      <c r="H5" s="1112"/>
      <c r="I5" s="1107" t="s">
        <v>1306</v>
      </c>
      <c r="J5" s="1103"/>
      <c r="K5" s="1103"/>
      <c r="L5" s="1103"/>
      <c r="M5" s="1103"/>
      <c r="N5" s="1103"/>
      <c r="P5" s="1104" t="s">
        <v>1308</v>
      </c>
      <c r="Q5" s="1111"/>
      <c r="R5" s="1111"/>
      <c r="S5" s="1111"/>
      <c r="T5" s="1111"/>
      <c r="U5" s="1112"/>
      <c r="V5" s="1107" t="s">
        <v>1309</v>
      </c>
      <c r="W5" s="1103"/>
      <c r="X5" s="1103"/>
      <c r="Y5" s="1103"/>
      <c r="Z5" s="1103"/>
      <c r="AA5" s="1103"/>
      <c r="AB5" s="438"/>
      <c r="AC5" s="1104" t="s">
        <v>1310</v>
      </c>
      <c r="AD5" s="1111"/>
      <c r="AE5" s="1111"/>
      <c r="AF5" s="1111"/>
      <c r="AG5" s="1111"/>
      <c r="AH5" s="1112"/>
      <c r="AI5" s="1107" t="s">
        <v>1311</v>
      </c>
      <c r="AJ5" s="1103"/>
      <c r="AK5" s="1103"/>
      <c r="AL5" s="1103"/>
      <c r="AM5" s="1103"/>
      <c r="AN5" s="1103"/>
      <c r="AO5" s="438"/>
      <c r="AP5" s="1104" t="s">
        <v>1312</v>
      </c>
      <c r="AQ5" s="1111"/>
      <c r="AR5" s="1111"/>
      <c r="AS5" s="1111"/>
      <c r="AT5" s="1111"/>
      <c r="AU5" s="1112"/>
      <c r="AV5" s="1107" t="s">
        <v>1313</v>
      </c>
      <c r="AW5" s="1103"/>
      <c r="AX5" s="1103"/>
      <c r="AY5" s="1103"/>
      <c r="AZ5" s="1103"/>
      <c r="BA5" s="1103"/>
    </row>
    <row r="6" spans="1:53" ht="54" x14ac:dyDescent="0.25">
      <c r="A6" s="490" t="s">
        <v>1330</v>
      </c>
      <c r="B6" s="423"/>
      <c r="C6" s="491">
        <f>AVERAGE('Cuadro Mando Integral Detallado'!L128,'Cuadro Mando Integral Detallado'!L130:L135,'Cuadro Mando Integral Detallado'!L193:L194)</f>
        <v>0.75000171403310667</v>
      </c>
      <c r="D6" s="439">
        <f t="shared" ref="D6:D15" si="0">+C6</f>
        <v>0.75000171403310667</v>
      </c>
      <c r="E6" s="429">
        <f t="shared" ref="E6:E15" si="1">+C6</f>
        <v>0.75000171403310667</v>
      </c>
      <c r="F6" s="429">
        <f t="shared" ref="F6:F15" si="2">+C6</f>
        <v>0.75000171403310667</v>
      </c>
      <c r="G6" s="429">
        <f t="shared" ref="G6:G15" si="3">+C6</f>
        <v>0.75000171403310667</v>
      </c>
      <c r="H6" s="430">
        <f t="shared" ref="H6:H15" si="4">+C6</f>
        <v>0.75000171403310667</v>
      </c>
      <c r="I6" s="656">
        <f>AVERAGE('Cuadro Mando Integral Detallado'!O128,'Cuadro Mando Integral Detallado'!O130:O135,'Cuadro Mando Integral Detallado'!O193:O194)</f>
        <v>0.18750042850827667</v>
      </c>
      <c r="J6" s="432">
        <f t="shared" ref="J6:J15" si="5">+I6</f>
        <v>0.18750042850827667</v>
      </c>
      <c r="K6" s="433">
        <f t="shared" ref="K6:K15" si="6">+I6</f>
        <v>0.18750042850827667</v>
      </c>
      <c r="L6" s="433">
        <f t="shared" ref="L6:L15" si="7">+I6</f>
        <v>0.18750042850827667</v>
      </c>
      <c r="M6" s="433">
        <f t="shared" ref="M6:M15" si="8">+I6</f>
        <v>0.18750042850827667</v>
      </c>
      <c r="N6" s="434">
        <f t="shared" ref="N6:N15" si="9">+I6</f>
        <v>0.18750042850827667</v>
      </c>
      <c r="O6" s="17"/>
      <c r="P6" s="491" t="e">
        <f>AVERAGE('Cuadro Mando Integral Detallado'!S128:S135,'Cuadro Mando Integral Detallado'!S193:S194)</f>
        <v>#VALUE!</v>
      </c>
      <c r="Q6" s="439" t="e">
        <f t="shared" ref="Q6:Q15" si="10">+P6</f>
        <v>#VALUE!</v>
      </c>
      <c r="R6" s="429" t="e">
        <f t="shared" ref="R6:R15" si="11">+P6</f>
        <v>#VALUE!</v>
      </c>
      <c r="S6" s="429" t="e">
        <f t="shared" ref="S6:S15" si="12">+P6</f>
        <v>#VALUE!</v>
      </c>
      <c r="T6" s="429" t="e">
        <f t="shared" ref="T6:T15" si="13">+P6</f>
        <v>#VALUE!</v>
      </c>
      <c r="U6" s="430" t="e">
        <f t="shared" ref="U6:U15" si="14">+P6</f>
        <v>#VALUE!</v>
      </c>
      <c r="V6" s="491" t="e">
        <f>AVERAGE('Cuadro Mando Integral Detallado'!V128:V135,'Cuadro Mando Integral Detallado'!V193:V194)</f>
        <v>#VALUE!</v>
      </c>
      <c r="W6" s="432" t="e">
        <f t="shared" ref="W6:W15" si="15">+V6</f>
        <v>#VALUE!</v>
      </c>
      <c r="X6" s="433" t="e">
        <f t="shared" ref="X6:X15" si="16">+V6</f>
        <v>#VALUE!</v>
      </c>
      <c r="Y6" s="433" t="e">
        <f t="shared" ref="Y6:Y15" si="17">+V6</f>
        <v>#VALUE!</v>
      </c>
      <c r="Z6" s="433" t="e">
        <f>+V6</f>
        <v>#VALUE!</v>
      </c>
      <c r="AA6" s="434" t="e">
        <f t="shared" ref="AA6:AA15" si="18">+V6</f>
        <v>#VALUE!</v>
      </c>
      <c r="AB6" s="483"/>
      <c r="AC6" s="491" t="e">
        <f>AVERAGE('Cuadro Mando Integral Detallado'!Z128:Z135,'Cuadro Mando Integral Detallado'!Z193:Z194)</f>
        <v>#VALUE!</v>
      </c>
      <c r="AD6" s="439" t="e">
        <f t="shared" ref="AD6:AD15" si="19">+AC6</f>
        <v>#VALUE!</v>
      </c>
      <c r="AE6" s="429" t="e">
        <f t="shared" ref="AE6:AE15" si="20">+AC6</f>
        <v>#VALUE!</v>
      </c>
      <c r="AF6" s="429" t="e">
        <f t="shared" ref="AF6:AF15" si="21">+AC6</f>
        <v>#VALUE!</v>
      </c>
      <c r="AG6" s="429" t="e">
        <f t="shared" ref="AG6:AG14" si="22">+AC6</f>
        <v>#VALUE!</v>
      </c>
      <c r="AH6" s="430" t="e">
        <f t="shared" ref="AH6:AH15" si="23">+AC6</f>
        <v>#VALUE!</v>
      </c>
      <c r="AI6" s="491" t="e">
        <f>AVERAGE('Cuadro Mando Integral Detallado'!AC128:AC135,'Cuadro Mando Integral Detallado'!AC193:AC194)</f>
        <v>#VALUE!</v>
      </c>
      <c r="AJ6" s="439" t="e">
        <f t="shared" ref="AJ6:AJ15" si="24">+AI6</f>
        <v>#VALUE!</v>
      </c>
      <c r="AK6" s="433" t="e">
        <f t="shared" ref="AK6:AK15" si="25">+AI6</f>
        <v>#VALUE!</v>
      </c>
      <c r="AL6" s="433" t="e">
        <f t="shared" ref="AL6:AL15" si="26">+AI6</f>
        <v>#VALUE!</v>
      </c>
      <c r="AM6" s="433" t="e">
        <f t="shared" ref="AM6:AM15" si="27">+AI6</f>
        <v>#VALUE!</v>
      </c>
      <c r="AN6" s="434" t="e">
        <f t="shared" ref="AN6:AN15" si="28">+AI6</f>
        <v>#VALUE!</v>
      </c>
      <c r="AO6" s="483"/>
      <c r="AP6" s="491" t="e">
        <f>AVERAGE('Cuadro Mando Integral Detallado'!AG128:AG135,'Cuadro Mando Integral Detallado'!AG193:AG194)</f>
        <v>#VALUE!</v>
      </c>
      <c r="AQ6" s="439" t="e">
        <f t="shared" ref="AQ6:AQ15" si="29">+AP6</f>
        <v>#VALUE!</v>
      </c>
      <c r="AR6" s="429" t="e">
        <f t="shared" ref="AR6:AR15" si="30">+AP6</f>
        <v>#VALUE!</v>
      </c>
      <c r="AS6" s="429" t="e">
        <f t="shared" ref="AS6:AS15" si="31">+AP6</f>
        <v>#VALUE!</v>
      </c>
      <c r="AT6" s="429" t="e">
        <f t="shared" ref="AT6:AT15" si="32">+AP6</f>
        <v>#VALUE!</v>
      </c>
      <c r="AU6" s="430" t="e">
        <f t="shared" ref="AU6:AU15" si="33">+AP6</f>
        <v>#VALUE!</v>
      </c>
      <c r="AV6" s="491" t="e">
        <f>AVERAGE('Cuadro Mando Integral Detallado'!AI128:AI135,'Cuadro Mando Integral Detallado'!AI193:AI194)</f>
        <v>#VALUE!</v>
      </c>
      <c r="AW6" s="439" t="e">
        <f t="shared" ref="AW6:AW15" si="34">+AV6</f>
        <v>#VALUE!</v>
      </c>
      <c r="AX6" s="433" t="e">
        <f t="shared" ref="AX6:AX15" si="35">+AV6</f>
        <v>#VALUE!</v>
      </c>
      <c r="AY6" s="433" t="e">
        <f t="shared" ref="AY6:AY15" si="36">+AV6</f>
        <v>#VALUE!</v>
      </c>
      <c r="AZ6" s="433" t="e">
        <f t="shared" ref="AZ6:AZ15" si="37">+AV6</f>
        <v>#VALUE!</v>
      </c>
      <c r="BA6" s="434" t="e">
        <f t="shared" ref="BA6:BA15" si="38">+AV6</f>
        <v>#VALUE!</v>
      </c>
    </row>
    <row r="7" spans="1:53" ht="54" x14ac:dyDescent="0.25">
      <c r="A7" s="441" t="s">
        <v>1329</v>
      </c>
      <c r="B7" s="423"/>
      <c r="C7" s="492">
        <f>AVERAGE('Cuadro Mando Integral Detallado'!L140:L145,'Cuadro Mando Integral Detallado'!L196:L198)</f>
        <v>0.87311520758225059</v>
      </c>
      <c r="D7" s="652">
        <f t="shared" si="0"/>
        <v>0.87311520758225059</v>
      </c>
      <c r="E7" s="650">
        <f t="shared" si="1"/>
        <v>0.87311520758225059</v>
      </c>
      <c r="F7" s="650">
        <f t="shared" si="2"/>
        <v>0.87311520758225059</v>
      </c>
      <c r="G7" s="444">
        <f t="shared" si="3"/>
        <v>0.87311520758225059</v>
      </c>
      <c r="H7" s="651">
        <f t="shared" si="4"/>
        <v>0.87311520758225059</v>
      </c>
      <c r="I7" s="498">
        <f>AVERAGE('Cuadro Mando Integral Detallado'!O140:O145,'Cuadro Mando Integral Detallado'!O196:O198)</f>
        <v>0.21827880189556265</v>
      </c>
      <c r="J7" s="646">
        <f t="shared" si="5"/>
        <v>0.21827880189556265</v>
      </c>
      <c r="K7" s="647">
        <f t="shared" si="6"/>
        <v>0.21827880189556265</v>
      </c>
      <c r="L7" s="647">
        <f t="shared" si="7"/>
        <v>0.21827880189556265</v>
      </c>
      <c r="M7" s="647">
        <f t="shared" si="8"/>
        <v>0.21827880189556265</v>
      </c>
      <c r="N7" s="648">
        <f t="shared" si="9"/>
        <v>0.21827880189556265</v>
      </c>
      <c r="O7" s="11"/>
      <c r="P7" s="492">
        <f>AVERAGE('Cuadro Mando Integral Detallado'!S140:S145,'Cuadro Mando Integral Detallado'!S196:S198)</f>
        <v>0</v>
      </c>
      <c r="Q7" s="453">
        <f t="shared" si="10"/>
        <v>0</v>
      </c>
      <c r="R7" s="444">
        <f t="shared" si="11"/>
        <v>0</v>
      </c>
      <c r="S7" s="444">
        <f t="shared" si="12"/>
        <v>0</v>
      </c>
      <c r="T7" s="444">
        <f t="shared" si="13"/>
        <v>0</v>
      </c>
      <c r="U7" s="445">
        <f t="shared" si="14"/>
        <v>0</v>
      </c>
      <c r="V7" s="492">
        <f>AVERAGE('Cuadro Mando Integral Detallado'!V140:V145,'Cuadro Mando Integral Detallado'!V196:V198)</f>
        <v>0.19402560168494457</v>
      </c>
      <c r="W7" s="447">
        <f t="shared" si="15"/>
        <v>0.19402560168494457</v>
      </c>
      <c r="X7" s="448">
        <f t="shared" si="16"/>
        <v>0.19402560168494457</v>
      </c>
      <c r="Y7" s="448">
        <f t="shared" si="17"/>
        <v>0.19402560168494457</v>
      </c>
      <c r="Z7" s="448">
        <f>+V7</f>
        <v>0.19402560168494457</v>
      </c>
      <c r="AA7" s="449">
        <f t="shared" si="18"/>
        <v>0.19402560168494457</v>
      </c>
      <c r="AB7" s="483"/>
      <c r="AC7" s="492">
        <f>AVERAGE('Cuadro Mando Integral Detallado'!Z140:Z145,'Cuadro Mando Integral Detallado'!Z196:Z198)</f>
        <v>0</v>
      </c>
      <c r="AD7" s="453">
        <f t="shared" si="19"/>
        <v>0</v>
      </c>
      <c r="AE7" s="444">
        <f t="shared" si="20"/>
        <v>0</v>
      </c>
      <c r="AF7" s="444">
        <f t="shared" si="21"/>
        <v>0</v>
      </c>
      <c r="AG7" s="444">
        <f t="shared" si="22"/>
        <v>0</v>
      </c>
      <c r="AH7" s="445">
        <f t="shared" si="23"/>
        <v>0</v>
      </c>
      <c r="AI7" s="492">
        <f>AVERAGE('Cuadro Mando Integral Detallado'!AC140:AC145,'Cuadro Mando Integral Detallado'!AC196:AC198)</f>
        <v>0.19402560168494457</v>
      </c>
      <c r="AJ7" s="453">
        <f t="shared" si="24"/>
        <v>0.19402560168494457</v>
      </c>
      <c r="AK7" s="448">
        <f t="shared" si="25"/>
        <v>0.19402560168494457</v>
      </c>
      <c r="AL7" s="448">
        <f t="shared" si="26"/>
        <v>0.19402560168494457</v>
      </c>
      <c r="AM7" s="448">
        <f t="shared" si="27"/>
        <v>0.19402560168494457</v>
      </c>
      <c r="AN7" s="449">
        <f t="shared" si="28"/>
        <v>0.19402560168494457</v>
      </c>
      <c r="AO7" s="483"/>
      <c r="AP7" s="492">
        <f>AVERAGE('Cuadro Mando Integral Detallado'!AG140:AG145,'Cuadro Mando Integral Detallado'!AG196:AG198)</f>
        <v>0</v>
      </c>
      <c r="AQ7" s="453">
        <f t="shared" si="29"/>
        <v>0</v>
      </c>
      <c r="AR7" s="444">
        <f t="shared" si="30"/>
        <v>0</v>
      </c>
      <c r="AS7" s="444">
        <f t="shared" si="31"/>
        <v>0</v>
      </c>
      <c r="AT7" s="444">
        <f t="shared" si="32"/>
        <v>0</v>
      </c>
      <c r="AU7" s="445">
        <f t="shared" si="33"/>
        <v>0</v>
      </c>
      <c r="AV7" s="492">
        <f>AVERAGE('Cuadro Mando Integral Detallado'!AI140:AI145,'Cuadro Mando Integral Detallado'!AI196:AI198)</f>
        <v>0.19402560168494457</v>
      </c>
      <c r="AW7" s="453">
        <f t="shared" si="34"/>
        <v>0.19402560168494457</v>
      </c>
      <c r="AX7" s="448">
        <f t="shared" si="35"/>
        <v>0.19402560168494457</v>
      </c>
      <c r="AY7" s="448">
        <f t="shared" si="36"/>
        <v>0.19402560168494457</v>
      </c>
      <c r="AZ7" s="448">
        <f t="shared" si="37"/>
        <v>0.19402560168494457</v>
      </c>
      <c r="BA7" s="449">
        <f t="shared" si="38"/>
        <v>0.19402560168494457</v>
      </c>
    </row>
    <row r="8" spans="1:53" ht="72" x14ac:dyDescent="0.25">
      <c r="A8" s="441" t="s">
        <v>1331</v>
      </c>
      <c r="B8" s="423"/>
      <c r="C8" s="492">
        <f>AVERAGE('Cuadro Mando Integral Detallado'!L136:L139,'Cuadro Mando Integral Detallado'!L195)</f>
        <v>0.99642535533489107</v>
      </c>
      <c r="D8" s="652">
        <f t="shared" si="0"/>
        <v>0.99642535533489107</v>
      </c>
      <c r="E8" s="650">
        <f t="shared" si="1"/>
        <v>0.99642535533489107</v>
      </c>
      <c r="F8" s="650">
        <f t="shared" si="2"/>
        <v>0.99642535533489107</v>
      </c>
      <c r="G8" s="444">
        <f t="shared" si="3"/>
        <v>0.99642535533489107</v>
      </c>
      <c r="H8" s="651">
        <f t="shared" si="4"/>
        <v>0.99642535533489107</v>
      </c>
      <c r="I8" s="498">
        <f>AVERAGE('Cuadro Mando Integral Detallado'!O136:O139,'Cuadro Mando Integral Detallado'!O195)</f>
        <v>0.24910810347079912</v>
      </c>
      <c r="J8" s="447">
        <f t="shared" si="5"/>
        <v>0.24910810347079912</v>
      </c>
      <c r="K8" s="448">
        <f t="shared" si="6"/>
        <v>0.24910810347079912</v>
      </c>
      <c r="L8" s="448">
        <f t="shared" si="7"/>
        <v>0.24910810347079912</v>
      </c>
      <c r="M8" s="448">
        <f t="shared" si="8"/>
        <v>0.24910810347079912</v>
      </c>
      <c r="N8" s="449">
        <f t="shared" si="9"/>
        <v>0.24910810347079912</v>
      </c>
      <c r="O8" s="11"/>
      <c r="P8" s="492">
        <f>AVERAGE('Cuadro Mando Integral Detallado'!S136:S139,'Cuadro Mando Integral Detallado'!S195)</f>
        <v>0</v>
      </c>
      <c r="Q8" s="453">
        <f t="shared" si="10"/>
        <v>0</v>
      </c>
      <c r="R8" s="444">
        <f t="shared" si="11"/>
        <v>0</v>
      </c>
      <c r="S8" s="444">
        <f t="shared" si="12"/>
        <v>0</v>
      </c>
      <c r="T8" s="444">
        <f t="shared" si="13"/>
        <v>0</v>
      </c>
      <c r="U8" s="445">
        <f t="shared" si="14"/>
        <v>0</v>
      </c>
      <c r="V8" s="492">
        <f>AVERAGE('Cuadro Mando Integral Detallado'!V136:V139,'Cuadro Mando Integral Detallado'!V195)</f>
        <v>0.62459486359540972</v>
      </c>
      <c r="W8" s="447">
        <f t="shared" si="15"/>
        <v>0.62459486359540972</v>
      </c>
      <c r="X8" s="448">
        <f t="shared" si="16"/>
        <v>0.62459486359540972</v>
      </c>
      <c r="Y8" s="448">
        <f t="shared" si="17"/>
        <v>0.62459486359540972</v>
      </c>
      <c r="Z8" s="448">
        <f>+V8</f>
        <v>0.62459486359540972</v>
      </c>
      <c r="AA8" s="449">
        <f t="shared" si="18"/>
        <v>0.62459486359540972</v>
      </c>
      <c r="AB8" s="483"/>
      <c r="AC8" s="492">
        <f>AVERAGE('Cuadro Mando Integral Detallado'!Z136:Z139,'Cuadro Mando Integral Detallado'!Z195)</f>
        <v>0</v>
      </c>
      <c r="AD8" s="453">
        <f t="shared" si="19"/>
        <v>0</v>
      </c>
      <c r="AE8" s="444">
        <f t="shared" si="20"/>
        <v>0</v>
      </c>
      <c r="AF8" s="444">
        <f t="shared" si="21"/>
        <v>0</v>
      </c>
      <c r="AG8" s="444">
        <f t="shared" si="22"/>
        <v>0</v>
      </c>
      <c r="AH8" s="445">
        <f t="shared" si="23"/>
        <v>0</v>
      </c>
      <c r="AI8" s="492">
        <f>AVERAGE('Cuadro Mando Integral Detallado'!AC136:AC139,'Cuadro Mando Integral Detallado'!AC195)</f>
        <v>0.62459486359540972</v>
      </c>
      <c r="AJ8" s="453">
        <f t="shared" si="24"/>
        <v>0.62459486359540972</v>
      </c>
      <c r="AK8" s="448">
        <f t="shared" si="25"/>
        <v>0.62459486359540972</v>
      </c>
      <c r="AL8" s="448">
        <f t="shared" si="26"/>
        <v>0.62459486359540972</v>
      </c>
      <c r="AM8" s="448">
        <f t="shared" si="27"/>
        <v>0.62459486359540972</v>
      </c>
      <c r="AN8" s="449">
        <f t="shared" si="28"/>
        <v>0.62459486359540972</v>
      </c>
      <c r="AO8" s="483"/>
      <c r="AP8" s="492">
        <f>AVERAGE('Cuadro Mando Integral Detallado'!AG136:AG139,'Cuadro Mando Integral Detallado'!AG195)</f>
        <v>0</v>
      </c>
      <c r="AQ8" s="453">
        <f t="shared" si="29"/>
        <v>0</v>
      </c>
      <c r="AR8" s="444">
        <f t="shared" si="30"/>
        <v>0</v>
      </c>
      <c r="AS8" s="444">
        <f t="shared" si="31"/>
        <v>0</v>
      </c>
      <c r="AT8" s="444">
        <f t="shared" si="32"/>
        <v>0</v>
      </c>
      <c r="AU8" s="445">
        <f t="shared" si="33"/>
        <v>0</v>
      </c>
      <c r="AV8" s="492">
        <f>AVERAGE('Cuadro Mando Integral Detallado'!AI136:AI139,'Cuadro Mando Integral Detallado'!AI195)</f>
        <v>0.62459486359540972</v>
      </c>
      <c r="AW8" s="453">
        <f t="shared" si="34"/>
        <v>0.62459486359540972</v>
      </c>
      <c r="AX8" s="448">
        <f t="shared" si="35"/>
        <v>0.62459486359540972</v>
      </c>
      <c r="AY8" s="448">
        <f t="shared" si="36"/>
        <v>0.62459486359540972</v>
      </c>
      <c r="AZ8" s="448">
        <f t="shared" si="37"/>
        <v>0.62459486359540972</v>
      </c>
      <c r="BA8" s="449">
        <f t="shared" si="38"/>
        <v>0.62459486359540972</v>
      </c>
    </row>
    <row r="9" spans="1:53" ht="54" x14ac:dyDescent="0.25">
      <c r="A9" s="441" t="s">
        <v>1333</v>
      </c>
      <c r="B9" s="423"/>
      <c r="C9" s="492" t="e">
        <f>AVERAGE('Cuadro Mando Integral Detallado'!L199:L201)</f>
        <v>#DIV/0!</v>
      </c>
      <c r="D9" s="652" t="e">
        <f>+C9</f>
        <v>#DIV/0!</v>
      </c>
      <c r="E9" s="650" t="e">
        <f>+C9</f>
        <v>#DIV/0!</v>
      </c>
      <c r="F9" s="650" t="e">
        <f>+C9</f>
        <v>#DIV/0!</v>
      </c>
      <c r="G9" s="444" t="e">
        <f>+C9</f>
        <v>#DIV/0!</v>
      </c>
      <c r="H9" s="651" t="e">
        <f>+C9</f>
        <v>#DIV/0!</v>
      </c>
      <c r="I9" s="498" t="e">
        <f>AVERAGE('Cuadro Mando Integral Detallado'!O199:O201)</f>
        <v>#DIV/0!</v>
      </c>
      <c r="J9" s="447" t="e">
        <f t="shared" si="5"/>
        <v>#DIV/0!</v>
      </c>
      <c r="K9" s="448" t="e">
        <f t="shared" si="6"/>
        <v>#DIV/0!</v>
      </c>
      <c r="L9" s="448" t="e">
        <f t="shared" si="7"/>
        <v>#DIV/0!</v>
      </c>
      <c r="M9" s="448" t="e">
        <f t="shared" si="8"/>
        <v>#DIV/0!</v>
      </c>
      <c r="N9" s="449" t="e">
        <f t="shared" si="9"/>
        <v>#DIV/0!</v>
      </c>
      <c r="O9" s="11"/>
      <c r="P9" s="492">
        <f>AVERAGE('Cuadro Mando Integral Detallado'!S199:S201)</f>
        <v>0</v>
      </c>
      <c r="Q9" s="453">
        <f t="shared" si="10"/>
        <v>0</v>
      </c>
      <c r="R9" s="444">
        <f>+P9</f>
        <v>0</v>
      </c>
      <c r="S9" s="444">
        <f>+P9</f>
        <v>0</v>
      </c>
      <c r="T9" s="444">
        <f>+P9</f>
        <v>0</v>
      </c>
      <c r="U9" s="445">
        <f>+Q9</f>
        <v>0</v>
      </c>
      <c r="V9" s="492">
        <f>AVERAGE('Cuadro Mando Integral Detallado'!V199:V201)</f>
        <v>0</v>
      </c>
      <c r="W9" s="447">
        <f t="shared" si="15"/>
        <v>0</v>
      </c>
      <c r="X9" s="448">
        <f t="shared" si="16"/>
        <v>0</v>
      </c>
      <c r="Y9" s="448">
        <f t="shared" si="17"/>
        <v>0</v>
      </c>
      <c r="Z9" s="448">
        <f>+V9</f>
        <v>0</v>
      </c>
      <c r="AA9" s="449">
        <f t="shared" si="18"/>
        <v>0</v>
      </c>
      <c r="AB9" s="483"/>
      <c r="AC9" s="492" t="e">
        <f>AVERAGE('Cuadro Mando Integral Detallado'!Z199:Z201)</f>
        <v>#DIV/0!</v>
      </c>
      <c r="AD9" s="453" t="e">
        <f>+AC9</f>
        <v>#DIV/0!</v>
      </c>
      <c r="AE9" s="444" t="e">
        <f>+AC9</f>
        <v>#DIV/0!</v>
      </c>
      <c r="AF9" s="444" t="e">
        <f>+AC9</f>
        <v>#DIV/0!</v>
      </c>
      <c r="AG9" s="444" t="e">
        <f t="shared" si="22"/>
        <v>#DIV/0!</v>
      </c>
      <c r="AH9" s="445" t="e">
        <f>+AC9</f>
        <v>#DIV/0!</v>
      </c>
      <c r="AI9" s="492">
        <f>AVERAGE('Cuadro Mando Integral Detallado'!AC199:AI201)</f>
        <v>0</v>
      </c>
      <c r="AJ9" s="453">
        <f t="shared" si="24"/>
        <v>0</v>
      </c>
      <c r="AK9" s="448">
        <f t="shared" si="25"/>
        <v>0</v>
      </c>
      <c r="AL9" s="448">
        <f t="shared" si="26"/>
        <v>0</v>
      </c>
      <c r="AM9" s="448">
        <f t="shared" si="27"/>
        <v>0</v>
      </c>
      <c r="AN9" s="449">
        <f t="shared" si="28"/>
        <v>0</v>
      </c>
      <c r="AO9" s="483"/>
      <c r="AP9" s="492">
        <f>AVERAGE('Cuadro Mando Integral Detallado'!AG199:AG201)</f>
        <v>0</v>
      </c>
      <c r="AQ9" s="453">
        <f>+AP9</f>
        <v>0</v>
      </c>
      <c r="AR9" s="444">
        <f>+AP9</f>
        <v>0</v>
      </c>
      <c r="AS9" s="444">
        <f>+AP9</f>
        <v>0</v>
      </c>
      <c r="AT9" s="444">
        <f>+AP9</f>
        <v>0</v>
      </c>
      <c r="AU9" s="445">
        <f>+AP9</f>
        <v>0</v>
      </c>
      <c r="AV9" s="492">
        <f>AVERAGE('Cuadro Mando Integral Detallado'!AI199:AI201)</f>
        <v>0</v>
      </c>
      <c r="AW9" s="453">
        <f>+AV9</f>
        <v>0</v>
      </c>
      <c r="AX9" s="448">
        <f>+AV9</f>
        <v>0</v>
      </c>
      <c r="AY9" s="448">
        <f>+AV9</f>
        <v>0</v>
      </c>
      <c r="AZ9" s="448">
        <f>+AV9</f>
        <v>0</v>
      </c>
      <c r="BA9" s="449">
        <f>+AV9</f>
        <v>0</v>
      </c>
    </row>
    <row r="10" spans="1:53" ht="36" x14ac:dyDescent="0.25">
      <c r="A10" s="441" t="s">
        <v>1335</v>
      </c>
      <c r="B10" s="423"/>
      <c r="C10" s="492">
        <f>AVERAGE('Cuadro Mando Integral Detallado'!L147:L149,'Cuadro Mando Integral Detallado'!L202:L204)</f>
        <v>0.48255396856453397</v>
      </c>
      <c r="D10" s="652">
        <f>+C10</f>
        <v>0.48255396856453397</v>
      </c>
      <c r="E10" s="650">
        <f>+C10</f>
        <v>0.48255396856453397</v>
      </c>
      <c r="F10" s="650">
        <f>+C10</f>
        <v>0.48255396856453397</v>
      </c>
      <c r="G10" s="444">
        <f>+C10</f>
        <v>0.48255396856453397</v>
      </c>
      <c r="H10" s="651">
        <f>+C10</f>
        <v>0.48255396856453397</v>
      </c>
      <c r="I10" s="498">
        <f>AVERAGE('Cuadro Mando Integral Detallado'!O147:O149,'Cuadro Mando Integral Detallado'!O202:O204)</f>
        <v>0.21056273456537591</v>
      </c>
      <c r="J10" s="447">
        <f t="shared" si="5"/>
        <v>0.21056273456537591</v>
      </c>
      <c r="K10" s="448">
        <f t="shared" si="6"/>
        <v>0.21056273456537591</v>
      </c>
      <c r="L10" s="448">
        <f t="shared" si="7"/>
        <v>0.21056273456537591</v>
      </c>
      <c r="M10" s="448">
        <f t="shared" si="8"/>
        <v>0.21056273456537591</v>
      </c>
      <c r="N10" s="449">
        <f t="shared" si="9"/>
        <v>0.21056273456537591</v>
      </c>
      <c r="O10" s="11"/>
      <c r="P10" s="492">
        <f>AVERAGE('Cuadro Mando Integral Detallado'!S147:S149,'Cuadro Mando Integral Detallado'!S202:S204)</f>
        <v>0</v>
      </c>
      <c r="Q10" s="453">
        <f t="shared" si="10"/>
        <v>0</v>
      </c>
      <c r="R10" s="444">
        <f>+P10</f>
        <v>0</v>
      </c>
      <c r="S10" s="444">
        <f>+P10</f>
        <v>0</v>
      </c>
      <c r="T10" s="444">
        <f>+P10</f>
        <v>0</v>
      </c>
      <c r="U10" s="445">
        <f>+P10</f>
        <v>0</v>
      </c>
      <c r="V10" s="492">
        <f>AVERAGE('Cuadro Mando Integral Detallado'!V147:V149,'Cuadro Mando Integral Detallado'!V202:V204)</f>
        <v>0.21056273456537591</v>
      </c>
      <c r="W10" s="447">
        <f t="shared" si="15"/>
        <v>0.21056273456537591</v>
      </c>
      <c r="X10" s="448">
        <f t="shared" si="16"/>
        <v>0.21056273456537591</v>
      </c>
      <c r="Y10" s="448">
        <f t="shared" si="17"/>
        <v>0.21056273456537591</v>
      </c>
      <c r="Z10" s="448">
        <f>++V10</f>
        <v>0.21056273456537591</v>
      </c>
      <c r="AA10" s="449">
        <f t="shared" si="18"/>
        <v>0.21056273456537591</v>
      </c>
      <c r="AB10" s="483"/>
      <c r="AC10" s="492">
        <f>AVERAGE('Cuadro Mando Integral Detallado'!Z147:Z149,'Cuadro Mando Integral Detallado'!Z202:Z204)</f>
        <v>0</v>
      </c>
      <c r="AD10" s="453">
        <f>+AC10</f>
        <v>0</v>
      </c>
      <c r="AE10" s="444">
        <f>+AC10</f>
        <v>0</v>
      </c>
      <c r="AF10" s="444">
        <f>+AC10</f>
        <v>0</v>
      </c>
      <c r="AG10" s="444">
        <f t="shared" si="22"/>
        <v>0</v>
      </c>
      <c r="AH10" s="445">
        <f>+AC10</f>
        <v>0</v>
      </c>
      <c r="AI10" s="492">
        <f>AVERAGE('Cuadro Mando Integral Detallado'!AC147:AC149,'Cuadro Mando Integral Detallado'!AC202:AC204)</f>
        <v>0.21056273456537591</v>
      </c>
      <c r="AJ10" s="453">
        <f t="shared" si="24"/>
        <v>0.21056273456537591</v>
      </c>
      <c r="AK10" s="448">
        <f t="shared" si="25"/>
        <v>0.21056273456537591</v>
      </c>
      <c r="AL10" s="448">
        <f t="shared" si="26"/>
        <v>0.21056273456537591</v>
      </c>
      <c r="AM10" s="448">
        <f t="shared" si="27"/>
        <v>0.21056273456537591</v>
      </c>
      <c r="AN10" s="449">
        <f t="shared" si="28"/>
        <v>0.21056273456537591</v>
      </c>
      <c r="AO10" s="483"/>
      <c r="AP10" s="492">
        <f>AVERAGE('Cuadro Mando Integral Detallado'!AG147:AG149,'Cuadro Mando Integral Detallado'!AG202:AG204)</f>
        <v>0</v>
      </c>
      <c r="AQ10" s="453">
        <f>+AP10</f>
        <v>0</v>
      </c>
      <c r="AR10" s="444">
        <f>+AP10</f>
        <v>0</v>
      </c>
      <c r="AS10" s="444">
        <f>+AP10</f>
        <v>0</v>
      </c>
      <c r="AT10" s="444">
        <f>+AP10</f>
        <v>0</v>
      </c>
      <c r="AU10" s="445">
        <f>+AP10</f>
        <v>0</v>
      </c>
      <c r="AV10" s="492">
        <f>AVERAGE('Cuadro Mando Integral Detallado'!AI147:AI149,'Cuadro Mando Integral Detallado'!AI202:AI204)</f>
        <v>0.10528136728268796</v>
      </c>
      <c r="AW10" s="453">
        <f>+AV10</f>
        <v>0.10528136728268796</v>
      </c>
      <c r="AX10" s="448">
        <f>+AV10</f>
        <v>0.10528136728268796</v>
      </c>
      <c r="AY10" s="448">
        <f>+AV10</f>
        <v>0.10528136728268796</v>
      </c>
      <c r="AZ10" s="448">
        <f>+AV10</f>
        <v>0.10528136728268796</v>
      </c>
      <c r="BA10" s="449">
        <f>+AV10</f>
        <v>0.10528136728268796</v>
      </c>
    </row>
    <row r="11" spans="1:53" ht="36" x14ac:dyDescent="0.25">
      <c r="A11" s="441" t="s">
        <v>1334</v>
      </c>
      <c r="B11" s="423"/>
      <c r="C11" s="492">
        <f>AVERAGE('Cuadro Mando Integral Detallado'!L153:L158,'Cuadro Mando Integral Detallado'!L207:L220)</f>
        <v>0.67220387305711493</v>
      </c>
      <c r="D11" s="652">
        <f>+C11</f>
        <v>0.67220387305711493</v>
      </c>
      <c r="E11" s="650">
        <f>+C11</f>
        <v>0.67220387305711493</v>
      </c>
      <c r="F11" s="650">
        <f>+C11</f>
        <v>0.67220387305711493</v>
      </c>
      <c r="G11" s="444">
        <f>+C11</f>
        <v>0.67220387305711493</v>
      </c>
      <c r="H11" s="651">
        <f>+C11</f>
        <v>0.67220387305711493</v>
      </c>
      <c r="I11" s="498">
        <f>AVERAGE('Cuadro Mando Integral Detallado'!O153:O158,'Cuadro Mando Integral Detallado'!O207:O220)</f>
        <v>0.25628626238192576</v>
      </c>
      <c r="J11" s="447">
        <f t="shared" si="5"/>
        <v>0.25628626238192576</v>
      </c>
      <c r="K11" s="448">
        <f t="shared" si="6"/>
        <v>0.25628626238192576</v>
      </c>
      <c r="L11" s="448">
        <f t="shared" si="7"/>
        <v>0.25628626238192576</v>
      </c>
      <c r="M11" s="448">
        <f t="shared" si="8"/>
        <v>0.25628626238192576</v>
      </c>
      <c r="N11" s="449">
        <f t="shared" si="9"/>
        <v>0.25628626238192576</v>
      </c>
      <c r="O11" s="11"/>
      <c r="P11" s="492">
        <f>AVERAGE('Cuadro Mando Integral Detallado'!S153:S158,'Cuadro Mando Integral Detallado'!S207:S220)</f>
        <v>0</v>
      </c>
      <c r="Q11" s="453">
        <f t="shared" si="10"/>
        <v>0</v>
      </c>
      <c r="R11" s="444">
        <f>+P11</f>
        <v>0</v>
      </c>
      <c r="S11" s="444">
        <f>+P11</f>
        <v>0</v>
      </c>
      <c r="T11" s="444">
        <f>+P11</f>
        <v>0</v>
      </c>
      <c r="U11" s="445">
        <f>+P11</f>
        <v>0</v>
      </c>
      <c r="V11" s="492">
        <f>AVERAGE('Cuadro Mando Integral Detallado'!V153:V158,'Cuadro Mando Integral Detallado'!V207:V220)</f>
        <v>0.14953629663793899</v>
      </c>
      <c r="W11" s="447">
        <f t="shared" si="15"/>
        <v>0.14953629663793899</v>
      </c>
      <c r="X11" s="448">
        <f t="shared" si="16"/>
        <v>0.14953629663793899</v>
      </c>
      <c r="Y11" s="448">
        <f t="shared" si="17"/>
        <v>0.14953629663793899</v>
      </c>
      <c r="Z11" s="448">
        <f>++V11</f>
        <v>0.14953629663793899</v>
      </c>
      <c r="AA11" s="449">
        <f t="shared" si="18"/>
        <v>0.14953629663793899</v>
      </c>
      <c r="AB11" s="483"/>
      <c r="AC11" s="492">
        <f>AVERAGE('Cuadro Mando Integral Detallado'!Z153:Z158,'Cuadro Mando Integral Detallado'!Z207:Z220)</f>
        <v>0</v>
      </c>
      <c r="AD11" s="453">
        <f>+AC11</f>
        <v>0</v>
      </c>
      <c r="AE11" s="444">
        <f>+AC11</f>
        <v>0</v>
      </c>
      <c r="AF11" s="444">
        <f>+AC11</f>
        <v>0</v>
      </c>
      <c r="AG11" s="444">
        <f t="shared" si="22"/>
        <v>0</v>
      </c>
      <c r="AH11" s="445">
        <f>+AC11</f>
        <v>0</v>
      </c>
      <c r="AI11" s="492">
        <f>AVERAGE('Cuadro Mando Integral Detallado'!AC153:AC158,'Cuadro Mando Integral Detallado'!AC207:AC220)</f>
        <v>0.14953629663793899</v>
      </c>
      <c r="AJ11" s="453">
        <f t="shared" si="24"/>
        <v>0.14953629663793899</v>
      </c>
      <c r="AK11" s="448">
        <f t="shared" si="25"/>
        <v>0.14953629663793899</v>
      </c>
      <c r="AL11" s="448">
        <f t="shared" si="26"/>
        <v>0.14953629663793899</v>
      </c>
      <c r="AM11" s="448">
        <f t="shared" si="27"/>
        <v>0.14953629663793899</v>
      </c>
      <c r="AN11" s="449">
        <f t="shared" si="28"/>
        <v>0.14953629663793899</v>
      </c>
      <c r="AO11" s="483"/>
      <c r="AP11" s="492">
        <f>AVERAGE('Cuadro Mando Integral Detallado'!AG153:AG158,'Cuadro Mando Integral Detallado'!AG207:AG220)</f>
        <v>0</v>
      </c>
      <c r="AQ11" s="453">
        <f>+AP11</f>
        <v>0</v>
      </c>
      <c r="AR11" s="444">
        <f>+AP11</f>
        <v>0</v>
      </c>
      <c r="AS11" s="444">
        <f>+AP11</f>
        <v>0</v>
      </c>
      <c r="AT11" s="444">
        <f>+AP11</f>
        <v>0</v>
      </c>
      <c r="AU11" s="445">
        <f>+AP11</f>
        <v>0</v>
      </c>
      <c r="AV11" s="492">
        <f>AVERAGE('Cuadro Mando Integral Detallado'!AI153:AI158,'Cuadro Mando Integral Detallado'!AI207:AI220)</f>
        <v>0.24403226367816799</v>
      </c>
      <c r="AW11" s="453">
        <f>+AV11</f>
        <v>0.24403226367816799</v>
      </c>
      <c r="AX11" s="448">
        <f>+AV11</f>
        <v>0.24403226367816799</v>
      </c>
      <c r="AY11" s="448">
        <f>+AV11</f>
        <v>0.24403226367816799</v>
      </c>
      <c r="AZ11" s="448">
        <f>+AV11</f>
        <v>0.24403226367816799</v>
      </c>
      <c r="BA11" s="449">
        <f>+AV11</f>
        <v>0.24403226367816799</v>
      </c>
    </row>
    <row r="12" spans="1:53" ht="54" x14ac:dyDescent="0.25">
      <c r="A12" s="441" t="s">
        <v>1336</v>
      </c>
      <c r="B12" s="423"/>
      <c r="C12" s="492">
        <f>AVERAGE('Cuadro Mando Integral Detallado'!L147:L149,'Cuadro Mando Integral Detallado'!L153:L158,'Cuadro Mando Integral Detallado'!L199:L204,'Cuadro Mando Integral Detallado'!L207:L220)</f>
        <v>0.64375638738322771</v>
      </c>
      <c r="D12" s="652">
        <f>+C12</f>
        <v>0.64375638738322771</v>
      </c>
      <c r="E12" s="650">
        <f>+C12</f>
        <v>0.64375638738322771</v>
      </c>
      <c r="F12" s="650">
        <f>+C12</f>
        <v>0.64375638738322771</v>
      </c>
      <c r="G12" s="444">
        <f>+C12</f>
        <v>0.64375638738322771</v>
      </c>
      <c r="H12" s="651">
        <f>+C12</f>
        <v>0.64375638738322771</v>
      </c>
      <c r="I12" s="498">
        <f>AVERAGE('Cuadro Mando Integral Detallado'!O147:O149,'Cuadro Mando Integral Detallado'!O153:O158,'Cuadro Mando Integral Detallado'!O199:O204,'Cuadro Mando Integral Detallado'!O207:O220)</f>
        <v>0.24942773320944328</v>
      </c>
      <c r="J12" s="447">
        <f t="shared" si="5"/>
        <v>0.24942773320944328</v>
      </c>
      <c r="K12" s="448">
        <f t="shared" si="6"/>
        <v>0.24942773320944328</v>
      </c>
      <c r="L12" s="448">
        <f t="shared" si="7"/>
        <v>0.24942773320944328</v>
      </c>
      <c r="M12" s="448">
        <f t="shared" si="8"/>
        <v>0.24942773320944328</v>
      </c>
      <c r="N12" s="449">
        <f t="shared" si="9"/>
        <v>0.24942773320944328</v>
      </c>
      <c r="O12" s="11"/>
      <c r="P12" s="492">
        <f>AVERAGE('Cuadro Mando Integral Detallado'!S147:S149,'Cuadro Mando Integral Detallado'!S153:S158,'Cuadro Mando Integral Detallado'!S199:S204,'Cuadro Mando Integral Detallado'!S207:S220)</f>
        <v>0</v>
      </c>
      <c r="Q12" s="453">
        <f t="shared" si="10"/>
        <v>0</v>
      </c>
      <c r="R12" s="444">
        <f>+P12</f>
        <v>0</v>
      </c>
      <c r="S12" s="444">
        <f>+P12</f>
        <v>0</v>
      </c>
      <c r="T12" s="444">
        <f>+P12</f>
        <v>0</v>
      </c>
      <c r="U12" s="445">
        <f>+P12</f>
        <v>0</v>
      </c>
      <c r="V12" s="492">
        <f>AVERAGE('Cuadro Mando Integral Detallado'!V147:V149,'Cuadro Mando Integral Detallado'!V153:V158,'Cuadro Mando Integral Detallado'!V199:V204,'Cuadro Mando Integral Detallado'!V207:V220)</f>
        <v>0.15121344749515758</v>
      </c>
      <c r="W12" s="447">
        <f t="shared" si="15"/>
        <v>0.15121344749515758</v>
      </c>
      <c r="X12" s="448">
        <f t="shared" si="16"/>
        <v>0.15121344749515758</v>
      </c>
      <c r="Y12" s="448">
        <f t="shared" si="17"/>
        <v>0.15121344749515758</v>
      </c>
      <c r="Z12" s="448">
        <f>++V12</f>
        <v>0.15121344749515758</v>
      </c>
      <c r="AA12" s="449">
        <f t="shared" si="18"/>
        <v>0.15121344749515758</v>
      </c>
      <c r="AB12" s="483"/>
      <c r="AC12" s="492">
        <f>AVERAGE('Cuadro Mando Integral Detallado'!Z147:Z149,'Cuadro Mando Integral Detallado'!Z153:Z158,'Cuadro Mando Integral Detallado'!Z199:Z204,'Cuadro Mando Integral Detallado'!Z207:Z220)</f>
        <v>0</v>
      </c>
      <c r="AD12" s="453">
        <f>+AC12</f>
        <v>0</v>
      </c>
      <c r="AE12" s="444">
        <f>+AC12</f>
        <v>0</v>
      </c>
      <c r="AF12" s="444">
        <f>+AC12</f>
        <v>0</v>
      </c>
      <c r="AG12" s="444">
        <f t="shared" si="22"/>
        <v>0</v>
      </c>
      <c r="AH12" s="445">
        <f>+AC12</f>
        <v>0</v>
      </c>
      <c r="AI12" s="492">
        <f>AVERAGE('Cuadro Mando Integral Detallado'!AC147:AC149,'Cuadro Mando Integral Detallado'!AC153:AC158,'Cuadro Mando Integral Detallado'!AC199:AC204,'Cuadro Mando Integral Detallado'!AC207:AC220)</f>
        <v>0.1591720499949027</v>
      </c>
      <c r="AJ12" s="453">
        <f t="shared" si="24"/>
        <v>0.1591720499949027</v>
      </c>
      <c r="AK12" s="448">
        <f t="shared" si="25"/>
        <v>0.1591720499949027</v>
      </c>
      <c r="AL12" s="448">
        <f t="shared" si="26"/>
        <v>0.1591720499949027</v>
      </c>
      <c r="AM12" s="448">
        <f t="shared" si="27"/>
        <v>0.1591720499949027</v>
      </c>
      <c r="AN12" s="449">
        <f t="shared" si="28"/>
        <v>0.1591720499949027</v>
      </c>
      <c r="AO12" s="483"/>
      <c r="AP12" s="492">
        <f>AVERAGE('Cuadro Mando Integral Detallado'!AG147:AG149,'Cuadro Mando Integral Detallado'!AG153:AG158,'Cuadro Mando Integral Detallado'!AG199:AG204,'Cuadro Mando Integral Detallado'!AG207:AG220)</f>
        <v>0</v>
      </c>
      <c r="AQ12" s="453">
        <f>+AP12</f>
        <v>0</v>
      </c>
      <c r="AR12" s="444">
        <f>+AP12</f>
        <v>0</v>
      </c>
      <c r="AS12" s="444">
        <f>+AP12</f>
        <v>0</v>
      </c>
      <c r="AT12" s="444">
        <f>+AP12</f>
        <v>0</v>
      </c>
      <c r="AU12" s="445">
        <f>+AP12</f>
        <v>0</v>
      </c>
      <c r="AV12" s="492">
        <f>AVERAGE('Cuadro Mando Integral Detallado'!AI147:AI149,'Cuadro Mando Integral Detallado'!AI153:AI158,'Cuadro Mando Integral Detallado'!AI199:AI204,'Cuadro Mando Integral Detallado'!AI207:AI220)</f>
        <v>0.18608403518159819</v>
      </c>
      <c r="AW12" s="453">
        <f>+AV12</f>
        <v>0.18608403518159819</v>
      </c>
      <c r="AX12" s="448">
        <f>+AV12</f>
        <v>0.18608403518159819</v>
      </c>
      <c r="AY12" s="448">
        <f>+AV12</f>
        <v>0.18608403518159819</v>
      </c>
      <c r="AZ12" s="448">
        <f>+AV12</f>
        <v>0.18608403518159819</v>
      </c>
      <c r="BA12" s="449">
        <f>+AV12</f>
        <v>0.18608403518159819</v>
      </c>
    </row>
    <row r="13" spans="1:53" ht="90" x14ac:dyDescent="0.25">
      <c r="A13" s="441" t="s">
        <v>1332</v>
      </c>
      <c r="B13" s="423"/>
      <c r="C13" s="492">
        <f>'Cuadro Mando Integral Detallado'!L146</f>
        <v>1</v>
      </c>
      <c r="D13" s="652">
        <f t="shared" si="0"/>
        <v>1</v>
      </c>
      <c r="E13" s="650">
        <f t="shared" si="1"/>
        <v>1</v>
      </c>
      <c r="F13" s="650">
        <f t="shared" si="2"/>
        <v>1</v>
      </c>
      <c r="G13" s="444">
        <f t="shared" si="3"/>
        <v>1</v>
      </c>
      <c r="H13" s="651">
        <f t="shared" si="4"/>
        <v>1</v>
      </c>
      <c r="I13" s="498">
        <f>'Cuadro Mando Integral Detallado'!O146</f>
        <v>0.25</v>
      </c>
      <c r="J13" s="447">
        <f t="shared" si="5"/>
        <v>0.25</v>
      </c>
      <c r="K13" s="448">
        <f t="shared" si="6"/>
        <v>0.25</v>
      </c>
      <c r="L13" s="448">
        <f t="shared" si="7"/>
        <v>0.25</v>
      </c>
      <c r="M13" s="448">
        <f t="shared" si="8"/>
        <v>0.25</v>
      </c>
      <c r="N13" s="449">
        <f t="shared" si="9"/>
        <v>0.25</v>
      </c>
      <c r="O13" s="11"/>
      <c r="P13" s="492">
        <f>'Cuadro Mando Integral Detallado'!S146</f>
        <v>0</v>
      </c>
      <c r="Q13" s="453">
        <f t="shared" si="10"/>
        <v>0</v>
      </c>
      <c r="R13" s="444">
        <f t="shared" si="11"/>
        <v>0</v>
      </c>
      <c r="S13" s="444">
        <f t="shared" si="12"/>
        <v>0</v>
      </c>
      <c r="T13" s="444">
        <f t="shared" si="13"/>
        <v>0</v>
      </c>
      <c r="U13" s="445">
        <f t="shared" si="14"/>
        <v>0</v>
      </c>
      <c r="V13" s="492">
        <f>'Cuadro Mando Integral Detallado'!V146</f>
        <v>0.25</v>
      </c>
      <c r="W13" s="447">
        <f t="shared" si="15"/>
        <v>0.25</v>
      </c>
      <c r="X13" s="448">
        <f t="shared" si="16"/>
        <v>0.25</v>
      </c>
      <c r="Y13" s="448">
        <f t="shared" si="17"/>
        <v>0.25</v>
      </c>
      <c r="Z13" s="448">
        <f>+V13</f>
        <v>0.25</v>
      </c>
      <c r="AA13" s="449">
        <f t="shared" si="18"/>
        <v>0.25</v>
      </c>
      <c r="AB13" s="483"/>
      <c r="AC13" s="492">
        <f>'Cuadro Mando Integral Detallado'!Z146</f>
        <v>0</v>
      </c>
      <c r="AD13" s="453">
        <f t="shared" si="19"/>
        <v>0</v>
      </c>
      <c r="AE13" s="444">
        <f t="shared" si="20"/>
        <v>0</v>
      </c>
      <c r="AF13" s="444">
        <f t="shared" si="21"/>
        <v>0</v>
      </c>
      <c r="AG13" s="444">
        <f t="shared" si="22"/>
        <v>0</v>
      </c>
      <c r="AH13" s="445">
        <f t="shared" si="23"/>
        <v>0</v>
      </c>
      <c r="AI13" s="492">
        <f>'Cuadro Mando Integral Detallado'!AC146</f>
        <v>0.25</v>
      </c>
      <c r="AJ13" s="453">
        <f t="shared" si="24"/>
        <v>0.25</v>
      </c>
      <c r="AK13" s="448">
        <f t="shared" si="25"/>
        <v>0.25</v>
      </c>
      <c r="AL13" s="448">
        <f t="shared" si="26"/>
        <v>0.25</v>
      </c>
      <c r="AM13" s="448">
        <f t="shared" si="27"/>
        <v>0.25</v>
      </c>
      <c r="AN13" s="449">
        <f t="shared" si="28"/>
        <v>0.25</v>
      </c>
      <c r="AO13" s="483"/>
      <c r="AP13" s="492">
        <f>'Cuadro Mando Integral Detallado'!AG146</f>
        <v>0</v>
      </c>
      <c r="AQ13" s="453">
        <f>+AP13</f>
        <v>0</v>
      </c>
      <c r="AR13" s="444">
        <f>+AP13</f>
        <v>0</v>
      </c>
      <c r="AS13" s="444">
        <f>+AP13</f>
        <v>0</v>
      </c>
      <c r="AT13" s="444">
        <f>+AP13</f>
        <v>0</v>
      </c>
      <c r="AU13" s="445">
        <f>+AP13</f>
        <v>0</v>
      </c>
      <c r="AV13" s="492">
        <f>'Cuadro Mando Integral Detallado'!AI146</f>
        <v>0.25</v>
      </c>
      <c r="AW13" s="453">
        <f>+AV13</f>
        <v>0.25</v>
      </c>
      <c r="AX13" s="448">
        <f>+AV13</f>
        <v>0.25</v>
      </c>
      <c r="AY13" s="448">
        <f>+AV13</f>
        <v>0.25</v>
      </c>
      <c r="AZ13" s="448">
        <f>+AV13</f>
        <v>0.25</v>
      </c>
      <c r="BA13" s="449">
        <f>+AV13</f>
        <v>0.25</v>
      </c>
    </row>
    <row r="14" spans="1:53" ht="54" x14ac:dyDescent="0.25">
      <c r="A14" s="441" t="s">
        <v>1317</v>
      </c>
      <c r="B14" s="423"/>
      <c r="C14" s="492">
        <f>AVERAGE('Cuadro Mando Integral Detallado'!L150:L152,'Cuadro Mando Integral Detallado'!L205:L206)</f>
        <v>0.99987501698138848</v>
      </c>
      <c r="D14" s="652">
        <f t="shared" si="0"/>
        <v>0.99987501698138848</v>
      </c>
      <c r="E14" s="650">
        <f t="shared" si="1"/>
        <v>0.99987501698138848</v>
      </c>
      <c r="F14" s="650">
        <f t="shared" si="2"/>
        <v>0.99987501698138848</v>
      </c>
      <c r="G14" s="444">
        <f t="shared" si="3"/>
        <v>0.99987501698138848</v>
      </c>
      <c r="H14" s="651">
        <f t="shared" si="4"/>
        <v>0.99987501698138848</v>
      </c>
      <c r="I14" s="498">
        <f>AVERAGE('Cuadro Mando Integral Detallado'!O150:O152,'Cuadro Mando Integral Detallado'!O205:O206)</f>
        <v>0.24996875424534712</v>
      </c>
      <c r="J14" s="447">
        <f t="shared" si="5"/>
        <v>0.24996875424534712</v>
      </c>
      <c r="K14" s="448">
        <f t="shared" si="6"/>
        <v>0.24996875424534712</v>
      </c>
      <c r="L14" s="448">
        <f t="shared" si="7"/>
        <v>0.24996875424534712</v>
      </c>
      <c r="M14" s="448">
        <f t="shared" si="8"/>
        <v>0.24996875424534712</v>
      </c>
      <c r="N14" s="449">
        <f t="shared" si="9"/>
        <v>0.24996875424534712</v>
      </c>
      <c r="O14" s="11"/>
      <c r="P14" s="492">
        <f>AVERAGE('Cuadro Mando Integral Detallado'!S150:S152,'Cuadro Mando Integral Detallado'!S205:S206)</f>
        <v>0</v>
      </c>
      <c r="Q14" s="453">
        <f t="shared" si="10"/>
        <v>0</v>
      </c>
      <c r="R14" s="444">
        <f t="shared" si="11"/>
        <v>0</v>
      </c>
      <c r="S14" s="444">
        <f t="shared" si="12"/>
        <v>0</v>
      </c>
      <c r="T14" s="444">
        <f t="shared" si="13"/>
        <v>0</v>
      </c>
      <c r="U14" s="445">
        <f t="shared" si="14"/>
        <v>0</v>
      </c>
      <c r="V14" s="492">
        <f>AVERAGE('Cuadro Mando Integral Detallado'!V150:V152,'Cuadro Mando Integral Detallado'!V205:V206)</f>
        <v>0.24996875424534712</v>
      </c>
      <c r="W14" s="447">
        <f t="shared" si="15"/>
        <v>0.24996875424534712</v>
      </c>
      <c r="X14" s="448">
        <f t="shared" si="16"/>
        <v>0.24996875424534712</v>
      </c>
      <c r="Y14" s="448">
        <f t="shared" si="17"/>
        <v>0.24996875424534712</v>
      </c>
      <c r="Z14" s="448">
        <f>+V14</f>
        <v>0.24996875424534712</v>
      </c>
      <c r="AA14" s="449">
        <f t="shared" si="18"/>
        <v>0.24996875424534712</v>
      </c>
      <c r="AB14" s="483"/>
      <c r="AC14" s="492">
        <f>AVERAGE('Cuadro Mando Integral Detallado'!Z150:Z152,'Cuadro Mando Integral Detallado'!Z205:Z206)</f>
        <v>0</v>
      </c>
      <c r="AD14" s="453">
        <f t="shared" si="19"/>
        <v>0</v>
      </c>
      <c r="AE14" s="444">
        <f t="shared" si="20"/>
        <v>0</v>
      </c>
      <c r="AF14" s="444">
        <f t="shared" si="21"/>
        <v>0</v>
      </c>
      <c r="AG14" s="444">
        <f t="shared" si="22"/>
        <v>0</v>
      </c>
      <c r="AH14" s="445">
        <f t="shared" si="23"/>
        <v>0</v>
      </c>
      <c r="AI14" s="492">
        <f>AVERAGE('Cuadro Mando Integral Detallado'!AC150:AC152,'Cuadro Mando Integral Detallado'!AC205:AC206)</f>
        <v>0.24996875424534712</v>
      </c>
      <c r="AJ14" s="453">
        <f t="shared" si="24"/>
        <v>0.24996875424534712</v>
      </c>
      <c r="AK14" s="448">
        <f t="shared" si="25"/>
        <v>0.24996875424534712</v>
      </c>
      <c r="AL14" s="448">
        <f t="shared" si="26"/>
        <v>0.24996875424534712</v>
      </c>
      <c r="AM14" s="448">
        <f t="shared" si="27"/>
        <v>0.24996875424534712</v>
      </c>
      <c r="AN14" s="449">
        <f t="shared" si="28"/>
        <v>0.24996875424534712</v>
      </c>
      <c r="AO14" s="483"/>
      <c r="AP14" s="492">
        <f>AVERAGE('Cuadro Mando Integral Detallado'!AG150:AG152,'Cuadro Mando Integral Detallado'!AG205:AG206)</f>
        <v>0</v>
      </c>
      <c r="AQ14" s="453">
        <f t="shared" si="29"/>
        <v>0</v>
      </c>
      <c r="AR14" s="444">
        <f t="shared" si="30"/>
        <v>0</v>
      </c>
      <c r="AS14" s="444">
        <f t="shared" si="31"/>
        <v>0</v>
      </c>
      <c r="AT14" s="444">
        <f t="shared" si="32"/>
        <v>0</v>
      </c>
      <c r="AU14" s="445">
        <f t="shared" si="33"/>
        <v>0</v>
      </c>
      <c r="AV14" s="492">
        <f>AVERAGE('Cuadro Mando Integral Detallado'!AI150:AI152,'Cuadro Mando Integral Detallado'!AI205:AI206)</f>
        <v>0.24996875424534712</v>
      </c>
      <c r="AW14" s="453">
        <f t="shared" si="34"/>
        <v>0.24996875424534712</v>
      </c>
      <c r="AX14" s="448">
        <f t="shared" si="35"/>
        <v>0.24996875424534712</v>
      </c>
      <c r="AY14" s="448">
        <f t="shared" si="36"/>
        <v>0.24996875424534712</v>
      </c>
      <c r="AZ14" s="448">
        <f t="shared" si="37"/>
        <v>0.24996875424534712</v>
      </c>
      <c r="BA14" s="449">
        <f t="shared" si="38"/>
        <v>0.24996875424534712</v>
      </c>
    </row>
    <row r="15" spans="1:53" ht="18.75" thickBot="1" x14ac:dyDescent="0.3">
      <c r="A15" s="490" t="s">
        <v>1316</v>
      </c>
      <c r="B15" s="423"/>
      <c r="C15" s="493">
        <f>AVERAGE('Cuadro Mando Integral Detallado'!L159:L191,'Cuadro Mando Integral Detallado'!L221:L283,'Cuadro Mando Integral Detallado'!L285:L287,'Cuadro Mando Integral Detallado'!L289:L341)</f>
        <v>0.82148349504698648</v>
      </c>
      <c r="D15" s="653">
        <f t="shared" si="0"/>
        <v>0.82148349504698648</v>
      </c>
      <c r="E15" s="654">
        <f t="shared" si="1"/>
        <v>0.82148349504698648</v>
      </c>
      <c r="F15" s="654">
        <f t="shared" si="2"/>
        <v>0.82148349504698648</v>
      </c>
      <c r="G15" s="458">
        <f t="shared" si="3"/>
        <v>0.82148349504698648</v>
      </c>
      <c r="H15" s="655">
        <f t="shared" si="4"/>
        <v>0.82148349504698648</v>
      </c>
      <c r="I15" s="698">
        <f>AVERAGE('Cuadro Mando Integral Detallado'!O159:O191,'Cuadro Mando Integral Detallado'!O221:O283,'Cuadro Mando Integral Detallado'!O285:O287,'Cuadro Mando Integral Detallado'!O289:O341)</f>
        <v>0.40833437660973249</v>
      </c>
      <c r="J15" s="461">
        <f t="shared" si="5"/>
        <v>0.40833437660973249</v>
      </c>
      <c r="K15" s="462">
        <f t="shared" si="6"/>
        <v>0.40833437660973249</v>
      </c>
      <c r="L15" s="462">
        <f t="shared" si="7"/>
        <v>0.40833437660973249</v>
      </c>
      <c r="M15" s="462">
        <f t="shared" si="8"/>
        <v>0.40833437660973249</v>
      </c>
      <c r="N15" s="463">
        <f t="shared" si="9"/>
        <v>0.40833437660973249</v>
      </c>
      <c r="O15" s="11"/>
      <c r="P15" s="493">
        <f>AVERAGE('Cuadro Mando Integral Detallado'!S159:S191,'Cuadro Mando Integral Detallado'!S221:S287,'Cuadro Mando Integral Detallado'!S289:S341)</f>
        <v>0</v>
      </c>
      <c r="Q15" s="467">
        <f t="shared" si="10"/>
        <v>0</v>
      </c>
      <c r="R15" s="458">
        <f t="shared" si="11"/>
        <v>0</v>
      </c>
      <c r="S15" s="458">
        <f t="shared" si="12"/>
        <v>0</v>
      </c>
      <c r="T15" s="458">
        <f t="shared" si="13"/>
        <v>0</v>
      </c>
      <c r="U15" s="459">
        <f t="shared" si="14"/>
        <v>0</v>
      </c>
      <c r="V15" s="493" t="e">
        <f>AVERAGE('Cuadro Mando Integral Detallado'!V159:V191,'Cuadro Mando Integral Detallado'!V221:V287,'Cuadro Mando Integral Detallado'!V289:V341)</f>
        <v>#DIV/0!</v>
      </c>
      <c r="W15" s="461" t="e">
        <f t="shared" si="15"/>
        <v>#DIV/0!</v>
      </c>
      <c r="X15" s="462" t="e">
        <f t="shared" si="16"/>
        <v>#DIV/0!</v>
      </c>
      <c r="Y15" s="462" t="e">
        <f t="shared" si="17"/>
        <v>#DIV/0!</v>
      </c>
      <c r="Z15" s="462" t="e">
        <f>+V15</f>
        <v>#DIV/0!</v>
      </c>
      <c r="AA15" s="463" t="e">
        <f t="shared" si="18"/>
        <v>#DIV/0!</v>
      </c>
      <c r="AB15" s="483"/>
      <c r="AC15" s="493">
        <f>AVERAGE('Cuadro Mando Integral Detallado'!Z159:Z191,'Cuadro Mando Integral Detallado'!Z221:Z287,'Cuadro Mando Integral Detallado'!Z289:Z341)</f>
        <v>3.896103896103896E-2</v>
      </c>
      <c r="AD15" s="467">
        <f t="shared" si="19"/>
        <v>3.896103896103896E-2</v>
      </c>
      <c r="AE15" s="458">
        <f t="shared" si="20"/>
        <v>3.896103896103896E-2</v>
      </c>
      <c r="AF15" s="458">
        <f t="shared" si="21"/>
        <v>3.896103896103896E-2</v>
      </c>
      <c r="AG15" s="458">
        <f>+AB15</f>
        <v>0</v>
      </c>
      <c r="AH15" s="459">
        <f t="shared" si="23"/>
        <v>3.896103896103896E-2</v>
      </c>
      <c r="AI15" s="493" t="e">
        <f>AVERAGE('Cuadro Mando Integral Detallado'!AC159:AC191,'Cuadro Mando Integral Detallado'!AC221:AC287,'Cuadro Mando Integral Detallado'!AC289:AC341)</f>
        <v>#DIV/0!</v>
      </c>
      <c r="AJ15" s="467" t="e">
        <f t="shared" si="24"/>
        <v>#DIV/0!</v>
      </c>
      <c r="AK15" s="462" t="e">
        <f t="shared" si="25"/>
        <v>#DIV/0!</v>
      </c>
      <c r="AL15" s="462" t="e">
        <f t="shared" si="26"/>
        <v>#DIV/0!</v>
      </c>
      <c r="AM15" s="462" t="e">
        <f t="shared" si="27"/>
        <v>#DIV/0!</v>
      </c>
      <c r="AN15" s="463" t="e">
        <f t="shared" si="28"/>
        <v>#DIV/0!</v>
      </c>
      <c r="AO15" s="483"/>
      <c r="AP15" s="493">
        <f>AVERAGE('Cuadro Mando Integral Detallado'!AG159:AG191,'Cuadro Mando Integral Detallado'!AG221:AG287,'Cuadro Mando Integral Detallado'!AG289:AG341)</f>
        <v>0</v>
      </c>
      <c r="AQ15" s="467">
        <f t="shared" si="29"/>
        <v>0</v>
      </c>
      <c r="AR15" s="458">
        <f t="shared" si="30"/>
        <v>0</v>
      </c>
      <c r="AS15" s="458">
        <f t="shared" si="31"/>
        <v>0</v>
      </c>
      <c r="AT15" s="458">
        <f t="shared" si="32"/>
        <v>0</v>
      </c>
      <c r="AU15" s="459">
        <f t="shared" si="33"/>
        <v>0</v>
      </c>
      <c r="AV15" s="493" t="e">
        <f>AVERAGE('Cuadro Mando Integral Detallado'!AI159:AI191,'Cuadro Mando Integral Detallado'!AI221:AI287,'Cuadro Mando Integral Detallado'!AI289:AI341)</f>
        <v>#DIV/0!</v>
      </c>
      <c r="AW15" s="467" t="e">
        <f t="shared" si="34"/>
        <v>#DIV/0!</v>
      </c>
      <c r="AX15" s="462" t="e">
        <f t="shared" si="35"/>
        <v>#DIV/0!</v>
      </c>
      <c r="AY15" s="462" t="e">
        <f t="shared" si="36"/>
        <v>#DIV/0!</v>
      </c>
      <c r="AZ15" s="462" t="e">
        <f t="shared" si="37"/>
        <v>#DIV/0!</v>
      </c>
      <c r="BA15" s="463" t="e">
        <f t="shared" si="38"/>
        <v>#DIV/0!</v>
      </c>
    </row>
  </sheetData>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841" priority="260" stopIfTrue="1" operator="between">
      <formula>0</formula>
      <formula>0.5</formula>
    </cfRule>
  </conditionalFormatting>
  <conditionalFormatting sqref="R6">
    <cfRule type="cellIs" dxfId="840" priority="259" operator="between">
      <formula>0.51</formula>
      <formula>0.75</formula>
    </cfRule>
  </conditionalFormatting>
  <conditionalFormatting sqref="S6">
    <cfRule type="cellIs" dxfId="839" priority="258" operator="between">
      <formula>0.76</formula>
      <formula>0.95</formula>
    </cfRule>
  </conditionalFormatting>
  <conditionalFormatting sqref="T6">
    <cfRule type="cellIs" dxfId="838" priority="257" operator="between">
      <formula>0.95</formula>
      <formula>1</formula>
    </cfRule>
  </conditionalFormatting>
  <conditionalFormatting sqref="U6">
    <cfRule type="cellIs" dxfId="837" priority="256" operator="greaterThan">
      <formula>1</formula>
    </cfRule>
  </conditionalFormatting>
  <conditionalFormatting sqref="Q7">
    <cfRule type="cellIs" dxfId="836" priority="255" stopIfTrue="1" operator="between">
      <formula>0</formula>
      <formula>0.5</formula>
    </cfRule>
  </conditionalFormatting>
  <conditionalFormatting sqref="R7">
    <cfRule type="cellIs" dxfId="835" priority="254" operator="between">
      <formula>0.51</formula>
      <formula>0.75</formula>
    </cfRule>
  </conditionalFormatting>
  <conditionalFormatting sqref="S7">
    <cfRule type="cellIs" dxfId="834" priority="253" operator="between">
      <formula>0.76</formula>
      <formula>0.95</formula>
    </cfRule>
  </conditionalFormatting>
  <conditionalFormatting sqref="T7">
    <cfRule type="cellIs" dxfId="833" priority="252" operator="between">
      <formula>0.95</formula>
      <formula>1</formula>
    </cfRule>
  </conditionalFormatting>
  <conditionalFormatting sqref="U7">
    <cfRule type="cellIs" dxfId="832" priority="251" operator="greaterThan">
      <formula>1</formula>
    </cfRule>
  </conditionalFormatting>
  <conditionalFormatting sqref="Q8:Q10">
    <cfRule type="cellIs" dxfId="831" priority="250" stopIfTrue="1" operator="between">
      <formula>0</formula>
      <formula>0.5</formula>
    </cfRule>
  </conditionalFormatting>
  <conditionalFormatting sqref="R8:R10">
    <cfRule type="cellIs" dxfId="830" priority="249" operator="between">
      <formula>0.51</formula>
      <formula>0.75</formula>
    </cfRule>
  </conditionalFormatting>
  <conditionalFormatting sqref="S8:S10">
    <cfRule type="cellIs" dxfId="829" priority="248" operator="between">
      <formula>0.76</formula>
      <formula>0.95</formula>
    </cfRule>
  </conditionalFormatting>
  <conditionalFormatting sqref="T8:T10">
    <cfRule type="cellIs" dxfId="828" priority="247" operator="between">
      <formula>0.95</formula>
      <formula>1</formula>
    </cfRule>
  </conditionalFormatting>
  <conditionalFormatting sqref="U8:U10">
    <cfRule type="cellIs" dxfId="827" priority="246" operator="greaterThan">
      <formula>1</formula>
    </cfRule>
  </conditionalFormatting>
  <conditionalFormatting sqref="Q13">
    <cfRule type="cellIs" dxfId="826" priority="245" stopIfTrue="1" operator="between">
      <formula>0</formula>
      <formula>0.5</formula>
    </cfRule>
  </conditionalFormatting>
  <conditionalFormatting sqref="R13">
    <cfRule type="cellIs" dxfId="825" priority="244" operator="between">
      <formula>0.51</formula>
      <formula>0.75</formula>
    </cfRule>
  </conditionalFormatting>
  <conditionalFormatting sqref="S13">
    <cfRule type="cellIs" dxfId="824" priority="243" operator="between">
      <formula>0.76</formula>
      <formula>0.95</formula>
    </cfRule>
  </conditionalFormatting>
  <conditionalFormatting sqref="T13">
    <cfRule type="cellIs" dxfId="823" priority="242" operator="between">
      <formula>0.95</formula>
      <formula>1</formula>
    </cfRule>
  </conditionalFormatting>
  <conditionalFormatting sqref="U13">
    <cfRule type="cellIs" dxfId="822" priority="241" operator="greaterThan">
      <formula>1</formula>
    </cfRule>
  </conditionalFormatting>
  <conditionalFormatting sqref="Q14">
    <cfRule type="cellIs" dxfId="821" priority="240" stopIfTrue="1" operator="between">
      <formula>0</formula>
      <formula>0.5</formula>
    </cfRule>
  </conditionalFormatting>
  <conditionalFormatting sqref="R14">
    <cfRule type="cellIs" dxfId="820" priority="239" operator="between">
      <formula>0.51</formula>
      <formula>0.75</formula>
    </cfRule>
  </conditionalFormatting>
  <conditionalFormatting sqref="S14">
    <cfRule type="cellIs" dxfId="819" priority="238" operator="between">
      <formula>0.76</formula>
      <formula>0.95</formula>
    </cfRule>
  </conditionalFormatting>
  <conditionalFormatting sqref="T14">
    <cfRule type="cellIs" dxfId="818" priority="237" operator="between">
      <formula>0.95</formula>
      <formula>1</formula>
    </cfRule>
  </conditionalFormatting>
  <conditionalFormatting sqref="U14">
    <cfRule type="cellIs" dxfId="817" priority="236" operator="greaterThan">
      <formula>1</formula>
    </cfRule>
  </conditionalFormatting>
  <conditionalFormatting sqref="Q15">
    <cfRule type="cellIs" dxfId="816" priority="235" stopIfTrue="1" operator="between">
      <formula>0</formula>
      <formula>0.5</formula>
    </cfRule>
  </conditionalFormatting>
  <conditionalFormatting sqref="R15">
    <cfRule type="cellIs" dxfId="815" priority="234" operator="between">
      <formula>0.51</formula>
      <formula>0.75</formula>
    </cfRule>
  </conditionalFormatting>
  <conditionalFormatting sqref="S15">
    <cfRule type="cellIs" dxfId="814" priority="233" operator="between">
      <formula>0.76</formula>
      <formula>0.95</formula>
    </cfRule>
  </conditionalFormatting>
  <conditionalFormatting sqref="T15">
    <cfRule type="cellIs" dxfId="813" priority="232" operator="between">
      <formula>0.95</formula>
      <formula>1</formula>
    </cfRule>
  </conditionalFormatting>
  <conditionalFormatting sqref="U15">
    <cfRule type="cellIs" dxfId="812" priority="231" operator="greaterThan">
      <formula>1</formula>
    </cfRule>
  </conditionalFormatting>
  <conditionalFormatting sqref="W6">
    <cfRule type="cellIs" dxfId="811" priority="230" stopIfTrue="1" operator="between">
      <formula>0</formula>
      <formula>0.255</formula>
    </cfRule>
  </conditionalFormatting>
  <conditionalFormatting sqref="X6">
    <cfRule type="cellIs" dxfId="810" priority="229" operator="between">
      <formula>0.2551</formula>
      <formula>0.375</formula>
    </cfRule>
  </conditionalFormatting>
  <conditionalFormatting sqref="Y6">
    <cfRule type="cellIs" dxfId="809" priority="228" operator="between">
      <formula>0.38</formula>
      <formula>0.475</formula>
    </cfRule>
  </conditionalFormatting>
  <conditionalFormatting sqref="Z6">
    <cfRule type="cellIs" dxfId="808" priority="227" operator="between">
      <formula>0.4751</formula>
      <formula>0.51</formula>
    </cfRule>
  </conditionalFormatting>
  <conditionalFormatting sqref="AA6">
    <cfRule type="cellIs" dxfId="807" priority="226" operator="greaterThan">
      <formula>0.505</formula>
    </cfRule>
  </conditionalFormatting>
  <conditionalFormatting sqref="W7">
    <cfRule type="cellIs" dxfId="806" priority="225" stopIfTrue="1" operator="between">
      <formula>0</formula>
      <formula>0.255</formula>
    </cfRule>
  </conditionalFormatting>
  <conditionalFormatting sqref="X7">
    <cfRule type="cellIs" dxfId="805" priority="224" operator="between">
      <formula>0.2551</formula>
      <formula>0.375</formula>
    </cfRule>
  </conditionalFormatting>
  <conditionalFormatting sqref="Y7">
    <cfRule type="cellIs" dxfId="804" priority="223" operator="between">
      <formula>0.38</formula>
      <formula>0.475</formula>
    </cfRule>
  </conditionalFormatting>
  <conditionalFormatting sqref="Z7">
    <cfRule type="cellIs" dxfId="803" priority="222" operator="between">
      <formula>0.48</formula>
      <formula>0.51</formula>
    </cfRule>
  </conditionalFormatting>
  <conditionalFormatting sqref="AA7">
    <cfRule type="cellIs" dxfId="802" priority="221" operator="greaterThan">
      <formula>0.505</formula>
    </cfRule>
  </conditionalFormatting>
  <conditionalFormatting sqref="W8:W10">
    <cfRule type="cellIs" dxfId="801" priority="220" stopIfTrue="1" operator="between">
      <formula>0</formula>
      <formula>0.255</formula>
    </cfRule>
  </conditionalFormatting>
  <conditionalFormatting sqref="X8:X10">
    <cfRule type="cellIs" dxfId="800" priority="219" operator="between">
      <formula>0.2551</formula>
      <formula>0.375</formula>
    </cfRule>
  </conditionalFormatting>
  <conditionalFormatting sqref="Y8:Y10">
    <cfRule type="cellIs" dxfId="799" priority="218" operator="between">
      <formula>0.38</formula>
      <formula>0.475</formula>
    </cfRule>
  </conditionalFormatting>
  <conditionalFormatting sqref="Z8:Z10">
    <cfRule type="cellIs" dxfId="798" priority="217" operator="between">
      <formula>0.48</formula>
      <formula>0.51</formula>
    </cfRule>
  </conditionalFormatting>
  <conditionalFormatting sqref="AA8:AA10">
    <cfRule type="cellIs" dxfId="797" priority="216" operator="greaterThan">
      <formula>0.505</formula>
    </cfRule>
  </conditionalFormatting>
  <conditionalFormatting sqref="W13">
    <cfRule type="cellIs" dxfId="796" priority="215" stopIfTrue="1" operator="between">
      <formula>0</formula>
      <formula>0.255</formula>
    </cfRule>
  </conditionalFormatting>
  <conditionalFormatting sqref="X13">
    <cfRule type="cellIs" dxfId="795" priority="214" operator="between">
      <formula>0.2551</formula>
      <formula>0.375</formula>
    </cfRule>
  </conditionalFormatting>
  <conditionalFormatting sqref="Y13">
    <cfRule type="cellIs" dxfId="794" priority="213" operator="between">
      <formula>0.38</formula>
      <formula>0.475</formula>
    </cfRule>
  </conditionalFormatting>
  <conditionalFormatting sqref="Z13">
    <cfRule type="cellIs" dxfId="793" priority="212" operator="between">
      <formula>0.48</formula>
      <formula>0.51</formula>
    </cfRule>
  </conditionalFormatting>
  <conditionalFormatting sqref="AA13">
    <cfRule type="cellIs" dxfId="792" priority="211" operator="greaterThan">
      <formula>0.505</formula>
    </cfRule>
  </conditionalFormatting>
  <conditionalFormatting sqref="W14">
    <cfRule type="cellIs" dxfId="791" priority="210" stopIfTrue="1" operator="between">
      <formula>0</formula>
      <formula>0.255</formula>
    </cfRule>
  </conditionalFormatting>
  <conditionalFormatting sqref="X14">
    <cfRule type="cellIs" dxfId="790" priority="209" operator="between">
      <formula>0.2551</formula>
      <formula>0.375</formula>
    </cfRule>
  </conditionalFormatting>
  <conditionalFormatting sqref="Y14">
    <cfRule type="cellIs" dxfId="789" priority="208" operator="between">
      <formula>0.38</formula>
      <formula>0.475</formula>
    </cfRule>
  </conditionalFormatting>
  <conditionalFormatting sqref="Z14">
    <cfRule type="cellIs" dxfId="788" priority="207" operator="between">
      <formula>0.48</formula>
      <formula>0.51</formula>
    </cfRule>
  </conditionalFormatting>
  <conditionalFormatting sqref="AA14">
    <cfRule type="cellIs" dxfId="787" priority="206" operator="greaterThan">
      <formula>0.505</formula>
    </cfRule>
  </conditionalFormatting>
  <conditionalFormatting sqref="W15">
    <cfRule type="cellIs" dxfId="786" priority="205" stopIfTrue="1" operator="between">
      <formula>0</formula>
      <formula>0.255</formula>
    </cfRule>
  </conditionalFormatting>
  <conditionalFormatting sqref="X15">
    <cfRule type="cellIs" dxfId="785" priority="204" operator="between">
      <formula>0.2551</formula>
      <formula>0.375</formula>
    </cfRule>
  </conditionalFormatting>
  <conditionalFormatting sqref="Y15">
    <cfRule type="cellIs" dxfId="784" priority="203" operator="between">
      <formula>0.38</formula>
      <formula>0.475</formula>
    </cfRule>
  </conditionalFormatting>
  <conditionalFormatting sqref="Z15">
    <cfRule type="cellIs" dxfId="783" priority="202" operator="between">
      <formula>0.48</formula>
      <formula>0.51</formula>
    </cfRule>
  </conditionalFormatting>
  <conditionalFormatting sqref="AA15">
    <cfRule type="cellIs" dxfId="782" priority="201" operator="greaterThan">
      <formula>0.505</formula>
    </cfRule>
  </conditionalFormatting>
  <conditionalFormatting sqref="AD6">
    <cfRule type="cellIs" dxfId="781" priority="200" stopIfTrue="1" operator="between">
      <formula>0</formula>
      <formula>0.5</formula>
    </cfRule>
  </conditionalFormatting>
  <conditionalFormatting sqref="AE6">
    <cfRule type="cellIs" dxfId="780" priority="199" operator="between">
      <formula>0.51</formula>
      <formula>0.75</formula>
    </cfRule>
  </conditionalFormatting>
  <conditionalFormatting sqref="AF6">
    <cfRule type="cellIs" dxfId="779" priority="198" operator="between">
      <formula>0.76</formula>
      <formula>0.95</formula>
    </cfRule>
  </conditionalFormatting>
  <conditionalFormatting sqref="AG6">
    <cfRule type="cellIs" dxfId="778" priority="197" operator="between">
      <formula>0.95</formula>
      <formula>1</formula>
    </cfRule>
  </conditionalFormatting>
  <conditionalFormatting sqref="AH6">
    <cfRule type="cellIs" dxfId="777" priority="196" operator="greaterThan">
      <formula>1</formula>
    </cfRule>
  </conditionalFormatting>
  <conditionalFormatting sqref="AD7">
    <cfRule type="cellIs" dxfId="776" priority="195" stopIfTrue="1" operator="between">
      <formula>0</formula>
      <formula>0.5</formula>
    </cfRule>
  </conditionalFormatting>
  <conditionalFormatting sqref="AE7">
    <cfRule type="cellIs" dxfId="775" priority="194" operator="between">
      <formula>0.51</formula>
      <formula>0.75</formula>
    </cfRule>
  </conditionalFormatting>
  <conditionalFormatting sqref="AF7">
    <cfRule type="cellIs" dxfId="774" priority="193" operator="between">
      <formula>0.76</formula>
      <formula>0.95</formula>
    </cfRule>
  </conditionalFormatting>
  <conditionalFormatting sqref="AG7">
    <cfRule type="cellIs" dxfId="773" priority="192" operator="between">
      <formula>0.95</formula>
      <formula>1</formula>
    </cfRule>
  </conditionalFormatting>
  <conditionalFormatting sqref="AH7">
    <cfRule type="cellIs" dxfId="772" priority="191" operator="greaterThan">
      <formula>1</formula>
    </cfRule>
  </conditionalFormatting>
  <conditionalFormatting sqref="AD8:AD10">
    <cfRule type="cellIs" dxfId="771" priority="190" stopIfTrue="1" operator="between">
      <formula>0</formula>
      <formula>0.5</formula>
    </cfRule>
  </conditionalFormatting>
  <conditionalFormatting sqref="AE8:AE10">
    <cfRule type="cellIs" dxfId="770" priority="189" operator="between">
      <formula>0.51</formula>
      <formula>0.75</formula>
    </cfRule>
  </conditionalFormatting>
  <conditionalFormatting sqref="AF8:AF10">
    <cfRule type="cellIs" dxfId="769" priority="188" operator="between">
      <formula>0.76</formula>
      <formula>0.95</formula>
    </cfRule>
  </conditionalFormatting>
  <conditionalFormatting sqref="AG8:AG10">
    <cfRule type="cellIs" dxfId="768" priority="187" operator="between">
      <formula>0.95</formula>
      <formula>1</formula>
    </cfRule>
  </conditionalFormatting>
  <conditionalFormatting sqref="AH8:AH10">
    <cfRule type="cellIs" dxfId="767" priority="186" operator="greaterThan">
      <formula>1</formula>
    </cfRule>
  </conditionalFormatting>
  <conditionalFormatting sqref="AD13">
    <cfRule type="cellIs" dxfId="766" priority="185" stopIfTrue="1" operator="between">
      <formula>0</formula>
      <formula>0.5</formula>
    </cfRule>
  </conditionalFormatting>
  <conditionalFormatting sqref="AE13">
    <cfRule type="cellIs" dxfId="765" priority="184" operator="between">
      <formula>0.51</formula>
      <formula>0.75</formula>
    </cfRule>
  </conditionalFormatting>
  <conditionalFormatting sqref="AF13">
    <cfRule type="cellIs" dxfId="764" priority="183" operator="between">
      <formula>0.76</formula>
      <formula>0.95</formula>
    </cfRule>
  </conditionalFormatting>
  <conditionalFormatting sqref="AG13">
    <cfRule type="cellIs" dxfId="763" priority="182" operator="between">
      <formula>0.95</formula>
      <formula>1</formula>
    </cfRule>
  </conditionalFormatting>
  <conditionalFormatting sqref="AH13">
    <cfRule type="cellIs" dxfId="762" priority="181" operator="greaterThan">
      <formula>1</formula>
    </cfRule>
  </conditionalFormatting>
  <conditionalFormatting sqref="AD14">
    <cfRule type="cellIs" dxfId="761" priority="180" stopIfTrue="1" operator="between">
      <formula>0</formula>
      <formula>0.5</formula>
    </cfRule>
  </conditionalFormatting>
  <conditionalFormatting sqref="AE14">
    <cfRule type="cellIs" dxfId="760" priority="179" operator="between">
      <formula>0.51</formula>
      <formula>0.75</formula>
    </cfRule>
  </conditionalFormatting>
  <conditionalFormatting sqref="AF14">
    <cfRule type="cellIs" dxfId="759" priority="178" operator="between">
      <formula>0.76</formula>
      <formula>0.95</formula>
    </cfRule>
  </conditionalFormatting>
  <conditionalFormatting sqref="AG14">
    <cfRule type="cellIs" dxfId="758" priority="177" operator="between">
      <formula>0.95</formula>
      <formula>1</formula>
    </cfRule>
  </conditionalFormatting>
  <conditionalFormatting sqref="AH14">
    <cfRule type="cellIs" dxfId="757" priority="176" operator="greaterThan">
      <formula>1</formula>
    </cfRule>
  </conditionalFormatting>
  <conditionalFormatting sqref="AD15">
    <cfRule type="cellIs" dxfId="756" priority="175" stopIfTrue="1" operator="between">
      <formula>0</formula>
      <formula>0.5</formula>
    </cfRule>
  </conditionalFormatting>
  <conditionalFormatting sqref="AE15">
    <cfRule type="cellIs" dxfId="755" priority="174" operator="between">
      <formula>0.51</formula>
      <formula>0.75</formula>
    </cfRule>
  </conditionalFormatting>
  <conditionalFormatting sqref="AF15">
    <cfRule type="cellIs" dxfId="754" priority="173" operator="between">
      <formula>0.76</formula>
      <formula>0.95</formula>
    </cfRule>
  </conditionalFormatting>
  <conditionalFormatting sqref="AG15">
    <cfRule type="cellIs" dxfId="753" priority="172" operator="between">
      <formula>0.95</formula>
      <formula>1</formula>
    </cfRule>
  </conditionalFormatting>
  <conditionalFormatting sqref="AH15">
    <cfRule type="cellIs" dxfId="752" priority="171" operator="greaterThan">
      <formula>1</formula>
    </cfRule>
  </conditionalFormatting>
  <conditionalFormatting sqref="AJ6">
    <cfRule type="cellIs" dxfId="751" priority="170" stopIfTrue="1" operator="between">
      <formula>0</formula>
      <formula>0.375</formula>
    </cfRule>
  </conditionalFormatting>
  <conditionalFormatting sqref="AK6">
    <cfRule type="cellIs" dxfId="750" priority="169" operator="between">
      <formula>0.3751</formula>
      <formula>0.5625</formula>
    </cfRule>
  </conditionalFormatting>
  <conditionalFormatting sqref="AL6">
    <cfRule type="cellIs" dxfId="749" priority="168" operator="between">
      <formula>0.563</formula>
      <formula>0.7125</formula>
    </cfRule>
  </conditionalFormatting>
  <conditionalFormatting sqref="AM6">
    <cfRule type="cellIs" dxfId="748" priority="167" operator="between">
      <formula>0.713</formula>
      <formula>0.75</formula>
    </cfRule>
  </conditionalFormatting>
  <conditionalFormatting sqref="AN6">
    <cfRule type="cellIs" dxfId="747" priority="166" operator="greaterThan">
      <formula>0.755</formula>
    </cfRule>
  </conditionalFormatting>
  <conditionalFormatting sqref="AJ7">
    <cfRule type="cellIs" dxfId="746" priority="165" stopIfTrue="1" operator="between">
      <formula>0</formula>
      <formula>0.375</formula>
    </cfRule>
  </conditionalFormatting>
  <conditionalFormatting sqref="AK7">
    <cfRule type="cellIs" dxfId="745" priority="164" operator="between">
      <formula>0.3751</formula>
      <formula>0.5625</formula>
    </cfRule>
  </conditionalFormatting>
  <conditionalFormatting sqref="AL7">
    <cfRule type="cellIs" dxfId="744" priority="163" operator="between">
      <formula>0.563</formula>
      <formula>0.7125</formula>
    </cfRule>
  </conditionalFormatting>
  <conditionalFormatting sqref="AM7">
    <cfRule type="cellIs" dxfId="743" priority="162" operator="between">
      <formula>0.713</formula>
      <formula>0.75</formula>
    </cfRule>
  </conditionalFormatting>
  <conditionalFormatting sqref="AN7">
    <cfRule type="cellIs" dxfId="742" priority="161" operator="greaterThan">
      <formula>0.755</formula>
    </cfRule>
  </conditionalFormatting>
  <conditionalFormatting sqref="AJ8:AJ10">
    <cfRule type="cellIs" dxfId="741" priority="160" stopIfTrue="1" operator="between">
      <formula>0</formula>
      <formula>0.375</formula>
    </cfRule>
  </conditionalFormatting>
  <conditionalFormatting sqref="AK8:AK10">
    <cfRule type="cellIs" dxfId="740" priority="159" operator="between">
      <formula>0.3751</formula>
      <formula>0.5625</formula>
    </cfRule>
  </conditionalFormatting>
  <conditionalFormatting sqref="AL8:AL10">
    <cfRule type="cellIs" dxfId="739" priority="158" operator="between">
      <formula>0.563</formula>
      <formula>0.7125</formula>
    </cfRule>
  </conditionalFormatting>
  <conditionalFormatting sqref="AM8:AM10">
    <cfRule type="cellIs" dxfId="738" priority="157" operator="between">
      <formula>0.713</formula>
      <formula>0.75</formula>
    </cfRule>
  </conditionalFormatting>
  <conditionalFormatting sqref="AN8:AN10">
    <cfRule type="cellIs" dxfId="737" priority="156" operator="greaterThan">
      <formula>0.755</formula>
    </cfRule>
  </conditionalFormatting>
  <conditionalFormatting sqref="AJ13">
    <cfRule type="cellIs" dxfId="736" priority="155" stopIfTrue="1" operator="between">
      <formula>0</formula>
      <formula>0.375</formula>
    </cfRule>
  </conditionalFormatting>
  <conditionalFormatting sqref="AK13">
    <cfRule type="cellIs" dxfId="735" priority="154" operator="between">
      <formula>0.3751</formula>
      <formula>0.5625</formula>
    </cfRule>
  </conditionalFormatting>
  <conditionalFormatting sqref="AL13">
    <cfRule type="cellIs" dxfId="734" priority="153" operator="between">
      <formula>0.563</formula>
      <formula>0.7125</formula>
    </cfRule>
  </conditionalFormatting>
  <conditionalFormatting sqref="AM13">
    <cfRule type="cellIs" dxfId="733" priority="152" operator="between">
      <formula>0.713</formula>
      <formula>0.75</formula>
    </cfRule>
  </conditionalFormatting>
  <conditionalFormatting sqref="AN13">
    <cfRule type="cellIs" dxfId="732" priority="151" operator="greaterThan">
      <formula>0.755</formula>
    </cfRule>
  </conditionalFormatting>
  <conditionalFormatting sqref="AJ14">
    <cfRule type="cellIs" dxfId="731" priority="150" stopIfTrue="1" operator="between">
      <formula>0</formula>
      <formula>0.375</formula>
    </cfRule>
  </conditionalFormatting>
  <conditionalFormatting sqref="AK14">
    <cfRule type="cellIs" dxfId="730" priority="149" operator="between">
      <formula>0.3751</formula>
      <formula>0.5625</formula>
    </cfRule>
  </conditionalFormatting>
  <conditionalFormatting sqref="AL14">
    <cfRule type="cellIs" dxfId="729" priority="148" operator="between">
      <formula>0.563</formula>
      <formula>0.7125</formula>
    </cfRule>
  </conditionalFormatting>
  <conditionalFormatting sqref="AM14">
    <cfRule type="cellIs" dxfId="728" priority="147" operator="between">
      <formula>0.713</formula>
      <formula>0.75</formula>
    </cfRule>
  </conditionalFormatting>
  <conditionalFormatting sqref="AN14">
    <cfRule type="cellIs" dxfId="727" priority="146" operator="greaterThan">
      <formula>0.755</formula>
    </cfRule>
  </conditionalFormatting>
  <conditionalFormatting sqref="AJ15">
    <cfRule type="cellIs" dxfId="726" priority="145" stopIfTrue="1" operator="between">
      <formula>0</formula>
      <formula>0.375</formula>
    </cfRule>
  </conditionalFormatting>
  <conditionalFormatting sqref="AK15">
    <cfRule type="cellIs" dxfId="725" priority="144" operator="between">
      <formula>0.3751</formula>
      <formula>0.5625</formula>
    </cfRule>
  </conditionalFormatting>
  <conditionalFormatting sqref="AL15">
    <cfRule type="cellIs" dxfId="724" priority="143" operator="between">
      <formula>0.563</formula>
      <formula>0.7125</formula>
    </cfRule>
  </conditionalFormatting>
  <conditionalFormatting sqref="AM15">
    <cfRule type="cellIs" dxfId="723" priority="142" operator="between">
      <formula>0.713</formula>
      <formula>0.75</formula>
    </cfRule>
  </conditionalFormatting>
  <conditionalFormatting sqref="AN15">
    <cfRule type="cellIs" dxfId="722" priority="141" operator="greaterThan">
      <formula>0.755</formula>
    </cfRule>
  </conditionalFormatting>
  <conditionalFormatting sqref="AQ6">
    <cfRule type="cellIs" dxfId="721" priority="140" stopIfTrue="1" operator="between">
      <formula>0</formula>
      <formula>0.5</formula>
    </cfRule>
  </conditionalFormatting>
  <conditionalFormatting sqref="AR6">
    <cfRule type="cellIs" dxfId="720" priority="139" operator="between">
      <formula>0.51</formula>
      <formula>0.75</formula>
    </cfRule>
  </conditionalFormatting>
  <conditionalFormatting sqref="AS6">
    <cfRule type="cellIs" dxfId="719" priority="138" operator="between">
      <formula>0.76</formula>
      <formula>0.95</formula>
    </cfRule>
  </conditionalFormatting>
  <conditionalFormatting sqref="AT6">
    <cfRule type="cellIs" dxfId="718" priority="137" operator="between">
      <formula>0.95</formula>
      <formula>1</formula>
    </cfRule>
  </conditionalFormatting>
  <conditionalFormatting sqref="AU6">
    <cfRule type="cellIs" dxfId="717" priority="136" operator="greaterThan">
      <formula>1</formula>
    </cfRule>
  </conditionalFormatting>
  <conditionalFormatting sqref="AQ7">
    <cfRule type="cellIs" dxfId="716" priority="135" stopIfTrue="1" operator="between">
      <formula>0</formula>
      <formula>0.5</formula>
    </cfRule>
  </conditionalFormatting>
  <conditionalFormatting sqref="AR7">
    <cfRule type="cellIs" dxfId="715" priority="134" operator="between">
      <formula>0.51</formula>
      <formula>0.75</formula>
    </cfRule>
  </conditionalFormatting>
  <conditionalFormatting sqref="AS7">
    <cfRule type="cellIs" dxfId="714" priority="133" operator="between">
      <formula>0.76</formula>
      <formula>0.95</formula>
    </cfRule>
  </conditionalFormatting>
  <conditionalFormatting sqref="AT7">
    <cfRule type="cellIs" dxfId="713" priority="132" operator="between">
      <formula>0.95</formula>
      <formula>1</formula>
    </cfRule>
  </conditionalFormatting>
  <conditionalFormatting sqref="AU7">
    <cfRule type="cellIs" dxfId="712" priority="131" operator="greaterThan">
      <formula>1</formula>
    </cfRule>
  </conditionalFormatting>
  <conditionalFormatting sqref="AQ8:AQ10">
    <cfRule type="cellIs" dxfId="711" priority="130" stopIfTrue="1" operator="between">
      <formula>0</formula>
      <formula>0.5</formula>
    </cfRule>
  </conditionalFormatting>
  <conditionalFormatting sqref="AR8:AR10">
    <cfRule type="cellIs" dxfId="710" priority="129" operator="between">
      <formula>0.51</formula>
      <formula>0.75</formula>
    </cfRule>
  </conditionalFormatting>
  <conditionalFormatting sqref="AS8:AS10">
    <cfRule type="cellIs" dxfId="709" priority="128" operator="between">
      <formula>0.76</formula>
      <formula>0.95</formula>
    </cfRule>
  </conditionalFormatting>
  <conditionalFormatting sqref="AT8:AT10">
    <cfRule type="cellIs" dxfId="708" priority="127" operator="between">
      <formula>0.95</formula>
      <formula>1</formula>
    </cfRule>
  </conditionalFormatting>
  <conditionalFormatting sqref="AU8:AU10">
    <cfRule type="cellIs" dxfId="707" priority="126" operator="greaterThan">
      <formula>1</formula>
    </cfRule>
  </conditionalFormatting>
  <conditionalFormatting sqref="AQ15">
    <cfRule type="cellIs" dxfId="706" priority="115" stopIfTrue="1" operator="between">
      <formula>0</formula>
      <formula>0.5</formula>
    </cfRule>
  </conditionalFormatting>
  <conditionalFormatting sqref="AR15">
    <cfRule type="cellIs" dxfId="705" priority="114" operator="between">
      <formula>0.51</formula>
      <formula>0.75</formula>
    </cfRule>
  </conditionalFormatting>
  <conditionalFormatting sqref="AS15">
    <cfRule type="cellIs" dxfId="704" priority="113" operator="between">
      <formula>0.76</formula>
      <formula>0.95</formula>
    </cfRule>
  </conditionalFormatting>
  <conditionalFormatting sqref="AT15">
    <cfRule type="cellIs" dxfId="703" priority="112" operator="between">
      <formula>0.95</formula>
      <formula>1</formula>
    </cfRule>
  </conditionalFormatting>
  <conditionalFormatting sqref="AU15">
    <cfRule type="cellIs" dxfId="702" priority="111" operator="greaterThan">
      <formula>1</formula>
    </cfRule>
  </conditionalFormatting>
  <conditionalFormatting sqref="AQ14">
    <cfRule type="cellIs" dxfId="701" priority="120" stopIfTrue="1" operator="between">
      <formula>0</formula>
      <formula>0.5</formula>
    </cfRule>
  </conditionalFormatting>
  <conditionalFormatting sqref="AR14">
    <cfRule type="cellIs" dxfId="700" priority="119" operator="between">
      <formula>0.51</formula>
      <formula>0.75</formula>
    </cfRule>
  </conditionalFormatting>
  <conditionalFormatting sqref="AS14">
    <cfRule type="cellIs" dxfId="699" priority="118" operator="between">
      <formula>0.76</formula>
      <formula>0.95</formula>
    </cfRule>
  </conditionalFormatting>
  <conditionalFormatting sqref="AT14">
    <cfRule type="cellIs" dxfId="698" priority="117" operator="between">
      <formula>0.95</formula>
      <formula>1</formula>
    </cfRule>
  </conditionalFormatting>
  <conditionalFormatting sqref="AU14">
    <cfRule type="cellIs" dxfId="697" priority="116" operator="greaterThan">
      <formula>1</formula>
    </cfRule>
  </conditionalFormatting>
  <conditionalFormatting sqref="AX6">
    <cfRule type="cellIs" dxfId="696" priority="110" operator="between">
      <formula>0.501</formula>
      <formula>0.75</formula>
    </cfRule>
  </conditionalFormatting>
  <conditionalFormatting sqref="AY6">
    <cfRule type="cellIs" dxfId="695" priority="109" operator="between">
      <formula>0.76</formula>
      <formula>0.95</formula>
    </cfRule>
  </conditionalFormatting>
  <conditionalFormatting sqref="AZ6">
    <cfRule type="cellIs" dxfId="694" priority="108" operator="between">
      <formula>0.95</formula>
      <formula>1</formula>
    </cfRule>
  </conditionalFormatting>
  <conditionalFormatting sqref="BA6">
    <cfRule type="cellIs" dxfId="693" priority="107" operator="greaterThan">
      <formula>1</formula>
    </cfRule>
  </conditionalFormatting>
  <conditionalFormatting sqref="AW7">
    <cfRule type="cellIs" dxfId="692" priority="106" stopIfTrue="1" operator="between">
      <formula>0</formula>
      <formula>0.5</formula>
    </cfRule>
  </conditionalFormatting>
  <conditionalFormatting sqref="AX7">
    <cfRule type="cellIs" dxfId="691" priority="105" operator="between">
      <formula>0.51</formula>
      <formula>0.75</formula>
    </cfRule>
  </conditionalFormatting>
  <conditionalFormatting sqref="AY7">
    <cfRule type="cellIs" dxfId="690" priority="104" operator="between">
      <formula>0.76</formula>
      <formula>0.95</formula>
    </cfRule>
  </conditionalFormatting>
  <conditionalFormatting sqref="AZ7">
    <cfRule type="cellIs" dxfId="689" priority="103" operator="between">
      <formula>0.95</formula>
      <formula>1</formula>
    </cfRule>
  </conditionalFormatting>
  <conditionalFormatting sqref="BA7">
    <cfRule type="cellIs" dxfId="688" priority="102" operator="greaterThan">
      <formula>1</formula>
    </cfRule>
  </conditionalFormatting>
  <conditionalFormatting sqref="AW8:AW10">
    <cfRule type="cellIs" dxfId="687" priority="101" stopIfTrue="1" operator="between">
      <formula>0</formula>
      <formula>0.5</formula>
    </cfRule>
  </conditionalFormatting>
  <conditionalFormatting sqref="AX8:AX10">
    <cfRule type="cellIs" dxfId="686" priority="100" operator="between">
      <formula>0.51</formula>
      <formula>0.75</formula>
    </cfRule>
  </conditionalFormatting>
  <conditionalFormatting sqref="AY8:AY10">
    <cfRule type="cellIs" dxfId="685" priority="99" operator="between">
      <formula>0.76</formula>
      <formula>0.95</formula>
    </cfRule>
  </conditionalFormatting>
  <conditionalFormatting sqref="AZ8:AZ10">
    <cfRule type="cellIs" dxfId="684" priority="98" operator="between">
      <formula>0.95</formula>
      <formula>1</formula>
    </cfRule>
  </conditionalFormatting>
  <conditionalFormatting sqref="BA8:BA10">
    <cfRule type="cellIs" dxfId="683" priority="97" operator="greaterThan">
      <formula>1</formula>
    </cfRule>
  </conditionalFormatting>
  <conditionalFormatting sqref="AW14">
    <cfRule type="cellIs" dxfId="682" priority="91" stopIfTrue="1" operator="between">
      <formula>0</formula>
      <formula>0.5</formula>
    </cfRule>
  </conditionalFormatting>
  <conditionalFormatting sqref="AX14">
    <cfRule type="cellIs" dxfId="681" priority="90" operator="between">
      <formula>0.51</formula>
      <formula>0.75</formula>
    </cfRule>
  </conditionalFormatting>
  <conditionalFormatting sqref="AY14">
    <cfRule type="cellIs" dxfId="680" priority="89" operator="between">
      <formula>0.76</formula>
      <formula>0.95</formula>
    </cfRule>
  </conditionalFormatting>
  <conditionalFormatting sqref="AZ14">
    <cfRule type="cellIs" dxfId="679" priority="88" operator="between">
      <formula>0.95</formula>
      <formula>1</formula>
    </cfRule>
  </conditionalFormatting>
  <conditionalFormatting sqref="BA14">
    <cfRule type="cellIs" dxfId="678" priority="87" operator="greaterThan">
      <formula>1</formula>
    </cfRule>
  </conditionalFormatting>
  <conditionalFormatting sqref="AW15">
    <cfRule type="cellIs" dxfId="677" priority="86" stopIfTrue="1" operator="between">
      <formula>0</formula>
      <formula>0.5</formula>
    </cfRule>
  </conditionalFormatting>
  <conditionalFormatting sqref="AX15">
    <cfRule type="cellIs" dxfId="676" priority="85" operator="between">
      <formula>0.51</formula>
      <formula>0.75</formula>
    </cfRule>
  </conditionalFormatting>
  <conditionalFormatting sqref="AY15">
    <cfRule type="cellIs" dxfId="675" priority="84" operator="between">
      <formula>0.76</formula>
      <formula>0.95</formula>
    </cfRule>
  </conditionalFormatting>
  <conditionalFormatting sqref="AZ15">
    <cfRule type="cellIs" dxfId="674" priority="83" operator="between">
      <formula>0.95</formula>
      <formula>1</formula>
    </cfRule>
  </conditionalFormatting>
  <conditionalFormatting sqref="BA15">
    <cfRule type="cellIs" dxfId="673" priority="82" operator="greaterThan">
      <formula>1</formula>
    </cfRule>
  </conditionalFormatting>
  <conditionalFormatting sqref="AW6">
    <cfRule type="cellIs" dxfId="672" priority="81" stopIfTrue="1" operator="between">
      <formula>0</formula>
      <formula>0.5</formula>
    </cfRule>
  </conditionalFormatting>
  <conditionalFormatting sqref="Q11:Q12">
    <cfRule type="cellIs" dxfId="671" priority="70" stopIfTrue="1" operator="between">
      <formula>0</formula>
      <formula>0.5</formula>
    </cfRule>
  </conditionalFormatting>
  <conditionalFormatting sqref="R11:R12">
    <cfRule type="cellIs" dxfId="670" priority="69" operator="between">
      <formula>0.51</formula>
      <formula>0.75</formula>
    </cfRule>
  </conditionalFormatting>
  <conditionalFormatting sqref="S11:S12">
    <cfRule type="cellIs" dxfId="669" priority="68" operator="between">
      <formula>0.76</formula>
      <formula>0.95</formula>
    </cfRule>
  </conditionalFormatting>
  <conditionalFormatting sqref="T11:T12">
    <cfRule type="cellIs" dxfId="668" priority="67" operator="between">
      <formula>0.95</formula>
      <formula>1</formula>
    </cfRule>
  </conditionalFormatting>
  <conditionalFormatting sqref="U11:U12">
    <cfRule type="cellIs" dxfId="667" priority="66" operator="greaterThan">
      <formula>1</formula>
    </cfRule>
  </conditionalFormatting>
  <conditionalFormatting sqref="W11:W12">
    <cfRule type="cellIs" dxfId="666" priority="65" stopIfTrue="1" operator="between">
      <formula>0</formula>
      <formula>0.255</formula>
    </cfRule>
  </conditionalFormatting>
  <conditionalFormatting sqref="X11:X12">
    <cfRule type="cellIs" dxfId="665" priority="64" operator="between">
      <formula>0.2551</formula>
      <formula>0.375</formula>
    </cfRule>
  </conditionalFormatting>
  <conditionalFormatting sqref="Y11:Y12">
    <cfRule type="cellIs" dxfId="664" priority="63" operator="between">
      <formula>0.38</formula>
      <formula>0.475</formula>
    </cfRule>
  </conditionalFormatting>
  <conditionalFormatting sqref="Z11:Z12">
    <cfRule type="cellIs" dxfId="663" priority="62" operator="between">
      <formula>0.48</formula>
      <formula>0.51</formula>
    </cfRule>
  </conditionalFormatting>
  <conditionalFormatting sqref="AA11:AA12">
    <cfRule type="cellIs" dxfId="662" priority="61" operator="greaterThan">
      <formula>0.505</formula>
    </cfRule>
  </conditionalFormatting>
  <conditionalFormatting sqref="AD11:AD12">
    <cfRule type="cellIs" dxfId="661" priority="60" stopIfTrue="1" operator="between">
      <formula>0</formula>
      <formula>0.5</formula>
    </cfRule>
  </conditionalFormatting>
  <conditionalFormatting sqref="AE11:AE12">
    <cfRule type="cellIs" dxfId="660" priority="59" operator="between">
      <formula>0.51</formula>
      <formula>0.75</formula>
    </cfRule>
  </conditionalFormatting>
  <conditionalFormatting sqref="AF11:AF12">
    <cfRule type="cellIs" dxfId="659" priority="58" operator="between">
      <formula>0.76</formula>
      <formula>0.95</formula>
    </cfRule>
  </conditionalFormatting>
  <conditionalFormatting sqref="AG11:AG12">
    <cfRule type="cellIs" dxfId="658" priority="57" operator="between">
      <formula>0.95</formula>
      <formula>1</formula>
    </cfRule>
  </conditionalFormatting>
  <conditionalFormatting sqref="AH11:AH12">
    <cfRule type="cellIs" dxfId="657" priority="56" operator="greaterThan">
      <formula>1</formula>
    </cfRule>
  </conditionalFormatting>
  <conditionalFormatting sqref="AJ11:AJ12">
    <cfRule type="cellIs" dxfId="656" priority="55" stopIfTrue="1" operator="between">
      <formula>0</formula>
      <formula>0.375</formula>
    </cfRule>
  </conditionalFormatting>
  <conditionalFormatting sqref="AK11:AK12">
    <cfRule type="cellIs" dxfId="655" priority="54" operator="between">
      <formula>0.3751</formula>
      <formula>0.5625</formula>
    </cfRule>
  </conditionalFormatting>
  <conditionalFormatting sqref="AL11:AL12">
    <cfRule type="cellIs" dxfId="654" priority="53" operator="between">
      <formula>0.563</formula>
      <formula>0.7125</formula>
    </cfRule>
  </conditionalFormatting>
  <conditionalFormatting sqref="AM11:AM12">
    <cfRule type="cellIs" dxfId="653" priority="52" operator="between">
      <formula>0.713</formula>
      <formula>0.75</formula>
    </cfRule>
  </conditionalFormatting>
  <conditionalFormatting sqref="AN11:AN12">
    <cfRule type="cellIs" dxfId="652" priority="51" operator="greaterThan">
      <formula>0.755</formula>
    </cfRule>
  </conditionalFormatting>
  <conditionalFormatting sqref="AQ11:AQ13">
    <cfRule type="cellIs" dxfId="651" priority="50" stopIfTrue="1" operator="between">
      <formula>0</formula>
      <formula>0.5</formula>
    </cfRule>
  </conditionalFormatting>
  <conditionalFormatting sqref="AR11:AR13">
    <cfRule type="cellIs" dxfId="650" priority="49" operator="between">
      <formula>0.51</formula>
      <formula>0.75</formula>
    </cfRule>
  </conditionalFormatting>
  <conditionalFormatting sqref="AS11:AS13">
    <cfRule type="cellIs" dxfId="649" priority="48" operator="between">
      <formula>0.76</formula>
      <formula>0.95</formula>
    </cfRule>
  </conditionalFormatting>
  <conditionalFormatting sqref="AT11:AT13">
    <cfRule type="cellIs" dxfId="648" priority="47" operator="between">
      <formula>0.95</formula>
      <formula>1</formula>
    </cfRule>
  </conditionalFormatting>
  <conditionalFormatting sqref="AU11:AU13">
    <cfRule type="cellIs" dxfId="647" priority="46" operator="greaterThan">
      <formula>1</formula>
    </cfRule>
  </conditionalFormatting>
  <conditionalFormatting sqref="AW11:AW13">
    <cfRule type="cellIs" dxfId="646" priority="45" stopIfTrue="1" operator="between">
      <formula>0</formula>
      <formula>0.5</formula>
    </cfRule>
  </conditionalFormatting>
  <conditionalFormatting sqref="AX11:AX13">
    <cfRule type="cellIs" dxfId="645" priority="44" operator="between">
      <formula>0.51</formula>
      <formula>0.75</formula>
    </cfRule>
  </conditionalFormatting>
  <conditionalFormatting sqref="AY11:AY13">
    <cfRule type="cellIs" dxfId="644" priority="43" operator="between">
      <formula>0.76</formula>
      <formula>0.95</formula>
    </cfRule>
  </conditionalFormatting>
  <conditionalFormatting sqref="AZ11:AZ13">
    <cfRule type="cellIs" dxfId="643" priority="42" operator="between">
      <formula>0.95</formula>
      <formula>1</formula>
    </cfRule>
  </conditionalFormatting>
  <conditionalFormatting sqref="BA11:BA13">
    <cfRule type="cellIs" dxfId="642" priority="41" operator="greaterThan">
      <formula>1</formula>
    </cfRule>
  </conditionalFormatting>
  <conditionalFormatting sqref="D6">
    <cfRule type="cellIs" dxfId="641" priority="40" stopIfTrue="1" operator="between">
      <formula>0</formula>
      <formula>0.5</formula>
    </cfRule>
  </conditionalFormatting>
  <conditionalFormatting sqref="E6">
    <cfRule type="cellIs" dxfId="640" priority="39" operator="between">
      <formula>0.51</formula>
      <formula>0.7501</formula>
    </cfRule>
  </conditionalFormatting>
  <conditionalFormatting sqref="F6">
    <cfRule type="cellIs" dxfId="639" priority="38" operator="between">
      <formula>0.76</formula>
      <formula>0.95</formula>
    </cfRule>
  </conditionalFormatting>
  <conditionalFormatting sqref="G6">
    <cfRule type="cellIs" dxfId="638" priority="37" operator="between">
      <formula>0.96</formula>
      <formula>1</formula>
    </cfRule>
  </conditionalFormatting>
  <conditionalFormatting sqref="H6">
    <cfRule type="cellIs" dxfId="637" priority="36" operator="greaterThan">
      <formula>1</formula>
    </cfRule>
  </conditionalFormatting>
  <conditionalFormatting sqref="D7">
    <cfRule type="cellIs" dxfId="636" priority="35" stopIfTrue="1" operator="between">
      <formula>0</formula>
      <formula>0.5</formula>
    </cfRule>
  </conditionalFormatting>
  <conditionalFormatting sqref="E7">
    <cfRule type="cellIs" dxfId="635" priority="34" operator="between">
      <formula>0.51</formula>
      <formula>0.75</formula>
    </cfRule>
  </conditionalFormatting>
  <conditionalFormatting sqref="F7">
    <cfRule type="cellIs" dxfId="634" priority="33" operator="between">
      <formula>0.76</formula>
      <formula>0.95</formula>
    </cfRule>
  </conditionalFormatting>
  <conditionalFormatting sqref="G7">
    <cfRule type="cellIs" dxfId="633" priority="32" operator="between">
      <formula>0.96</formula>
      <formula>1</formula>
    </cfRule>
  </conditionalFormatting>
  <conditionalFormatting sqref="H7">
    <cfRule type="cellIs" dxfId="632" priority="31" operator="greaterThan">
      <formula>1</formula>
    </cfRule>
  </conditionalFormatting>
  <conditionalFormatting sqref="D8">
    <cfRule type="cellIs" dxfId="631" priority="30" stopIfTrue="1" operator="between">
      <formula>0</formula>
      <formula>0.5</formula>
    </cfRule>
  </conditionalFormatting>
  <conditionalFormatting sqref="E8">
    <cfRule type="cellIs" dxfId="630" priority="29" operator="between">
      <formula>0.51</formula>
      <formula>0.75</formula>
    </cfRule>
  </conditionalFormatting>
  <conditionalFormatting sqref="F8">
    <cfRule type="cellIs" dxfId="629" priority="28" operator="between">
      <formula>0.76</formula>
      <formula>0.95</formula>
    </cfRule>
  </conditionalFormatting>
  <conditionalFormatting sqref="G8">
    <cfRule type="cellIs" dxfId="628" priority="27" operator="between">
      <formula>0.96</formula>
      <formula>1</formula>
    </cfRule>
  </conditionalFormatting>
  <conditionalFormatting sqref="H8">
    <cfRule type="cellIs" dxfId="627" priority="26" operator="greaterThan">
      <formula>1</formula>
    </cfRule>
  </conditionalFormatting>
  <conditionalFormatting sqref="D9:D14">
    <cfRule type="cellIs" dxfId="626" priority="25" stopIfTrue="1" operator="between">
      <formula>0</formula>
      <formula>0.5</formula>
    </cfRule>
  </conditionalFormatting>
  <conditionalFormatting sqref="E9:E14">
    <cfRule type="cellIs" dxfId="625" priority="24" operator="between">
      <formula>0.51</formula>
      <formula>0.75</formula>
    </cfRule>
  </conditionalFormatting>
  <conditionalFormatting sqref="F9:F14">
    <cfRule type="cellIs" dxfId="624" priority="23" operator="between">
      <formula>0.76</formula>
      <formula>0.95</formula>
    </cfRule>
  </conditionalFormatting>
  <conditionalFormatting sqref="G9:G14">
    <cfRule type="cellIs" dxfId="623" priority="22" operator="between">
      <formula>0.96</formula>
      <formula>1</formula>
    </cfRule>
  </conditionalFormatting>
  <conditionalFormatting sqref="H9:H14">
    <cfRule type="cellIs" dxfId="622" priority="21" operator="greaterThan">
      <formula>1</formula>
    </cfRule>
  </conditionalFormatting>
  <conditionalFormatting sqref="D15">
    <cfRule type="cellIs" dxfId="621" priority="20" stopIfTrue="1" operator="between">
      <formula>0</formula>
      <formula>0.5</formula>
    </cfRule>
  </conditionalFormatting>
  <conditionalFormatting sqref="E15">
    <cfRule type="cellIs" dxfId="620" priority="19" operator="between">
      <formula>0.51</formula>
      <formula>0.75</formula>
    </cfRule>
  </conditionalFormatting>
  <conditionalFormatting sqref="F15">
    <cfRule type="cellIs" dxfId="619" priority="18" operator="between">
      <formula>0.76</formula>
      <formula>0.95</formula>
    </cfRule>
  </conditionalFormatting>
  <conditionalFormatting sqref="G15">
    <cfRule type="cellIs" dxfId="618" priority="17" operator="between">
      <formula>0.96</formula>
      <formula>1</formula>
    </cfRule>
  </conditionalFormatting>
  <conditionalFormatting sqref="H15">
    <cfRule type="cellIs" dxfId="617" priority="16" operator="greaterThan">
      <formula>1</formula>
    </cfRule>
  </conditionalFormatting>
  <conditionalFormatting sqref="J6">
    <cfRule type="cellIs" dxfId="616" priority="15" stopIfTrue="1" operator="between">
      <formula>0</formula>
      <formula>0.125</formula>
    </cfRule>
  </conditionalFormatting>
  <conditionalFormatting sqref="K6">
    <cfRule type="cellIs" dxfId="615" priority="14" operator="between">
      <formula>0.1251</formula>
      <formula>0.18755</formula>
    </cfRule>
  </conditionalFormatting>
  <conditionalFormatting sqref="L6">
    <cfRule type="cellIs" dxfId="614" priority="13" operator="between">
      <formula>0.187501</formula>
      <formula>0.2375</formula>
    </cfRule>
  </conditionalFormatting>
  <conditionalFormatting sqref="M6">
    <cfRule type="cellIs" dxfId="613" priority="12" operator="between">
      <formula>0.2376</formula>
      <formula>0.25</formula>
    </cfRule>
  </conditionalFormatting>
  <conditionalFormatting sqref="N6">
    <cfRule type="cellIs" dxfId="612" priority="11" operator="greaterThan">
      <formula>0.25</formula>
    </cfRule>
  </conditionalFormatting>
  <conditionalFormatting sqref="J7">
    <cfRule type="cellIs" dxfId="611" priority="10" stopIfTrue="1" operator="between">
      <formula>0</formula>
      <formula>0.125</formula>
    </cfRule>
  </conditionalFormatting>
  <conditionalFormatting sqref="K7">
    <cfRule type="cellIs" dxfId="610" priority="9" operator="between">
      <formula>0.1251</formula>
      <formula>0.1875</formula>
    </cfRule>
  </conditionalFormatting>
  <conditionalFormatting sqref="L7">
    <cfRule type="cellIs" dxfId="609" priority="8" operator="between">
      <formula>0.1876</formula>
      <formula>0.2375</formula>
    </cfRule>
  </conditionalFormatting>
  <conditionalFormatting sqref="M7">
    <cfRule type="cellIs" dxfId="608" priority="7" operator="between">
      <formula>0.2376</formula>
      <formula>0.25</formula>
    </cfRule>
  </conditionalFormatting>
  <conditionalFormatting sqref="N7">
    <cfRule type="cellIs" dxfId="607" priority="6" operator="greaterThan">
      <formula>0.25</formula>
    </cfRule>
  </conditionalFormatting>
  <conditionalFormatting sqref="J8:J15">
    <cfRule type="cellIs" dxfId="606" priority="5" stopIfTrue="1" operator="between">
      <formula>0</formula>
      <formula>0.125</formula>
    </cfRule>
  </conditionalFormatting>
  <conditionalFormatting sqref="K8:K15">
    <cfRule type="cellIs" dxfId="605" priority="4" operator="between">
      <formula>0.1251</formula>
      <formula>0.1875</formula>
    </cfRule>
  </conditionalFormatting>
  <conditionalFormatting sqref="L8:L15">
    <cfRule type="cellIs" dxfId="604" priority="3" operator="between">
      <formula>0.1876</formula>
      <formula>0.2375</formula>
    </cfRule>
  </conditionalFormatting>
  <conditionalFormatting sqref="M8:M15">
    <cfRule type="cellIs" dxfId="603" priority="2" operator="between">
      <formula>0.2376</formula>
      <formula>0.25</formula>
    </cfRule>
  </conditionalFormatting>
  <conditionalFormatting sqref="N8:N15">
    <cfRule type="cellIs" dxfId="602" priority="1" operator="greaterThan">
      <formula>0.25</formula>
    </cfRule>
  </conditionalFormatting>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491540840890e7c228e0f1eb5c22e80e">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7da092160215a3c29fa1800114fa057e"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2019</ano>
  </documentManagement>
</p:properties>
</file>

<file path=customXml/itemProps1.xml><?xml version="1.0" encoding="utf-8"?>
<ds:datastoreItem xmlns:ds="http://schemas.openxmlformats.org/officeDocument/2006/customXml" ds:itemID="{3DCF88A5-A30A-43D0-8738-8572178FCD26}"/>
</file>

<file path=customXml/itemProps2.xml><?xml version="1.0" encoding="utf-8"?>
<ds:datastoreItem xmlns:ds="http://schemas.openxmlformats.org/officeDocument/2006/customXml" ds:itemID="{E6A23410-BC20-461C-8A5D-510ADB0263C0}"/>
</file>

<file path=customXml/itemProps3.xml><?xml version="1.0" encoding="utf-8"?>
<ds:datastoreItem xmlns:ds="http://schemas.openxmlformats.org/officeDocument/2006/customXml" ds:itemID="{5651AA18-47B3-4679-90DF-DD980D95EF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Plan de Accion Proyectos estrat</vt:lpstr>
      <vt:lpstr>Plan de Accion Misional</vt:lpstr>
      <vt:lpstr>Plan de Accion apoyo transversa</vt:lpstr>
      <vt:lpstr>Plan de Accion ajustes normativ</vt:lpstr>
      <vt:lpstr>Excepciones presupuestales</vt:lpstr>
      <vt:lpstr>Cuadro Mando Integral Seguimien</vt:lpstr>
      <vt:lpstr>Cuadro Mando Integral Detallado</vt:lpstr>
      <vt:lpstr>Cumplimiento perspectivas Mejor</vt:lpstr>
      <vt:lpstr>Cumplimiento de objetivos Mejor</vt:lpstr>
      <vt:lpstr>Cumplimiento Dependencias Mejor</vt:lpstr>
      <vt:lpstr>Cumplimiento Planes</vt:lpstr>
      <vt:lpstr>Análisis de resultados</vt:lpstr>
      <vt:lpstr>Ejecución Presupuestal</vt:lpstr>
      <vt:lpstr>TAB. REF. PA</vt:lpstr>
      <vt:lpstr>Estadísticas</vt:lpstr>
      <vt:lpstr>Control de Cambios</vt:lpstr>
      <vt:lpstr>'TAB. REF. PA'!Central_de_Costos</vt:lpstr>
      <vt:lpstr>'TAB. REF. PA'!CÓDIGO_AREA</vt:lpstr>
      <vt:lpstr>'TAB. REF. PA'!Dimensión_MIPG</vt:lpstr>
      <vt:lpstr>'TAB. REF. PA'!Estrategia_Sectorial</vt:lpstr>
      <vt:lpstr>'TAB. REF. PA'!Fuente_de_Recursos</vt:lpstr>
      <vt:lpstr>'TAB. REF. PA'!Indicador</vt:lpstr>
      <vt:lpstr>'TAB. REF. PA'!Indicador_SINERGIA</vt:lpstr>
      <vt:lpstr>'TAB. REF. PA'!Objetivo_Especifico_PND</vt:lpstr>
      <vt:lpstr>'TAB. REF. PA'!OBJETIVO_ESTRATEGICO</vt:lpstr>
      <vt:lpstr>'TAB. REF. PA'!Política_MIPG</vt:lpstr>
      <vt:lpstr>'TAB. REF. PA'!Procedimiento</vt:lpstr>
      <vt:lpstr>'TAB. REF. PA'!Proceso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2019-03-28T14:44:56Z</cp:lastPrinted>
  <dcterms:created xsi:type="dcterms:W3CDTF">2017-11-02T20:07:37Z</dcterms:created>
  <dcterms:modified xsi:type="dcterms:W3CDTF">2019-05-14T19:38:47Z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